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4.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13.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18.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klos\Desktop\"/>
    </mc:Choice>
  </mc:AlternateContent>
  <xr:revisionPtr revIDLastSave="0" documentId="8_{736DE7E1-E18E-4B7E-9DDB-91E1DAC41B55}" xr6:coauthVersionLast="47" xr6:coauthVersionMax="47" xr10:uidLastSave="{00000000-0000-0000-0000-000000000000}"/>
  <workbookProtection workbookAlgorithmName="SHA-512" workbookHashValue="STv7mizMo+7xNFjyQV0YgcPJxYzLP368uYTAGYbc1LpUTKiVc76yBqX95uatK7gVQtnbxLFFfQLv5/hBHpO6JQ==" workbookSaltValue="HoXR6PBErDrsySHkON/cTw==" workbookSpinCount="100000" lockStructure="1"/>
  <bookViews>
    <workbookView xWindow="-120" yWindow="-120" windowWidth="29040" windowHeight="15720" tabRatio="836" xr2:uid="{00000000-000D-0000-FFFF-FFFF00000000}"/>
  </bookViews>
  <sheets>
    <sheet name="App Cust Info" sheetId="3" r:id="rId1"/>
    <sheet name="Pre-Installation Inspection" sheetId="49" r:id="rId2"/>
    <sheet name="Terms &amp; Conditions" sheetId="4" r:id="rId3"/>
    <sheet name="Extra Sheet For User Notes" sheetId="64" r:id="rId4"/>
    <sheet name="Pipe Insulation" sheetId="57" r:id="rId5"/>
    <sheet name="Roof Insulation" sheetId="1" r:id="rId6"/>
    <sheet name="Wall Insulation" sheetId="44" r:id="rId7"/>
    <sheet name="Window" sheetId="9" r:id="rId8"/>
    <sheet name="Duct Sealing &amp; Insulation" sheetId="11" r:id="rId9"/>
    <sheet name="Air Leakage Sealing" sheetId="8" r:id="rId10"/>
    <sheet name="Doors" sheetId="10" r:id="rId11"/>
    <sheet name="Air Curtains" sheetId="7" r:id="rId12"/>
    <sheet name="Pipe Insulation - MRD" sheetId="58" r:id="rId13"/>
    <sheet name="Pipe Insulation - MRD APPENDIX" sheetId="59" r:id="rId14"/>
    <sheet name="Roof Insulation - MRD" sheetId="33" r:id="rId15"/>
    <sheet name="Roof Insulation - MRD APPENDIX" sheetId="47" r:id="rId16"/>
    <sheet name="Wall Insulation - MRD" sheetId="46" r:id="rId17"/>
    <sheet name="Wall Insulation - MRD APPENDIX" sheetId="48" r:id="rId18"/>
    <sheet name="Window - MRD" sheetId="34" r:id="rId19"/>
    <sheet name="Window - MRD APPENDIX" sheetId="35" r:id="rId20"/>
    <sheet name="Duct Sealing &amp; Insulation - MRD" sheetId="36" r:id="rId21"/>
    <sheet name="Air Leakage Sealing - MRD" sheetId="38" r:id="rId22"/>
    <sheet name="Air Leakage Seal - MRD APPENDIX" sheetId="39" r:id="rId23"/>
    <sheet name="Doors - MRD" sheetId="40" r:id="rId24"/>
    <sheet name="Doors - MRD APPENDIX" sheetId="41" r:id="rId25"/>
    <sheet name="Air Curtains - MRD" sheetId="37" r:id="rId26"/>
    <sheet name="PIPE CODE" sheetId="60" state="hidden" r:id="rId27"/>
    <sheet name="ROOF CODE" sheetId="12" state="hidden" r:id="rId28"/>
    <sheet name="WALL CODE" sheetId="13" state="hidden" r:id="rId29"/>
    <sheet name="WINDOW CODE" sheetId="24" state="hidden" r:id="rId30"/>
    <sheet name="DOOR CODE" sheetId="29" state="hidden" r:id="rId31"/>
    <sheet name="PIPE INCENTIVE" sheetId="63" state="hidden" r:id="rId32"/>
    <sheet name="ROOF INCENTIVE" sheetId="42" state="hidden" r:id="rId33"/>
    <sheet name="WALL INCENTIVE" sheetId="43" state="hidden" r:id="rId34"/>
    <sheet name="WINDOW INCENTIVES" sheetId="23" state="hidden" r:id="rId35"/>
    <sheet name="DOOR INCENTIVES" sheetId="30" state="hidden" r:id="rId36"/>
    <sheet name="DUCT INCENTIVES" sheetId="27" state="hidden" r:id="rId37"/>
    <sheet name="AIR SEALING INCENTIVES" sheetId="28" state="hidden" r:id="rId38"/>
    <sheet name="AIR CURTAIN INCENTIVES" sheetId="31" state="hidden" r:id="rId39"/>
    <sheet name="TRM V13 Appendix A" sheetId="5" state="hidden" r:id="rId40"/>
    <sheet name="TRM V13 Appendix F" sheetId="22" state="hidden" r:id="rId41"/>
    <sheet name="TRM V13 Appendix G" sheetId="25" state="hidden" r:id="rId42"/>
    <sheet name="TRM V13 Appendix H" sheetId="26" state="hidden" r:id="rId43"/>
    <sheet name="PIPE - EFLH HEATING" sheetId="61" state="hidden" r:id="rId44"/>
    <sheet name="PIPE - EFLH COOLING" sheetId="62" state="hidden" r:id="rId45"/>
    <sheet name="Zip Lookup" sheetId="6" state="hidden" r:id="rId46"/>
  </sheets>
  <definedNames>
    <definedName name="_xlnm._FilterDatabase" localSheetId="45" hidden="1">'Zip Lookup'!$B$5:$G$2214</definedName>
    <definedName name="Bare_Copper">'Pipe Insulation'!$AN$35:$AN$41</definedName>
    <definedName name="Bare_CPVC_PEX">'Pipe Insulation'!$AP$35:$AP$38</definedName>
    <definedName name="Bare_Steel">'Pipe Insulation'!$AO$35:$AO$41</definedName>
    <definedName name="Large_Commercial">'Pipe Insulation'!$AQ$114:$AQ$135</definedName>
    <definedName name="Multifamily_High_Rise">'Pipe Insulation'!$AO$114:$AO$117</definedName>
    <definedName name="Multifamily_Low_Rise">'Pipe Insulation'!$AN$114:$AN$117</definedName>
    <definedName name="_xlnm.Print_Area" localSheetId="11">'Air Curtains'!$A$1:$C$40</definedName>
    <definedName name="_xlnm.Print_Area" localSheetId="25">'Air Curtains - MRD'!$C$2:$I$77</definedName>
    <definedName name="_xlnm.Print_Area" localSheetId="22">'Air Leakage Seal - MRD APPENDIX'!$B$2:$I$59</definedName>
    <definedName name="_xlnm.Print_Area" localSheetId="9">'Air Leakage Sealing'!$A$1:$J$83</definedName>
    <definedName name="_xlnm.Print_Area" localSheetId="21">'Air Leakage Sealing - MRD'!$C$2:$I$75</definedName>
    <definedName name="_xlnm.Print_Area" localSheetId="0">'App Cust Info'!$A$1:$L$67</definedName>
    <definedName name="_xlnm.Print_Area" localSheetId="10">Doors!$B$2:$V$71</definedName>
    <definedName name="_xlnm.Print_Area" localSheetId="23">'Doors - MRD'!$C$2:$I$72</definedName>
    <definedName name="_xlnm.Print_Area" localSheetId="24">'Doors - MRD APPENDIX'!$B$2:$M$59</definedName>
    <definedName name="_xlnm.Print_Area" localSheetId="8">'Duct Sealing &amp; Insulation'!$A$1:$J$47</definedName>
    <definedName name="_xlnm.Print_Area" localSheetId="20">'Duct Sealing &amp; Insulation - MRD'!$C$2:$I$84</definedName>
    <definedName name="_xlnm.Print_Area" localSheetId="4">'Pipe Insulation'!$A$1:$AI$534</definedName>
    <definedName name="_xlnm.Print_Area" localSheetId="12">'Pipe Insulation - MRD'!$B$2:$I$63</definedName>
    <definedName name="_xlnm.Print_Area" localSheetId="13">'Pipe Insulation - MRD APPENDIX'!$B$2:$J$515</definedName>
    <definedName name="_xlnm.Print_Area" localSheetId="1">'Pre-Installation Inspection'!$A$2:$J$25</definedName>
    <definedName name="_xlnm.Print_Area" localSheetId="5">'Roof Insulation'!$A$1:$AF$78</definedName>
    <definedName name="_xlnm.Print_Area" localSheetId="14">'Roof Insulation - MRD'!$C$2:$I$70</definedName>
    <definedName name="_xlnm.Print_Area" localSheetId="15">'Roof Insulation - MRD APPENDIX'!$B$2:$H$59</definedName>
    <definedName name="_xlnm.Print_Area" localSheetId="2">'Terms &amp; Conditions'!$A$1:$E$26</definedName>
    <definedName name="_xlnm.Print_Area" localSheetId="6">'Wall Insulation'!$A$1:$AF$78</definedName>
    <definedName name="_xlnm.Print_Area" localSheetId="16">'Wall Insulation - MRD'!$C$2:$I$73</definedName>
    <definedName name="_xlnm.Print_Area" localSheetId="17">'Wall Insulation - MRD APPENDIX'!$B$2:$H$59</definedName>
    <definedName name="_xlnm.Print_Area" localSheetId="7">Window!$A$1:$Z$76</definedName>
    <definedName name="_xlnm.Print_Area" localSheetId="18">'Window - MRD'!$C$2:$I$73</definedName>
    <definedName name="_xlnm.Print_Area" localSheetId="19">'Window - MRD APPENDIX'!$B$2:$N$59</definedName>
    <definedName name="_xlnm.Print_Titles" localSheetId="1">'Pre-Installation Inspection'!$3:$3</definedName>
    <definedName name="Small_Commercial">'Pipe Insulation'!$AP$114:$AP$127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44" l="1"/>
  <c r="Y31" i="44"/>
  <c r="X32" i="44"/>
  <c r="Y32" i="44"/>
  <c r="X33" i="44"/>
  <c r="Y33" i="44"/>
  <c r="X34" i="44"/>
  <c r="Y34" i="44"/>
  <c r="X35" i="44"/>
  <c r="Y35" i="44"/>
  <c r="X36" i="44"/>
  <c r="Y36" i="44"/>
  <c r="X37" i="44"/>
  <c r="Y37" i="44"/>
  <c r="X38" i="44"/>
  <c r="Y38" i="44"/>
  <c r="X39" i="44"/>
  <c r="Y39" i="44"/>
  <c r="X40" i="44"/>
  <c r="Y40" i="44"/>
  <c r="X41" i="44"/>
  <c r="Y41" i="44"/>
  <c r="X42" i="44"/>
  <c r="Y42" i="44"/>
  <c r="X43" i="44"/>
  <c r="Y43" i="44"/>
  <c r="X44" i="44"/>
  <c r="Y44" i="44"/>
  <c r="X45" i="44"/>
  <c r="Y45" i="44"/>
  <c r="X46" i="44"/>
  <c r="Y46" i="44"/>
  <c r="X47" i="44"/>
  <c r="Y47" i="44"/>
  <c r="X48" i="44"/>
  <c r="Y48" i="44"/>
  <c r="X49" i="44"/>
  <c r="Y49" i="44"/>
  <c r="X50" i="44"/>
  <c r="Y50" i="44"/>
  <c r="X51" i="44"/>
  <c r="Y51" i="44"/>
  <c r="X52" i="44"/>
  <c r="Y52" i="44"/>
  <c r="X53" i="44"/>
  <c r="Y53" i="44"/>
  <c r="X54" i="44"/>
  <c r="Y54" i="44"/>
  <c r="X55" i="44"/>
  <c r="Y55" i="44"/>
  <c r="X56" i="44"/>
  <c r="Y56" i="44"/>
  <c r="X57" i="44"/>
  <c r="Y57" i="44"/>
  <c r="X58" i="44"/>
  <c r="Y58" i="44"/>
  <c r="X59" i="44"/>
  <c r="Y59" i="44"/>
  <c r="X60" i="44"/>
  <c r="Y60" i="44"/>
  <c r="X61" i="44"/>
  <c r="Y61" i="44"/>
  <c r="X62" i="44"/>
  <c r="Y62" i="44"/>
  <c r="X63" i="44"/>
  <c r="Y63" i="44"/>
  <c r="X64" i="44"/>
  <c r="Y64" i="44"/>
  <c r="X65" i="44"/>
  <c r="Y65" i="44"/>
  <c r="X66" i="44"/>
  <c r="Y66" i="44"/>
  <c r="X67" i="44"/>
  <c r="Y67" i="44"/>
  <c r="X68" i="44"/>
  <c r="Y68" i="44"/>
  <c r="X69" i="44"/>
  <c r="Y69" i="44"/>
  <c r="X70" i="44"/>
  <c r="Y70" i="44"/>
  <c r="X71" i="44"/>
  <c r="Y71" i="44"/>
  <c r="X72" i="44"/>
  <c r="Y72" i="44"/>
  <c r="X73" i="44"/>
  <c r="Y73" i="44"/>
  <c r="X74" i="44"/>
  <c r="Y74" i="44"/>
  <c r="X75" i="44"/>
  <c r="Y75" i="44"/>
  <c r="X76" i="44"/>
  <c r="Y76" i="44"/>
  <c r="X77" i="44"/>
  <c r="Y77" i="44"/>
  <c r="U31" i="44"/>
  <c r="V31" i="44"/>
  <c r="U32" i="44"/>
  <c r="V32" i="44"/>
  <c r="U33" i="44"/>
  <c r="V33" i="44"/>
  <c r="U34" i="44"/>
  <c r="V34" i="44"/>
  <c r="U35" i="44"/>
  <c r="V35" i="44"/>
  <c r="U36" i="44"/>
  <c r="V36" i="44"/>
  <c r="U37" i="44"/>
  <c r="V37" i="44"/>
  <c r="U38" i="44"/>
  <c r="V38" i="44"/>
  <c r="U39" i="44"/>
  <c r="V39" i="44"/>
  <c r="U40" i="44"/>
  <c r="V40" i="44"/>
  <c r="U41" i="44"/>
  <c r="V41" i="44"/>
  <c r="U42" i="44"/>
  <c r="V42" i="44"/>
  <c r="U43" i="44"/>
  <c r="V43" i="44"/>
  <c r="U44" i="44"/>
  <c r="V44" i="44"/>
  <c r="U45" i="44"/>
  <c r="V45" i="44"/>
  <c r="U46" i="44"/>
  <c r="V46" i="44"/>
  <c r="U47" i="44"/>
  <c r="V47" i="44"/>
  <c r="U48" i="44"/>
  <c r="V48" i="44"/>
  <c r="U49" i="44"/>
  <c r="V49" i="44"/>
  <c r="U50" i="44"/>
  <c r="V50" i="44"/>
  <c r="U51" i="44"/>
  <c r="V51" i="44"/>
  <c r="U52" i="44"/>
  <c r="V52" i="44"/>
  <c r="U53" i="44"/>
  <c r="V53" i="44"/>
  <c r="U54" i="44"/>
  <c r="V54" i="44"/>
  <c r="U55" i="44"/>
  <c r="V55" i="44"/>
  <c r="U56" i="44"/>
  <c r="V56" i="44"/>
  <c r="U57" i="44"/>
  <c r="V57" i="44"/>
  <c r="U58" i="44"/>
  <c r="V58" i="44"/>
  <c r="U59" i="44"/>
  <c r="V59" i="44"/>
  <c r="U60" i="44"/>
  <c r="V60" i="44"/>
  <c r="U61" i="44"/>
  <c r="V61" i="44"/>
  <c r="U62" i="44"/>
  <c r="V62" i="44"/>
  <c r="U63" i="44"/>
  <c r="V63" i="44"/>
  <c r="U64" i="44"/>
  <c r="V64" i="44"/>
  <c r="U65" i="44"/>
  <c r="V65" i="44"/>
  <c r="U66" i="44"/>
  <c r="V66" i="44"/>
  <c r="U67" i="44"/>
  <c r="V67" i="44"/>
  <c r="U68" i="44"/>
  <c r="V68" i="44"/>
  <c r="U69" i="44"/>
  <c r="V69" i="44"/>
  <c r="U70" i="44"/>
  <c r="V70" i="44"/>
  <c r="U71" i="44"/>
  <c r="V71" i="44"/>
  <c r="U72" i="44"/>
  <c r="V72" i="44"/>
  <c r="U73" i="44"/>
  <c r="V73" i="44"/>
  <c r="U74" i="44"/>
  <c r="V74" i="44"/>
  <c r="U75" i="44"/>
  <c r="V75" i="44"/>
  <c r="U76" i="44"/>
  <c r="V76" i="44"/>
  <c r="U77" i="44"/>
  <c r="V77" i="44"/>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B24" i="7"/>
  <c r="B18" i="10"/>
  <c r="C24" i="8"/>
  <c r="B31" i="11"/>
  <c r="B22" i="9"/>
  <c r="C22" i="44"/>
  <c r="C22" i="1"/>
  <c r="B28" i="57"/>
  <c r="F7" i="49"/>
  <c r="G10" i="48"/>
  <c r="D2" i="57"/>
  <c r="C5" i="58"/>
  <c r="C7" i="58" s="1"/>
  <c r="D7" i="59" s="1"/>
  <c r="G19" i="57"/>
  <c r="G18" i="57"/>
  <c r="G17" i="57"/>
  <c r="G16" i="57"/>
  <c r="D9" i="57"/>
  <c r="D10" i="57" s="1"/>
  <c r="D3" i="57"/>
  <c r="X494" i="57" s="1" a="1"/>
  <c r="X494" i="57" s="1"/>
  <c r="I7" i="59"/>
  <c r="I6" i="59"/>
  <c r="I5" i="59"/>
  <c r="D5" i="59"/>
  <c r="E2" i="58"/>
  <c r="E17" i="63"/>
  <c r="E15" i="63"/>
  <c r="E14" i="63"/>
  <c r="E13" i="63"/>
  <c r="E9" i="63"/>
  <c r="E7" i="63"/>
  <c r="E6" i="63"/>
  <c r="E5" i="63"/>
  <c r="D5" i="63"/>
  <c r="D6" i="63" s="1"/>
  <c r="D7" i="63" s="1"/>
  <c r="I515" i="59"/>
  <c r="H515" i="59"/>
  <c r="G515" i="59"/>
  <c r="F515" i="59"/>
  <c r="E515" i="59"/>
  <c r="D515" i="59"/>
  <c r="C515" i="59"/>
  <c r="B515" i="59"/>
  <c r="I514" i="59"/>
  <c r="H514" i="59"/>
  <c r="G514" i="59"/>
  <c r="F514" i="59"/>
  <c r="E514" i="59"/>
  <c r="D514" i="59"/>
  <c r="C514" i="59"/>
  <c r="B514" i="59"/>
  <c r="I513" i="59"/>
  <c r="H513" i="59"/>
  <c r="G513" i="59"/>
  <c r="F513" i="59"/>
  <c r="E513" i="59"/>
  <c r="D513" i="59"/>
  <c r="C513" i="59"/>
  <c r="B513" i="59"/>
  <c r="I512" i="59"/>
  <c r="H512" i="59"/>
  <c r="G512" i="59"/>
  <c r="F512" i="59"/>
  <c r="E512" i="59"/>
  <c r="D512" i="59"/>
  <c r="C512" i="59"/>
  <c r="B512" i="59"/>
  <c r="I511" i="59"/>
  <c r="H511" i="59"/>
  <c r="G511" i="59"/>
  <c r="F511" i="59"/>
  <c r="E511" i="59"/>
  <c r="D511" i="59"/>
  <c r="C511" i="59"/>
  <c r="B511" i="59"/>
  <c r="I510" i="59"/>
  <c r="H510" i="59"/>
  <c r="G510" i="59"/>
  <c r="F510" i="59"/>
  <c r="E510" i="59"/>
  <c r="D510" i="59"/>
  <c r="C510" i="59"/>
  <c r="B510" i="59"/>
  <c r="I509" i="59"/>
  <c r="H509" i="59"/>
  <c r="G509" i="59"/>
  <c r="F509" i="59"/>
  <c r="E509" i="59"/>
  <c r="D509" i="59"/>
  <c r="C509" i="59"/>
  <c r="B509" i="59"/>
  <c r="I508" i="59"/>
  <c r="H508" i="59"/>
  <c r="G508" i="59"/>
  <c r="F508" i="59"/>
  <c r="E508" i="59"/>
  <c r="D508" i="59"/>
  <c r="C508" i="59"/>
  <c r="B508" i="59"/>
  <c r="I507" i="59"/>
  <c r="H507" i="59"/>
  <c r="G507" i="59"/>
  <c r="F507" i="59"/>
  <c r="E507" i="59"/>
  <c r="D507" i="59"/>
  <c r="C507" i="59"/>
  <c r="B507" i="59"/>
  <c r="I506" i="59"/>
  <c r="H506" i="59"/>
  <c r="G506" i="59"/>
  <c r="F506" i="59"/>
  <c r="E506" i="59"/>
  <c r="D506" i="59"/>
  <c r="C506" i="59"/>
  <c r="B506" i="59"/>
  <c r="I505" i="59"/>
  <c r="H505" i="59"/>
  <c r="G505" i="59"/>
  <c r="F505" i="59"/>
  <c r="E505" i="59"/>
  <c r="D505" i="59"/>
  <c r="C505" i="59"/>
  <c r="B505" i="59"/>
  <c r="I504" i="59"/>
  <c r="H504" i="59"/>
  <c r="G504" i="59"/>
  <c r="F504" i="59"/>
  <c r="E504" i="59"/>
  <c r="D504" i="59"/>
  <c r="C504" i="59"/>
  <c r="B504" i="59"/>
  <c r="I503" i="59"/>
  <c r="H503" i="59"/>
  <c r="G503" i="59"/>
  <c r="F503" i="59"/>
  <c r="E503" i="59"/>
  <c r="D503" i="59"/>
  <c r="C503" i="59"/>
  <c r="B503" i="59"/>
  <c r="I502" i="59"/>
  <c r="H502" i="59"/>
  <c r="G502" i="59"/>
  <c r="F502" i="59"/>
  <c r="E502" i="59"/>
  <c r="D502" i="59"/>
  <c r="C502" i="59"/>
  <c r="B502" i="59"/>
  <c r="I501" i="59"/>
  <c r="H501" i="59"/>
  <c r="G501" i="59"/>
  <c r="F501" i="59"/>
  <c r="E501" i="59"/>
  <c r="D501" i="59"/>
  <c r="C501" i="59"/>
  <c r="B501" i="59"/>
  <c r="I500" i="59"/>
  <c r="H500" i="59"/>
  <c r="G500" i="59"/>
  <c r="F500" i="59"/>
  <c r="E500" i="59"/>
  <c r="D500" i="59"/>
  <c r="C500" i="59"/>
  <c r="B500" i="59"/>
  <c r="I499" i="59"/>
  <c r="H499" i="59"/>
  <c r="G499" i="59"/>
  <c r="F499" i="59"/>
  <c r="E499" i="59"/>
  <c r="D499" i="59"/>
  <c r="C499" i="59"/>
  <c r="B499" i="59"/>
  <c r="I498" i="59"/>
  <c r="H498" i="59"/>
  <c r="G498" i="59"/>
  <c r="F498" i="59"/>
  <c r="E498" i="59"/>
  <c r="D498" i="59"/>
  <c r="C498" i="59"/>
  <c r="B498" i="59"/>
  <c r="I497" i="59"/>
  <c r="H497" i="59"/>
  <c r="G497" i="59"/>
  <c r="F497" i="59"/>
  <c r="E497" i="59"/>
  <c r="D497" i="59"/>
  <c r="C497" i="59"/>
  <c r="B497" i="59"/>
  <c r="I496" i="59"/>
  <c r="H496" i="59"/>
  <c r="G496" i="59"/>
  <c r="F496" i="59"/>
  <c r="E496" i="59"/>
  <c r="D496" i="59"/>
  <c r="C496" i="59"/>
  <c r="B496" i="59"/>
  <c r="I495" i="59"/>
  <c r="H495" i="59"/>
  <c r="G495" i="59"/>
  <c r="F495" i="59"/>
  <c r="E495" i="59"/>
  <c r="D495" i="59"/>
  <c r="C495" i="59"/>
  <c r="B495" i="59"/>
  <c r="I494" i="59"/>
  <c r="H494" i="59"/>
  <c r="G494" i="59"/>
  <c r="F494" i="59"/>
  <c r="E494" i="59"/>
  <c r="D494" i="59"/>
  <c r="C494" i="59"/>
  <c r="B494" i="59"/>
  <c r="I493" i="59"/>
  <c r="H493" i="59"/>
  <c r="G493" i="59"/>
  <c r="F493" i="59"/>
  <c r="E493" i="59"/>
  <c r="D493" i="59"/>
  <c r="C493" i="59"/>
  <c r="B493" i="59"/>
  <c r="I492" i="59"/>
  <c r="H492" i="59"/>
  <c r="G492" i="59"/>
  <c r="F492" i="59"/>
  <c r="E492" i="59"/>
  <c r="D492" i="59"/>
  <c r="C492" i="59"/>
  <c r="B492" i="59"/>
  <c r="I491" i="59"/>
  <c r="H491" i="59"/>
  <c r="G491" i="59"/>
  <c r="F491" i="59"/>
  <c r="E491" i="59"/>
  <c r="D491" i="59"/>
  <c r="C491" i="59"/>
  <c r="B491" i="59"/>
  <c r="I490" i="59"/>
  <c r="H490" i="59"/>
  <c r="G490" i="59"/>
  <c r="F490" i="59"/>
  <c r="E490" i="59"/>
  <c r="D490" i="59"/>
  <c r="C490" i="59"/>
  <c r="B490" i="59"/>
  <c r="I489" i="59"/>
  <c r="H489" i="59"/>
  <c r="G489" i="59"/>
  <c r="F489" i="59"/>
  <c r="E489" i="59"/>
  <c r="D489" i="59"/>
  <c r="C489" i="59"/>
  <c r="B489" i="59"/>
  <c r="I488" i="59"/>
  <c r="H488" i="59"/>
  <c r="G488" i="59"/>
  <c r="F488" i="59"/>
  <c r="E488" i="59"/>
  <c r="D488" i="59"/>
  <c r="C488" i="59"/>
  <c r="B488" i="59"/>
  <c r="I487" i="59"/>
  <c r="H487" i="59"/>
  <c r="G487" i="59"/>
  <c r="F487" i="59"/>
  <c r="E487" i="59"/>
  <c r="D487" i="59"/>
  <c r="C487" i="59"/>
  <c r="B487" i="59"/>
  <c r="I486" i="59"/>
  <c r="H486" i="59"/>
  <c r="G486" i="59"/>
  <c r="F486" i="59"/>
  <c r="E486" i="59"/>
  <c r="D486" i="59"/>
  <c r="C486" i="59"/>
  <c r="B486" i="59"/>
  <c r="I485" i="59"/>
  <c r="H485" i="59"/>
  <c r="G485" i="59"/>
  <c r="F485" i="59"/>
  <c r="E485" i="59"/>
  <c r="D485" i="59"/>
  <c r="C485" i="59"/>
  <c r="B485" i="59"/>
  <c r="I484" i="59"/>
  <c r="H484" i="59"/>
  <c r="G484" i="59"/>
  <c r="F484" i="59"/>
  <c r="E484" i="59"/>
  <c r="D484" i="59"/>
  <c r="C484" i="59"/>
  <c r="B484" i="59"/>
  <c r="I483" i="59"/>
  <c r="H483" i="59"/>
  <c r="G483" i="59"/>
  <c r="F483" i="59"/>
  <c r="E483" i="59"/>
  <c r="D483" i="59"/>
  <c r="C483" i="59"/>
  <c r="B483" i="59"/>
  <c r="I482" i="59"/>
  <c r="H482" i="59"/>
  <c r="G482" i="59"/>
  <c r="F482" i="59"/>
  <c r="E482" i="59"/>
  <c r="D482" i="59"/>
  <c r="C482" i="59"/>
  <c r="B482" i="59"/>
  <c r="I481" i="59"/>
  <c r="H481" i="59"/>
  <c r="G481" i="59"/>
  <c r="F481" i="59"/>
  <c r="E481" i="59"/>
  <c r="D481" i="59"/>
  <c r="C481" i="59"/>
  <c r="B481" i="59"/>
  <c r="I480" i="59"/>
  <c r="H480" i="59"/>
  <c r="G480" i="59"/>
  <c r="F480" i="59"/>
  <c r="E480" i="59"/>
  <c r="D480" i="59"/>
  <c r="C480" i="59"/>
  <c r="B480" i="59"/>
  <c r="I479" i="59"/>
  <c r="H479" i="59"/>
  <c r="G479" i="59"/>
  <c r="F479" i="59"/>
  <c r="E479" i="59"/>
  <c r="D479" i="59"/>
  <c r="C479" i="59"/>
  <c r="B479" i="59"/>
  <c r="I478" i="59"/>
  <c r="H478" i="59"/>
  <c r="G478" i="59"/>
  <c r="F478" i="59"/>
  <c r="E478" i="59"/>
  <c r="D478" i="59"/>
  <c r="C478" i="59"/>
  <c r="B478" i="59"/>
  <c r="I477" i="59"/>
  <c r="H477" i="59"/>
  <c r="G477" i="59"/>
  <c r="F477" i="59"/>
  <c r="E477" i="59"/>
  <c r="D477" i="59"/>
  <c r="C477" i="59"/>
  <c r="B477" i="59"/>
  <c r="I476" i="59"/>
  <c r="H476" i="59"/>
  <c r="G476" i="59"/>
  <c r="F476" i="59"/>
  <c r="E476" i="59"/>
  <c r="D476" i="59"/>
  <c r="C476" i="59"/>
  <c r="B476" i="59"/>
  <c r="I475" i="59"/>
  <c r="H475" i="59"/>
  <c r="G475" i="59"/>
  <c r="F475" i="59"/>
  <c r="E475" i="59"/>
  <c r="D475" i="59"/>
  <c r="C475" i="59"/>
  <c r="B475" i="59"/>
  <c r="I474" i="59"/>
  <c r="H474" i="59"/>
  <c r="G474" i="59"/>
  <c r="F474" i="59"/>
  <c r="E474" i="59"/>
  <c r="D474" i="59"/>
  <c r="C474" i="59"/>
  <c r="B474" i="59"/>
  <c r="I473" i="59"/>
  <c r="H473" i="59"/>
  <c r="G473" i="59"/>
  <c r="F473" i="59"/>
  <c r="E473" i="59"/>
  <c r="D473" i="59"/>
  <c r="C473" i="59"/>
  <c r="B473" i="59"/>
  <c r="I472" i="59"/>
  <c r="H472" i="59"/>
  <c r="G472" i="59"/>
  <c r="F472" i="59"/>
  <c r="E472" i="59"/>
  <c r="D472" i="59"/>
  <c r="C472" i="59"/>
  <c r="B472" i="59"/>
  <c r="I471" i="59"/>
  <c r="H471" i="59"/>
  <c r="G471" i="59"/>
  <c r="F471" i="59"/>
  <c r="E471" i="59"/>
  <c r="D471" i="59"/>
  <c r="C471" i="59"/>
  <c r="B471" i="59"/>
  <c r="I470" i="59"/>
  <c r="H470" i="59"/>
  <c r="G470" i="59"/>
  <c r="F470" i="59"/>
  <c r="E470" i="59"/>
  <c r="D470" i="59"/>
  <c r="C470" i="59"/>
  <c r="B470" i="59"/>
  <c r="I469" i="59"/>
  <c r="H469" i="59"/>
  <c r="G469" i="59"/>
  <c r="F469" i="59"/>
  <c r="E469" i="59"/>
  <c r="D469" i="59"/>
  <c r="C469" i="59"/>
  <c r="B469" i="59"/>
  <c r="I468" i="59"/>
  <c r="H468" i="59"/>
  <c r="G468" i="59"/>
  <c r="F468" i="59"/>
  <c r="E468" i="59"/>
  <c r="D468" i="59"/>
  <c r="C468" i="59"/>
  <c r="B468" i="59"/>
  <c r="I467" i="59"/>
  <c r="H467" i="59"/>
  <c r="G467" i="59"/>
  <c r="F467" i="59"/>
  <c r="E467" i="59"/>
  <c r="D467" i="59"/>
  <c r="C467" i="59"/>
  <c r="B467" i="59"/>
  <c r="I466" i="59"/>
  <c r="H466" i="59"/>
  <c r="G466" i="59"/>
  <c r="F466" i="59"/>
  <c r="E466" i="59"/>
  <c r="D466" i="59"/>
  <c r="C466" i="59"/>
  <c r="B466" i="59"/>
  <c r="I464" i="59"/>
  <c r="H464" i="59"/>
  <c r="G464" i="59"/>
  <c r="F464" i="59"/>
  <c r="E464" i="59"/>
  <c r="D464" i="59"/>
  <c r="C464" i="59"/>
  <c r="B464" i="59"/>
  <c r="I463" i="59"/>
  <c r="H463" i="59"/>
  <c r="G463" i="59"/>
  <c r="F463" i="59"/>
  <c r="E463" i="59"/>
  <c r="D463" i="59"/>
  <c r="C463" i="59"/>
  <c r="B463" i="59"/>
  <c r="I462" i="59"/>
  <c r="H462" i="59"/>
  <c r="G462" i="59"/>
  <c r="F462" i="59"/>
  <c r="E462" i="59"/>
  <c r="D462" i="59"/>
  <c r="C462" i="59"/>
  <c r="B462" i="59"/>
  <c r="I461" i="59"/>
  <c r="H461" i="59"/>
  <c r="G461" i="59"/>
  <c r="F461" i="59"/>
  <c r="E461" i="59"/>
  <c r="D461" i="59"/>
  <c r="C461" i="59"/>
  <c r="B461" i="59"/>
  <c r="I460" i="59"/>
  <c r="H460" i="59"/>
  <c r="G460" i="59"/>
  <c r="F460" i="59"/>
  <c r="E460" i="59"/>
  <c r="D460" i="59"/>
  <c r="C460" i="59"/>
  <c r="B460" i="59"/>
  <c r="I459" i="59"/>
  <c r="H459" i="59"/>
  <c r="G459" i="59"/>
  <c r="F459" i="59"/>
  <c r="E459" i="59"/>
  <c r="D459" i="59"/>
  <c r="C459" i="59"/>
  <c r="B459" i="59"/>
  <c r="I458" i="59"/>
  <c r="H458" i="59"/>
  <c r="G458" i="59"/>
  <c r="F458" i="59"/>
  <c r="E458" i="59"/>
  <c r="D458" i="59"/>
  <c r="C458" i="59"/>
  <c r="B458" i="59"/>
  <c r="I457" i="59"/>
  <c r="H457" i="59"/>
  <c r="G457" i="59"/>
  <c r="F457" i="59"/>
  <c r="E457" i="59"/>
  <c r="D457" i="59"/>
  <c r="C457" i="59"/>
  <c r="B457" i="59"/>
  <c r="I456" i="59"/>
  <c r="H456" i="59"/>
  <c r="G456" i="59"/>
  <c r="F456" i="59"/>
  <c r="E456" i="59"/>
  <c r="D456" i="59"/>
  <c r="C456" i="59"/>
  <c r="B456" i="59"/>
  <c r="I455" i="59"/>
  <c r="H455" i="59"/>
  <c r="G455" i="59"/>
  <c r="F455" i="59"/>
  <c r="E455" i="59"/>
  <c r="D455" i="59"/>
  <c r="C455" i="59"/>
  <c r="B455" i="59"/>
  <c r="I454" i="59"/>
  <c r="H454" i="59"/>
  <c r="G454" i="59"/>
  <c r="F454" i="59"/>
  <c r="E454" i="59"/>
  <c r="D454" i="59"/>
  <c r="C454" i="59"/>
  <c r="B454" i="59"/>
  <c r="I453" i="59"/>
  <c r="H453" i="59"/>
  <c r="G453" i="59"/>
  <c r="F453" i="59"/>
  <c r="E453" i="59"/>
  <c r="D453" i="59"/>
  <c r="C453" i="59"/>
  <c r="B453" i="59"/>
  <c r="I452" i="59"/>
  <c r="H452" i="59"/>
  <c r="G452" i="59"/>
  <c r="F452" i="59"/>
  <c r="E452" i="59"/>
  <c r="D452" i="59"/>
  <c r="C452" i="59"/>
  <c r="B452" i="59"/>
  <c r="I451" i="59"/>
  <c r="H451" i="59"/>
  <c r="G451" i="59"/>
  <c r="F451" i="59"/>
  <c r="E451" i="59"/>
  <c r="D451" i="59"/>
  <c r="C451" i="59"/>
  <c r="B451" i="59"/>
  <c r="I450" i="59"/>
  <c r="H450" i="59"/>
  <c r="G450" i="59"/>
  <c r="F450" i="59"/>
  <c r="E450" i="59"/>
  <c r="D450" i="59"/>
  <c r="C450" i="59"/>
  <c r="B450" i="59"/>
  <c r="I449" i="59"/>
  <c r="H449" i="59"/>
  <c r="G449" i="59"/>
  <c r="F449" i="59"/>
  <c r="E449" i="59"/>
  <c r="D449" i="59"/>
  <c r="C449" i="59"/>
  <c r="B449" i="59"/>
  <c r="I448" i="59"/>
  <c r="H448" i="59"/>
  <c r="G448" i="59"/>
  <c r="F448" i="59"/>
  <c r="E448" i="59"/>
  <c r="D448" i="59"/>
  <c r="C448" i="59"/>
  <c r="B448" i="59"/>
  <c r="I447" i="59"/>
  <c r="H447" i="59"/>
  <c r="G447" i="59"/>
  <c r="F447" i="59"/>
  <c r="E447" i="59"/>
  <c r="D447" i="59"/>
  <c r="C447" i="59"/>
  <c r="B447" i="59"/>
  <c r="I446" i="59"/>
  <c r="H446" i="59"/>
  <c r="G446" i="59"/>
  <c r="F446" i="59"/>
  <c r="E446" i="59"/>
  <c r="D446" i="59"/>
  <c r="C446" i="59"/>
  <c r="B446" i="59"/>
  <c r="I445" i="59"/>
  <c r="H445" i="59"/>
  <c r="G445" i="59"/>
  <c r="F445" i="59"/>
  <c r="E445" i="59"/>
  <c r="D445" i="59"/>
  <c r="C445" i="59"/>
  <c r="B445" i="59"/>
  <c r="I444" i="59"/>
  <c r="H444" i="59"/>
  <c r="G444" i="59"/>
  <c r="F444" i="59"/>
  <c r="E444" i="59"/>
  <c r="D444" i="59"/>
  <c r="C444" i="59"/>
  <c r="B444" i="59"/>
  <c r="I443" i="59"/>
  <c r="H443" i="59"/>
  <c r="G443" i="59"/>
  <c r="F443" i="59"/>
  <c r="E443" i="59"/>
  <c r="D443" i="59"/>
  <c r="C443" i="59"/>
  <c r="B443" i="59"/>
  <c r="I442" i="59"/>
  <c r="H442" i="59"/>
  <c r="G442" i="59"/>
  <c r="F442" i="59"/>
  <c r="E442" i="59"/>
  <c r="D442" i="59"/>
  <c r="C442" i="59"/>
  <c r="B442" i="59"/>
  <c r="I441" i="59"/>
  <c r="H441" i="59"/>
  <c r="G441" i="59"/>
  <c r="F441" i="59"/>
  <c r="E441" i="59"/>
  <c r="D441" i="59"/>
  <c r="C441" i="59"/>
  <c r="B441" i="59"/>
  <c r="I440" i="59"/>
  <c r="H440" i="59"/>
  <c r="G440" i="59"/>
  <c r="F440" i="59"/>
  <c r="E440" i="59"/>
  <c r="D440" i="59"/>
  <c r="C440" i="59"/>
  <c r="B440" i="59"/>
  <c r="I439" i="59"/>
  <c r="H439" i="59"/>
  <c r="G439" i="59"/>
  <c r="F439" i="59"/>
  <c r="E439" i="59"/>
  <c r="D439" i="59"/>
  <c r="C439" i="59"/>
  <c r="B439" i="59"/>
  <c r="I438" i="59"/>
  <c r="H438" i="59"/>
  <c r="G438" i="59"/>
  <c r="F438" i="59"/>
  <c r="E438" i="59"/>
  <c r="D438" i="59"/>
  <c r="C438" i="59"/>
  <c r="B438" i="59"/>
  <c r="I437" i="59"/>
  <c r="H437" i="59"/>
  <c r="G437" i="59"/>
  <c r="F437" i="59"/>
  <c r="E437" i="59"/>
  <c r="D437" i="59"/>
  <c r="C437" i="59"/>
  <c r="B437" i="59"/>
  <c r="I436" i="59"/>
  <c r="H436" i="59"/>
  <c r="G436" i="59"/>
  <c r="F436" i="59"/>
  <c r="E436" i="59"/>
  <c r="D436" i="59"/>
  <c r="C436" i="59"/>
  <c r="B436" i="59"/>
  <c r="I435" i="59"/>
  <c r="H435" i="59"/>
  <c r="G435" i="59"/>
  <c r="F435" i="59"/>
  <c r="E435" i="59"/>
  <c r="D435" i="59"/>
  <c r="C435" i="59"/>
  <c r="B435" i="59"/>
  <c r="I434" i="59"/>
  <c r="H434" i="59"/>
  <c r="G434" i="59"/>
  <c r="F434" i="59"/>
  <c r="E434" i="59"/>
  <c r="D434" i="59"/>
  <c r="C434" i="59"/>
  <c r="B434" i="59"/>
  <c r="I433" i="59"/>
  <c r="H433" i="59"/>
  <c r="G433" i="59"/>
  <c r="F433" i="59"/>
  <c r="E433" i="59"/>
  <c r="D433" i="59"/>
  <c r="C433" i="59"/>
  <c r="B433" i="59"/>
  <c r="I432" i="59"/>
  <c r="H432" i="59"/>
  <c r="G432" i="59"/>
  <c r="F432" i="59"/>
  <c r="E432" i="59"/>
  <c r="D432" i="59"/>
  <c r="C432" i="59"/>
  <c r="B432" i="59"/>
  <c r="I431" i="59"/>
  <c r="H431" i="59"/>
  <c r="G431" i="59"/>
  <c r="F431" i="59"/>
  <c r="E431" i="59"/>
  <c r="D431" i="59"/>
  <c r="C431" i="59"/>
  <c r="B431" i="59"/>
  <c r="I430" i="59"/>
  <c r="H430" i="59"/>
  <c r="G430" i="59"/>
  <c r="F430" i="59"/>
  <c r="E430" i="59"/>
  <c r="D430" i="59"/>
  <c r="C430" i="59"/>
  <c r="B430" i="59"/>
  <c r="I429" i="59"/>
  <c r="H429" i="59"/>
  <c r="G429" i="59"/>
  <c r="F429" i="59"/>
  <c r="E429" i="59"/>
  <c r="D429" i="59"/>
  <c r="C429" i="59"/>
  <c r="B429" i="59"/>
  <c r="I428" i="59"/>
  <c r="H428" i="59"/>
  <c r="G428" i="59"/>
  <c r="F428" i="59"/>
  <c r="E428" i="59"/>
  <c r="D428" i="59"/>
  <c r="C428" i="59"/>
  <c r="B428" i="59"/>
  <c r="I427" i="59"/>
  <c r="H427" i="59"/>
  <c r="G427" i="59"/>
  <c r="F427" i="59"/>
  <c r="E427" i="59"/>
  <c r="D427" i="59"/>
  <c r="C427" i="59"/>
  <c r="B427" i="59"/>
  <c r="I426" i="59"/>
  <c r="H426" i="59"/>
  <c r="G426" i="59"/>
  <c r="F426" i="59"/>
  <c r="E426" i="59"/>
  <c r="D426" i="59"/>
  <c r="C426" i="59"/>
  <c r="B426" i="59"/>
  <c r="I425" i="59"/>
  <c r="H425" i="59"/>
  <c r="G425" i="59"/>
  <c r="F425" i="59"/>
  <c r="E425" i="59"/>
  <c r="D425" i="59"/>
  <c r="C425" i="59"/>
  <c r="B425" i="59"/>
  <c r="I424" i="59"/>
  <c r="H424" i="59"/>
  <c r="G424" i="59"/>
  <c r="F424" i="59"/>
  <c r="E424" i="59"/>
  <c r="D424" i="59"/>
  <c r="C424" i="59"/>
  <c r="B424" i="59"/>
  <c r="I423" i="59"/>
  <c r="H423" i="59"/>
  <c r="G423" i="59"/>
  <c r="F423" i="59"/>
  <c r="E423" i="59"/>
  <c r="D423" i="59"/>
  <c r="C423" i="59"/>
  <c r="B423" i="59"/>
  <c r="I422" i="59"/>
  <c r="H422" i="59"/>
  <c r="G422" i="59"/>
  <c r="F422" i="59"/>
  <c r="E422" i="59"/>
  <c r="D422" i="59"/>
  <c r="C422" i="59"/>
  <c r="B422" i="59"/>
  <c r="I421" i="59"/>
  <c r="H421" i="59"/>
  <c r="G421" i="59"/>
  <c r="F421" i="59"/>
  <c r="E421" i="59"/>
  <c r="D421" i="59"/>
  <c r="C421" i="59"/>
  <c r="B421" i="59"/>
  <c r="I420" i="59"/>
  <c r="H420" i="59"/>
  <c r="G420" i="59"/>
  <c r="F420" i="59"/>
  <c r="E420" i="59"/>
  <c r="D420" i="59"/>
  <c r="C420" i="59"/>
  <c r="B420" i="59"/>
  <c r="I419" i="59"/>
  <c r="H419" i="59"/>
  <c r="G419" i="59"/>
  <c r="F419" i="59"/>
  <c r="E419" i="59"/>
  <c r="D419" i="59"/>
  <c r="C419" i="59"/>
  <c r="B419" i="59"/>
  <c r="I418" i="59"/>
  <c r="H418" i="59"/>
  <c r="G418" i="59"/>
  <c r="F418" i="59"/>
  <c r="E418" i="59"/>
  <c r="D418" i="59"/>
  <c r="C418" i="59"/>
  <c r="B418" i="59"/>
  <c r="I417" i="59"/>
  <c r="H417" i="59"/>
  <c r="G417" i="59"/>
  <c r="F417" i="59"/>
  <c r="E417" i="59"/>
  <c r="D417" i="59"/>
  <c r="C417" i="59"/>
  <c r="B417" i="59"/>
  <c r="I416" i="59"/>
  <c r="H416" i="59"/>
  <c r="G416" i="59"/>
  <c r="F416" i="59"/>
  <c r="E416" i="59"/>
  <c r="D416" i="59"/>
  <c r="C416" i="59"/>
  <c r="B416" i="59"/>
  <c r="I415" i="59"/>
  <c r="H415" i="59"/>
  <c r="G415" i="59"/>
  <c r="F415" i="59"/>
  <c r="E415" i="59"/>
  <c r="D415" i="59"/>
  <c r="C415" i="59"/>
  <c r="B415" i="59"/>
  <c r="I414" i="59"/>
  <c r="H414" i="59"/>
  <c r="G414" i="59"/>
  <c r="F414" i="59"/>
  <c r="E414" i="59"/>
  <c r="D414" i="59"/>
  <c r="C414" i="59"/>
  <c r="B414" i="59"/>
  <c r="I413" i="59"/>
  <c r="H413" i="59"/>
  <c r="G413" i="59"/>
  <c r="F413" i="59"/>
  <c r="E413" i="59"/>
  <c r="D413" i="59"/>
  <c r="C413" i="59"/>
  <c r="B413" i="59"/>
  <c r="I412" i="59"/>
  <c r="H412" i="59"/>
  <c r="G412" i="59"/>
  <c r="F412" i="59"/>
  <c r="E412" i="59"/>
  <c r="D412" i="59"/>
  <c r="C412" i="59"/>
  <c r="B412" i="59"/>
  <c r="I411" i="59"/>
  <c r="H411" i="59"/>
  <c r="G411" i="59"/>
  <c r="F411" i="59"/>
  <c r="E411" i="59"/>
  <c r="D411" i="59"/>
  <c r="C411" i="59"/>
  <c r="B411" i="59"/>
  <c r="I410" i="59"/>
  <c r="H410" i="59"/>
  <c r="G410" i="59"/>
  <c r="F410" i="59"/>
  <c r="E410" i="59"/>
  <c r="D410" i="59"/>
  <c r="C410" i="59"/>
  <c r="B410" i="59"/>
  <c r="I409" i="59"/>
  <c r="H409" i="59"/>
  <c r="G409" i="59"/>
  <c r="F409" i="59"/>
  <c r="E409" i="59"/>
  <c r="D409" i="59"/>
  <c r="C409" i="59"/>
  <c r="B409" i="59"/>
  <c r="I408" i="59"/>
  <c r="H408" i="59"/>
  <c r="G408" i="59"/>
  <c r="F408" i="59"/>
  <c r="E408" i="59"/>
  <c r="D408" i="59"/>
  <c r="C408" i="59"/>
  <c r="B408" i="59"/>
  <c r="I407" i="59"/>
  <c r="H407" i="59"/>
  <c r="G407" i="59"/>
  <c r="F407" i="59"/>
  <c r="E407" i="59"/>
  <c r="D407" i="59"/>
  <c r="C407" i="59"/>
  <c r="B407" i="59"/>
  <c r="I406" i="59"/>
  <c r="H406" i="59"/>
  <c r="G406" i="59"/>
  <c r="F406" i="59"/>
  <c r="E406" i="59"/>
  <c r="D406" i="59"/>
  <c r="C406" i="59"/>
  <c r="B406" i="59"/>
  <c r="I405" i="59"/>
  <c r="H405" i="59"/>
  <c r="G405" i="59"/>
  <c r="F405" i="59"/>
  <c r="E405" i="59"/>
  <c r="D405" i="59"/>
  <c r="C405" i="59"/>
  <c r="B405" i="59"/>
  <c r="I404" i="59"/>
  <c r="H404" i="59"/>
  <c r="G404" i="59"/>
  <c r="F404" i="59"/>
  <c r="E404" i="59"/>
  <c r="D404" i="59"/>
  <c r="C404" i="59"/>
  <c r="B404" i="59"/>
  <c r="I403" i="59"/>
  <c r="H403" i="59"/>
  <c r="G403" i="59"/>
  <c r="F403" i="59"/>
  <c r="E403" i="59"/>
  <c r="D403" i="59"/>
  <c r="C403" i="59"/>
  <c r="B403" i="59"/>
  <c r="I402" i="59"/>
  <c r="H402" i="59"/>
  <c r="G402" i="59"/>
  <c r="F402" i="59"/>
  <c r="E402" i="59"/>
  <c r="D402" i="59"/>
  <c r="C402" i="59"/>
  <c r="B402" i="59"/>
  <c r="I401" i="59"/>
  <c r="H401" i="59"/>
  <c r="G401" i="59"/>
  <c r="F401" i="59"/>
  <c r="E401" i="59"/>
  <c r="D401" i="59"/>
  <c r="C401" i="59"/>
  <c r="B401" i="59"/>
  <c r="I400" i="59"/>
  <c r="H400" i="59"/>
  <c r="G400" i="59"/>
  <c r="F400" i="59"/>
  <c r="E400" i="59"/>
  <c r="D400" i="59"/>
  <c r="C400" i="59"/>
  <c r="B400" i="59"/>
  <c r="I399" i="59"/>
  <c r="H399" i="59"/>
  <c r="G399" i="59"/>
  <c r="F399" i="59"/>
  <c r="E399" i="59"/>
  <c r="D399" i="59"/>
  <c r="C399" i="59"/>
  <c r="B399" i="59"/>
  <c r="I398" i="59"/>
  <c r="H398" i="59"/>
  <c r="G398" i="59"/>
  <c r="F398" i="59"/>
  <c r="E398" i="59"/>
  <c r="D398" i="59"/>
  <c r="C398" i="59"/>
  <c r="B398" i="59"/>
  <c r="I397" i="59"/>
  <c r="H397" i="59"/>
  <c r="G397" i="59"/>
  <c r="F397" i="59"/>
  <c r="E397" i="59"/>
  <c r="D397" i="59"/>
  <c r="C397" i="59"/>
  <c r="B397" i="59"/>
  <c r="I396" i="59"/>
  <c r="H396" i="59"/>
  <c r="G396" i="59"/>
  <c r="F396" i="59"/>
  <c r="E396" i="59"/>
  <c r="D396" i="59"/>
  <c r="C396" i="59"/>
  <c r="B396" i="59"/>
  <c r="I395" i="59"/>
  <c r="H395" i="59"/>
  <c r="G395" i="59"/>
  <c r="F395" i="59"/>
  <c r="E395" i="59"/>
  <c r="D395" i="59"/>
  <c r="C395" i="59"/>
  <c r="B395" i="59"/>
  <c r="I394" i="59"/>
  <c r="H394" i="59"/>
  <c r="G394" i="59"/>
  <c r="F394" i="59"/>
  <c r="E394" i="59"/>
  <c r="D394" i="59"/>
  <c r="C394" i="59"/>
  <c r="B394" i="59"/>
  <c r="I393" i="59"/>
  <c r="H393" i="59"/>
  <c r="G393" i="59"/>
  <c r="F393" i="59"/>
  <c r="E393" i="59"/>
  <c r="D393" i="59"/>
  <c r="C393" i="59"/>
  <c r="B393" i="59"/>
  <c r="I392" i="59"/>
  <c r="H392" i="59"/>
  <c r="G392" i="59"/>
  <c r="F392" i="59"/>
  <c r="E392" i="59"/>
  <c r="D392" i="59"/>
  <c r="C392" i="59"/>
  <c r="B392" i="59"/>
  <c r="I391" i="59"/>
  <c r="H391" i="59"/>
  <c r="G391" i="59"/>
  <c r="F391" i="59"/>
  <c r="E391" i="59"/>
  <c r="D391" i="59"/>
  <c r="C391" i="59"/>
  <c r="B391" i="59"/>
  <c r="I390" i="59"/>
  <c r="H390" i="59"/>
  <c r="G390" i="59"/>
  <c r="F390" i="59"/>
  <c r="E390" i="59"/>
  <c r="D390" i="59"/>
  <c r="C390" i="59"/>
  <c r="B390" i="59"/>
  <c r="I388" i="59"/>
  <c r="H388" i="59"/>
  <c r="G388" i="59"/>
  <c r="F388" i="59"/>
  <c r="E388" i="59"/>
  <c r="D388" i="59"/>
  <c r="C388" i="59"/>
  <c r="B388" i="59"/>
  <c r="I387" i="59"/>
  <c r="H387" i="59"/>
  <c r="G387" i="59"/>
  <c r="F387" i="59"/>
  <c r="E387" i="59"/>
  <c r="D387" i="59"/>
  <c r="C387" i="59"/>
  <c r="B387" i="59"/>
  <c r="I386" i="59"/>
  <c r="H386" i="59"/>
  <c r="G386" i="59"/>
  <c r="F386" i="59"/>
  <c r="E386" i="59"/>
  <c r="D386" i="59"/>
  <c r="C386" i="59"/>
  <c r="B386" i="59"/>
  <c r="I385" i="59"/>
  <c r="H385" i="59"/>
  <c r="G385" i="59"/>
  <c r="F385" i="59"/>
  <c r="E385" i="59"/>
  <c r="D385" i="59"/>
  <c r="C385" i="59"/>
  <c r="B385" i="59"/>
  <c r="I384" i="59"/>
  <c r="H384" i="59"/>
  <c r="G384" i="59"/>
  <c r="F384" i="59"/>
  <c r="E384" i="59"/>
  <c r="D384" i="59"/>
  <c r="C384" i="59"/>
  <c r="B384" i="59"/>
  <c r="I383" i="59"/>
  <c r="H383" i="59"/>
  <c r="G383" i="59"/>
  <c r="F383" i="59"/>
  <c r="E383" i="59"/>
  <c r="D383" i="59"/>
  <c r="C383" i="59"/>
  <c r="B383" i="59"/>
  <c r="I382" i="59"/>
  <c r="H382" i="59"/>
  <c r="G382" i="59"/>
  <c r="F382" i="59"/>
  <c r="E382" i="59"/>
  <c r="D382" i="59"/>
  <c r="C382" i="59"/>
  <c r="B382" i="59"/>
  <c r="I381" i="59"/>
  <c r="H381" i="59"/>
  <c r="G381" i="59"/>
  <c r="F381" i="59"/>
  <c r="E381" i="59"/>
  <c r="D381" i="59"/>
  <c r="C381" i="59"/>
  <c r="B381" i="59"/>
  <c r="I380" i="59"/>
  <c r="H380" i="59"/>
  <c r="G380" i="59"/>
  <c r="F380" i="59"/>
  <c r="E380" i="59"/>
  <c r="D380" i="59"/>
  <c r="C380" i="59"/>
  <c r="B380" i="59"/>
  <c r="I379" i="59"/>
  <c r="H379" i="59"/>
  <c r="G379" i="59"/>
  <c r="F379" i="59"/>
  <c r="E379" i="59"/>
  <c r="D379" i="59"/>
  <c r="C379" i="59"/>
  <c r="B379" i="59"/>
  <c r="I378" i="59"/>
  <c r="H378" i="59"/>
  <c r="G378" i="59"/>
  <c r="F378" i="59"/>
  <c r="E378" i="59"/>
  <c r="D378" i="59"/>
  <c r="C378" i="59"/>
  <c r="B378" i="59"/>
  <c r="I377" i="59"/>
  <c r="H377" i="59"/>
  <c r="G377" i="59"/>
  <c r="F377" i="59"/>
  <c r="E377" i="59"/>
  <c r="D377" i="59"/>
  <c r="C377" i="59"/>
  <c r="B377" i="59"/>
  <c r="I376" i="59"/>
  <c r="H376" i="59"/>
  <c r="G376" i="59"/>
  <c r="F376" i="59"/>
  <c r="E376" i="59"/>
  <c r="D376" i="59"/>
  <c r="C376" i="59"/>
  <c r="B376" i="59"/>
  <c r="I375" i="59"/>
  <c r="H375" i="59"/>
  <c r="G375" i="59"/>
  <c r="F375" i="59"/>
  <c r="E375" i="59"/>
  <c r="D375" i="59"/>
  <c r="C375" i="59"/>
  <c r="B375" i="59"/>
  <c r="I374" i="59"/>
  <c r="H374" i="59"/>
  <c r="G374" i="59"/>
  <c r="F374" i="59"/>
  <c r="E374" i="59"/>
  <c r="D374" i="59"/>
  <c r="C374" i="59"/>
  <c r="B374" i="59"/>
  <c r="I373" i="59"/>
  <c r="H373" i="59"/>
  <c r="G373" i="59"/>
  <c r="F373" i="59"/>
  <c r="E373" i="59"/>
  <c r="D373" i="59"/>
  <c r="C373" i="59"/>
  <c r="B373" i="59"/>
  <c r="I372" i="59"/>
  <c r="H372" i="59"/>
  <c r="G372" i="59"/>
  <c r="F372" i="59"/>
  <c r="E372" i="59"/>
  <c r="D372" i="59"/>
  <c r="C372" i="59"/>
  <c r="B372" i="59"/>
  <c r="I371" i="59"/>
  <c r="H371" i="59"/>
  <c r="G371" i="59"/>
  <c r="F371" i="59"/>
  <c r="E371" i="59"/>
  <c r="D371" i="59"/>
  <c r="C371" i="59"/>
  <c r="B371" i="59"/>
  <c r="I370" i="59"/>
  <c r="H370" i="59"/>
  <c r="G370" i="59"/>
  <c r="F370" i="59"/>
  <c r="E370" i="59"/>
  <c r="D370" i="59"/>
  <c r="C370" i="59"/>
  <c r="B370" i="59"/>
  <c r="I369" i="59"/>
  <c r="H369" i="59"/>
  <c r="G369" i="59"/>
  <c r="F369" i="59"/>
  <c r="E369" i="59"/>
  <c r="D369" i="59"/>
  <c r="C369" i="59"/>
  <c r="B369" i="59"/>
  <c r="I368" i="59"/>
  <c r="H368" i="59"/>
  <c r="G368" i="59"/>
  <c r="F368" i="59"/>
  <c r="E368" i="59"/>
  <c r="D368" i="59"/>
  <c r="C368" i="59"/>
  <c r="B368" i="59"/>
  <c r="I367" i="59"/>
  <c r="H367" i="59"/>
  <c r="G367" i="59"/>
  <c r="F367" i="59"/>
  <c r="E367" i="59"/>
  <c r="D367" i="59"/>
  <c r="C367" i="59"/>
  <c r="B367" i="59"/>
  <c r="I366" i="59"/>
  <c r="H366" i="59"/>
  <c r="G366" i="59"/>
  <c r="F366" i="59"/>
  <c r="E366" i="59"/>
  <c r="D366" i="59"/>
  <c r="C366" i="59"/>
  <c r="B366" i="59"/>
  <c r="I365" i="59"/>
  <c r="H365" i="59"/>
  <c r="G365" i="59"/>
  <c r="F365" i="59"/>
  <c r="E365" i="59"/>
  <c r="D365" i="59"/>
  <c r="C365" i="59"/>
  <c r="B365" i="59"/>
  <c r="I364" i="59"/>
  <c r="H364" i="59"/>
  <c r="G364" i="59"/>
  <c r="F364" i="59"/>
  <c r="E364" i="59"/>
  <c r="D364" i="59"/>
  <c r="C364" i="59"/>
  <c r="B364" i="59"/>
  <c r="I363" i="59"/>
  <c r="H363" i="59"/>
  <c r="G363" i="59"/>
  <c r="F363" i="59"/>
  <c r="E363" i="59"/>
  <c r="D363" i="59"/>
  <c r="C363" i="59"/>
  <c r="B363" i="59"/>
  <c r="I362" i="59"/>
  <c r="H362" i="59"/>
  <c r="G362" i="59"/>
  <c r="F362" i="59"/>
  <c r="E362" i="59"/>
  <c r="D362" i="59"/>
  <c r="C362" i="59"/>
  <c r="B362" i="59"/>
  <c r="I361" i="59"/>
  <c r="H361" i="59"/>
  <c r="G361" i="59"/>
  <c r="F361" i="59"/>
  <c r="E361" i="59"/>
  <c r="D361" i="59"/>
  <c r="C361" i="59"/>
  <c r="B361" i="59"/>
  <c r="I360" i="59"/>
  <c r="H360" i="59"/>
  <c r="G360" i="59"/>
  <c r="F360" i="59"/>
  <c r="E360" i="59"/>
  <c r="D360" i="59"/>
  <c r="C360" i="59"/>
  <c r="B360" i="59"/>
  <c r="I359" i="59"/>
  <c r="H359" i="59"/>
  <c r="G359" i="59"/>
  <c r="F359" i="59"/>
  <c r="E359" i="59"/>
  <c r="D359" i="59"/>
  <c r="C359" i="59"/>
  <c r="B359" i="59"/>
  <c r="I358" i="59"/>
  <c r="H358" i="59"/>
  <c r="G358" i="59"/>
  <c r="F358" i="59"/>
  <c r="E358" i="59"/>
  <c r="D358" i="59"/>
  <c r="C358" i="59"/>
  <c r="B358" i="59"/>
  <c r="I357" i="59"/>
  <c r="H357" i="59"/>
  <c r="G357" i="59"/>
  <c r="F357" i="59"/>
  <c r="E357" i="59"/>
  <c r="D357" i="59"/>
  <c r="C357" i="59"/>
  <c r="B357" i="59"/>
  <c r="I356" i="59"/>
  <c r="H356" i="59"/>
  <c r="G356" i="59"/>
  <c r="F356" i="59"/>
  <c r="E356" i="59"/>
  <c r="D356" i="59"/>
  <c r="C356" i="59"/>
  <c r="B356" i="59"/>
  <c r="I355" i="59"/>
  <c r="H355" i="59"/>
  <c r="G355" i="59"/>
  <c r="F355" i="59"/>
  <c r="E355" i="59"/>
  <c r="D355" i="59"/>
  <c r="C355" i="59"/>
  <c r="B355" i="59"/>
  <c r="I354" i="59"/>
  <c r="H354" i="59"/>
  <c r="G354" i="59"/>
  <c r="F354" i="59"/>
  <c r="E354" i="59"/>
  <c r="D354" i="59"/>
  <c r="C354" i="59"/>
  <c r="B354" i="59"/>
  <c r="I353" i="59"/>
  <c r="H353" i="59"/>
  <c r="G353" i="59"/>
  <c r="F353" i="59"/>
  <c r="E353" i="59"/>
  <c r="D353" i="59"/>
  <c r="C353" i="59"/>
  <c r="B353" i="59"/>
  <c r="I352" i="59"/>
  <c r="H352" i="59"/>
  <c r="G352" i="59"/>
  <c r="F352" i="59"/>
  <c r="E352" i="59"/>
  <c r="D352" i="59"/>
  <c r="C352" i="59"/>
  <c r="B352" i="59"/>
  <c r="I351" i="59"/>
  <c r="H351" i="59"/>
  <c r="G351" i="59"/>
  <c r="F351" i="59"/>
  <c r="E351" i="59"/>
  <c r="D351" i="59"/>
  <c r="C351" i="59"/>
  <c r="B351" i="59"/>
  <c r="I350" i="59"/>
  <c r="H350" i="59"/>
  <c r="G350" i="59"/>
  <c r="F350" i="59"/>
  <c r="E350" i="59"/>
  <c r="D350" i="59"/>
  <c r="C350" i="59"/>
  <c r="B350" i="59"/>
  <c r="I349" i="59"/>
  <c r="H349" i="59"/>
  <c r="G349" i="59"/>
  <c r="F349" i="59"/>
  <c r="E349" i="59"/>
  <c r="D349" i="59"/>
  <c r="C349" i="59"/>
  <c r="B349" i="59"/>
  <c r="I348" i="59"/>
  <c r="H348" i="59"/>
  <c r="G348" i="59"/>
  <c r="F348" i="59"/>
  <c r="E348" i="59"/>
  <c r="D348" i="59"/>
  <c r="C348" i="59"/>
  <c r="B348" i="59"/>
  <c r="I347" i="59"/>
  <c r="H347" i="59"/>
  <c r="G347" i="59"/>
  <c r="F347" i="59"/>
  <c r="E347" i="59"/>
  <c r="D347" i="59"/>
  <c r="C347" i="59"/>
  <c r="B347" i="59"/>
  <c r="I346" i="59"/>
  <c r="H346" i="59"/>
  <c r="G346" i="59"/>
  <c r="F346" i="59"/>
  <c r="E346" i="59"/>
  <c r="D346" i="59"/>
  <c r="C346" i="59"/>
  <c r="B346" i="59"/>
  <c r="I345" i="59"/>
  <c r="H345" i="59"/>
  <c r="G345" i="59"/>
  <c r="F345" i="59"/>
  <c r="E345" i="59"/>
  <c r="D345" i="59"/>
  <c r="C345" i="59"/>
  <c r="B345" i="59"/>
  <c r="I344" i="59"/>
  <c r="H344" i="59"/>
  <c r="G344" i="59"/>
  <c r="F344" i="59"/>
  <c r="E344" i="59"/>
  <c r="D344" i="59"/>
  <c r="C344" i="59"/>
  <c r="B344" i="59"/>
  <c r="I343" i="59"/>
  <c r="H343" i="59"/>
  <c r="G343" i="59"/>
  <c r="F343" i="59"/>
  <c r="E343" i="59"/>
  <c r="D343" i="59"/>
  <c r="C343" i="59"/>
  <c r="B343" i="59"/>
  <c r="I342" i="59"/>
  <c r="H342" i="59"/>
  <c r="G342" i="59"/>
  <c r="F342" i="59"/>
  <c r="E342" i="59"/>
  <c r="D342" i="59"/>
  <c r="C342" i="59"/>
  <c r="B342" i="59"/>
  <c r="I341" i="59"/>
  <c r="H341" i="59"/>
  <c r="G341" i="59"/>
  <c r="F341" i="59"/>
  <c r="E341" i="59"/>
  <c r="D341" i="59"/>
  <c r="C341" i="59"/>
  <c r="B341" i="59"/>
  <c r="I340" i="59"/>
  <c r="H340" i="59"/>
  <c r="G340" i="59"/>
  <c r="F340" i="59"/>
  <c r="E340" i="59"/>
  <c r="D340" i="59"/>
  <c r="C340" i="59"/>
  <c r="B340" i="59"/>
  <c r="I339" i="59"/>
  <c r="H339" i="59"/>
  <c r="G339" i="59"/>
  <c r="F339" i="59"/>
  <c r="E339" i="59"/>
  <c r="D339" i="59"/>
  <c r="C339" i="59"/>
  <c r="B339" i="59"/>
  <c r="I338" i="59"/>
  <c r="H338" i="59"/>
  <c r="G338" i="59"/>
  <c r="F338" i="59"/>
  <c r="E338" i="59"/>
  <c r="D338" i="59"/>
  <c r="C338" i="59"/>
  <c r="B338" i="59"/>
  <c r="I337" i="59"/>
  <c r="H337" i="59"/>
  <c r="G337" i="59"/>
  <c r="F337" i="59"/>
  <c r="E337" i="59"/>
  <c r="D337" i="59"/>
  <c r="C337" i="59"/>
  <c r="B337" i="59"/>
  <c r="I336" i="59"/>
  <c r="H336" i="59"/>
  <c r="G336" i="59"/>
  <c r="F336" i="59"/>
  <c r="E336" i="59"/>
  <c r="D336" i="59"/>
  <c r="C336" i="59"/>
  <c r="B336" i="59"/>
  <c r="I335" i="59"/>
  <c r="H335" i="59"/>
  <c r="G335" i="59"/>
  <c r="F335" i="59"/>
  <c r="E335" i="59"/>
  <c r="D335" i="59"/>
  <c r="C335" i="59"/>
  <c r="B335" i="59"/>
  <c r="I334" i="59"/>
  <c r="H334" i="59"/>
  <c r="G334" i="59"/>
  <c r="F334" i="59"/>
  <c r="E334" i="59"/>
  <c r="D334" i="59"/>
  <c r="C334" i="59"/>
  <c r="B334" i="59"/>
  <c r="I333" i="59"/>
  <c r="H333" i="59"/>
  <c r="G333" i="59"/>
  <c r="F333" i="59"/>
  <c r="E333" i="59"/>
  <c r="D333" i="59"/>
  <c r="C333" i="59"/>
  <c r="B333" i="59"/>
  <c r="I332" i="59"/>
  <c r="H332" i="59"/>
  <c r="G332" i="59"/>
  <c r="F332" i="59"/>
  <c r="E332" i="59"/>
  <c r="D332" i="59"/>
  <c r="C332" i="59"/>
  <c r="B332" i="59"/>
  <c r="I331" i="59"/>
  <c r="H331" i="59"/>
  <c r="G331" i="59"/>
  <c r="F331" i="59"/>
  <c r="E331" i="59"/>
  <c r="D331" i="59"/>
  <c r="C331" i="59"/>
  <c r="B331" i="59"/>
  <c r="I330" i="59"/>
  <c r="H330" i="59"/>
  <c r="G330" i="59"/>
  <c r="F330" i="59"/>
  <c r="E330" i="59"/>
  <c r="D330" i="59"/>
  <c r="C330" i="59"/>
  <c r="B330" i="59"/>
  <c r="I329" i="59"/>
  <c r="H329" i="59"/>
  <c r="G329" i="59"/>
  <c r="F329" i="59"/>
  <c r="E329" i="59"/>
  <c r="D329" i="59"/>
  <c r="C329" i="59"/>
  <c r="B329" i="59"/>
  <c r="I328" i="59"/>
  <c r="H328" i="59"/>
  <c r="G328" i="59"/>
  <c r="F328" i="59"/>
  <c r="E328" i="59"/>
  <c r="D328" i="59"/>
  <c r="C328" i="59"/>
  <c r="B328" i="59"/>
  <c r="I327" i="59"/>
  <c r="H327" i="59"/>
  <c r="G327" i="59"/>
  <c r="F327" i="59"/>
  <c r="E327" i="59"/>
  <c r="D327" i="59"/>
  <c r="C327" i="59"/>
  <c r="B327" i="59"/>
  <c r="I326" i="59"/>
  <c r="H326" i="59"/>
  <c r="G326" i="59"/>
  <c r="F326" i="59"/>
  <c r="E326" i="59"/>
  <c r="D326" i="59"/>
  <c r="C326" i="59"/>
  <c r="B326" i="59"/>
  <c r="I325" i="59"/>
  <c r="H325" i="59"/>
  <c r="G325" i="59"/>
  <c r="F325" i="59"/>
  <c r="E325" i="59"/>
  <c r="D325" i="59"/>
  <c r="C325" i="59"/>
  <c r="B325" i="59"/>
  <c r="I324" i="59"/>
  <c r="H324" i="59"/>
  <c r="G324" i="59"/>
  <c r="F324" i="59"/>
  <c r="E324" i="59"/>
  <c r="D324" i="59"/>
  <c r="C324" i="59"/>
  <c r="B324" i="59"/>
  <c r="I323" i="59"/>
  <c r="H323" i="59"/>
  <c r="G323" i="59"/>
  <c r="F323" i="59"/>
  <c r="E323" i="59"/>
  <c r="D323" i="59"/>
  <c r="C323" i="59"/>
  <c r="B323" i="59"/>
  <c r="I322" i="59"/>
  <c r="H322" i="59"/>
  <c r="G322" i="59"/>
  <c r="F322" i="59"/>
  <c r="E322" i="59"/>
  <c r="D322" i="59"/>
  <c r="C322" i="59"/>
  <c r="B322" i="59"/>
  <c r="I321" i="59"/>
  <c r="H321" i="59"/>
  <c r="G321" i="59"/>
  <c r="F321" i="59"/>
  <c r="E321" i="59"/>
  <c r="D321" i="59"/>
  <c r="C321" i="59"/>
  <c r="B321" i="59"/>
  <c r="I320" i="59"/>
  <c r="H320" i="59"/>
  <c r="G320" i="59"/>
  <c r="F320" i="59"/>
  <c r="E320" i="59"/>
  <c r="D320" i="59"/>
  <c r="C320" i="59"/>
  <c r="B320" i="59"/>
  <c r="I319" i="59"/>
  <c r="H319" i="59"/>
  <c r="G319" i="59"/>
  <c r="F319" i="59"/>
  <c r="E319" i="59"/>
  <c r="D319" i="59"/>
  <c r="C319" i="59"/>
  <c r="B319" i="59"/>
  <c r="I318" i="59"/>
  <c r="H318" i="59"/>
  <c r="G318" i="59"/>
  <c r="F318" i="59"/>
  <c r="E318" i="59"/>
  <c r="D318" i="59"/>
  <c r="C318" i="59"/>
  <c r="B318" i="59"/>
  <c r="I317" i="59"/>
  <c r="H317" i="59"/>
  <c r="G317" i="59"/>
  <c r="F317" i="59"/>
  <c r="E317" i="59"/>
  <c r="D317" i="59"/>
  <c r="C317" i="59"/>
  <c r="B317" i="59"/>
  <c r="I316" i="59"/>
  <c r="H316" i="59"/>
  <c r="G316" i="59"/>
  <c r="F316" i="59"/>
  <c r="E316" i="59"/>
  <c r="D316" i="59"/>
  <c r="C316" i="59"/>
  <c r="B316" i="59"/>
  <c r="I315" i="59"/>
  <c r="H315" i="59"/>
  <c r="G315" i="59"/>
  <c r="F315" i="59"/>
  <c r="E315" i="59"/>
  <c r="D315" i="59"/>
  <c r="C315" i="59"/>
  <c r="B315" i="59"/>
  <c r="I314" i="59"/>
  <c r="H314" i="59"/>
  <c r="G314" i="59"/>
  <c r="F314" i="59"/>
  <c r="E314" i="59"/>
  <c r="D314" i="59"/>
  <c r="C314" i="59"/>
  <c r="B314" i="59"/>
  <c r="I312" i="59"/>
  <c r="H312" i="59"/>
  <c r="G312" i="59"/>
  <c r="F312" i="59"/>
  <c r="E312" i="59"/>
  <c r="D312" i="59"/>
  <c r="C312" i="59"/>
  <c r="B312" i="59"/>
  <c r="I311" i="59"/>
  <c r="H311" i="59"/>
  <c r="G311" i="59"/>
  <c r="F311" i="59"/>
  <c r="E311" i="59"/>
  <c r="D311" i="59"/>
  <c r="C311" i="59"/>
  <c r="B311" i="59"/>
  <c r="I310" i="59"/>
  <c r="H310" i="59"/>
  <c r="G310" i="59"/>
  <c r="F310" i="59"/>
  <c r="E310" i="59"/>
  <c r="D310" i="59"/>
  <c r="C310" i="59"/>
  <c r="B310" i="59"/>
  <c r="I309" i="59"/>
  <c r="H309" i="59"/>
  <c r="G309" i="59"/>
  <c r="F309" i="59"/>
  <c r="E309" i="59"/>
  <c r="D309" i="59"/>
  <c r="C309" i="59"/>
  <c r="B309" i="59"/>
  <c r="I308" i="59"/>
  <c r="H308" i="59"/>
  <c r="G308" i="59"/>
  <c r="F308" i="59"/>
  <c r="E308" i="59"/>
  <c r="D308" i="59"/>
  <c r="C308" i="59"/>
  <c r="B308" i="59"/>
  <c r="I307" i="59"/>
  <c r="H307" i="59"/>
  <c r="G307" i="59"/>
  <c r="F307" i="59"/>
  <c r="E307" i="59"/>
  <c r="D307" i="59"/>
  <c r="C307" i="59"/>
  <c r="B307" i="59"/>
  <c r="I306" i="59"/>
  <c r="H306" i="59"/>
  <c r="G306" i="59"/>
  <c r="F306" i="59"/>
  <c r="E306" i="59"/>
  <c r="D306" i="59"/>
  <c r="C306" i="59"/>
  <c r="B306" i="59"/>
  <c r="I305" i="59"/>
  <c r="H305" i="59"/>
  <c r="G305" i="59"/>
  <c r="F305" i="59"/>
  <c r="E305" i="59"/>
  <c r="D305" i="59"/>
  <c r="C305" i="59"/>
  <c r="B305" i="59"/>
  <c r="I304" i="59"/>
  <c r="H304" i="59"/>
  <c r="G304" i="59"/>
  <c r="F304" i="59"/>
  <c r="E304" i="59"/>
  <c r="D304" i="59"/>
  <c r="C304" i="59"/>
  <c r="B304" i="59"/>
  <c r="I303" i="59"/>
  <c r="H303" i="59"/>
  <c r="G303" i="59"/>
  <c r="F303" i="59"/>
  <c r="E303" i="59"/>
  <c r="D303" i="59"/>
  <c r="C303" i="59"/>
  <c r="B303" i="59"/>
  <c r="I302" i="59"/>
  <c r="H302" i="59"/>
  <c r="G302" i="59"/>
  <c r="F302" i="59"/>
  <c r="E302" i="59"/>
  <c r="D302" i="59"/>
  <c r="C302" i="59"/>
  <c r="B302" i="59"/>
  <c r="I301" i="59"/>
  <c r="H301" i="59"/>
  <c r="G301" i="59"/>
  <c r="F301" i="59"/>
  <c r="E301" i="59"/>
  <c r="D301" i="59"/>
  <c r="C301" i="59"/>
  <c r="B301" i="59"/>
  <c r="I300" i="59"/>
  <c r="H300" i="59"/>
  <c r="G300" i="59"/>
  <c r="F300" i="59"/>
  <c r="E300" i="59"/>
  <c r="D300" i="59"/>
  <c r="C300" i="59"/>
  <c r="B300" i="59"/>
  <c r="I299" i="59"/>
  <c r="H299" i="59"/>
  <c r="G299" i="59"/>
  <c r="F299" i="59"/>
  <c r="E299" i="59"/>
  <c r="D299" i="59"/>
  <c r="C299" i="59"/>
  <c r="B299" i="59"/>
  <c r="I298" i="59"/>
  <c r="H298" i="59"/>
  <c r="G298" i="59"/>
  <c r="F298" i="59"/>
  <c r="E298" i="59"/>
  <c r="D298" i="59"/>
  <c r="C298" i="59"/>
  <c r="B298" i="59"/>
  <c r="I297" i="59"/>
  <c r="H297" i="59"/>
  <c r="G297" i="59"/>
  <c r="F297" i="59"/>
  <c r="E297" i="59"/>
  <c r="D297" i="59"/>
  <c r="C297" i="59"/>
  <c r="B297" i="59"/>
  <c r="I296" i="59"/>
  <c r="H296" i="59"/>
  <c r="G296" i="59"/>
  <c r="F296" i="59"/>
  <c r="E296" i="59"/>
  <c r="D296" i="59"/>
  <c r="C296" i="59"/>
  <c r="B296" i="59"/>
  <c r="I295" i="59"/>
  <c r="H295" i="59"/>
  <c r="G295" i="59"/>
  <c r="F295" i="59"/>
  <c r="E295" i="59"/>
  <c r="D295" i="59"/>
  <c r="C295" i="59"/>
  <c r="B295" i="59"/>
  <c r="I294" i="59"/>
  <c r="H294" i="59"/>
  <c r="G294" i="59"/>
  <c r="F294" i="59"/>
  <c r="E294" i="59"/>
  <c r="D294" i="59"/>
  <c r="C294" i="59"/>
  <c r="B294" i="59"/>
  <c r="I293" i="59"/>
  <c r="H293" i="59"/>
  <c r="G293" i="59"/>
  <c r="F293" i="59"/>
  <c r="E293" i="59"/>
  <c r="D293" i="59"/>
  <c r="C293" i="59"/>
  <c r="B293" i="59"/>
  <c r="I292" i="59"/>
  <c r="H292" i="59"/>
  <c r="G292" i="59"/>
  <c r="F292" i="59"/>
  <c r="E292" i="59"/>
  <c r="D292" i="59"/>
  <c r="C292" i="59"/>
  <c r="B292" i="59"/>
  <c r="I291" i="59"/>
  <c r="H291" i="59"/>
  <c r="G291" i="59"/>
  <c r="F291" i="59"/>
  <c r="E291" i="59"/>
  <c r="D291" i="59"/>
  <c r="C291" i="59"/>
  <c r="B291" i="59"/>
  <c r="I290" i="59"/>
  <c r="H290" i="59"/>
  <c r="G290" i="59"/>
  <c r="F290" i="59"/>
  <c r="E290" i="59"/>
  <c r="D290" i="59"/>
  <c r="C290" i="59"/>
  <c r="B290" i="59"/>
  <c r="I289" i="59"/>
  <c r="H289" i="59"/>
  <c r="G289" i="59"/>
  <c r="F289" i="59"/>
  <c r="E289" i="59"/>
  <c r="D289" i="59"/>
  <c r="C289" i="59"/>
  <c r="B289" i="59"/>
  <c r="I288" i="59"/>
  <c r="H288" i="59"/>
  <c r="G288" i="59"/>
  <c r="F288" i="59"/>
  <c r="E288" i="59"/>
  <c r="D288" i="59"/>
  <c r="C288" i="59"/>
  <c r="B288" i="59"/>
  <c r="I287" i="59"/>
  <c r="H287" i="59"/>
  <c r="G287" i="59"/>
  <c r="F287" i="59"/>
  <c r="E287" i="59"/>
  <c r="D287" i="59"/>
  <c r="C287" i="59"/>
  <c r="B287" i="59"/>
  <c r="I286" i="59"/>
  <c r="H286" i="59"/>
  <c r="G286" i="59"/>
  <c r="F286" i="59"/>
  <c r="E286" i="59"/>
  <c r="D286" i="59"/>
  <c r="C286" i="59"/>
  <c r="B286" i="59"/>
  <c r="I285" i="59"/>
  <c r="H285" i="59"/>
  <c r="G285" i="59"/>
  <c r="F285" i="59"/>
  <c r="E285" i="59"/>
  <c r="D285" i="59"/>
  <c r="C285" i="59"/>
  <c r="B285" i="59"/>
  <c r="I284" i="59"/>
  <c r="H284" i="59"/>
  <c r="G284" i="59"/>
  <c r="F284" i="59"/>
  <c r="E284" i="59"/>
  <c r="D284" i="59"/>
  <c r="C284" i="59"/>
  <c r="B284" i="59"/>
  <c r="I283" i="59"/>
  <c r="H283" i="59"/>
  <c r="G283" i="59"/>
  <c r="F283" i="59"/>
  <c r="E283" i="59"/>
  <c r="D283" i="59"/>
  <c r="C283" i="59"/>
  <c r="B283" i="59"/>
  <c r="I282" i="59"/>
  <c r="H282" i="59"/>
  <c r="G282" i="59"/>
  <c r="F282" i="59"/>
  <c r="E282" i="59"/>
  <c r="D282" i="59"/>
  <c r="C282" i="59"/>
  <c r="B282" i="59"/>
  <c r="I281" i="59"/>
  <c r="H281" i="59"/>
  <c r="G281" i="59"/>
  <c r="F281" i="59"/>
  <c r="E281" i="59"/>
  <c r="D281" i="59"/>
  <c r="C281" i="59"/>
  <c r="B281" i="59"/>
  <c r="I280" i="59"/>
  <c r="H280" i="59"/>
  <c r="G280" i="59"/>
  <c r="F280" i="59"/>
  <c r="E280" i="59"/>
  <c r="D280" i="59"/>
  <c r="C280" i="59"/>
  <c r="B280" i="59"/>
  <c r="I279" i="59"/>
  <c r="H279" i="59"/>
  <c r="G279" i="59"/>
  <c r="F279" i="59"/>
  <c r="E279" i="59"/>
  <c r="D279" i="59"/>
  <c r="C279" i="59"/>
  <c r="B279" i="59"/>
  <c r="I278" i="59"/>
  <c r="H278" i="59"/>
  <c r="G278" i="59"/>
  <c r="F278" i="59"/>
  <c r="E278" i="59"/>
  <c r="D278" i="59"/>
  <c r="C278" i="59"/>
  <c r="B278" i="59"/>
  <c r="I277" i="59"/>
  <c r="H277" i="59"/>
  <c r="G277" i="59"/>
  <c r="F277" i="59"/>
  <c r="E277" i="59"/>
  <c r="D277" i="59"/>
  <c r="C277" i="59"/>
  <c r="B277" i="59"/>
  <c r="I276" i="59"/>
  <c r="H276" i="59"/>
  <c r="G276" i="59"/>
  <c r="F276" i="59"/>
  <c r="E276" i="59"/>
  <c r="D276" i="59"/>
  <c r="C276" i="59"/>
  <c r="B276" i="59"/>
  <c r="I275" i="59"/>
  <c r="H275" i="59"/>
  <c r="G275" i="59"/>
  <c r="F275" i="59"/>
  <c r="E275" i="59"/>
  <c r="D275" i="59"/>
  <c r="C275" i="59"/>
  <c r="B275" i="59"/>
  <c r="I274" i="59"/>
  <c r="H274" i="59"/>
  <c r="G274" i="59"/>
  <c r="F274" i="59"/>
  <c r="E274" i="59"/>
  <c r="D274" i="59"/>
  <c r="C274" i="59"/>
  <c r="B274" i="59"/>
  <c r="I273" i="59"/>
  <c r="H273" i="59"/>
  <c r="G273" i="59"/>
  <c r="F273" i="59"/>
  <c r="E273" i="59"/>
  <c r="D273" i="59"/>
  <c r="C273" i="59"/>
  <c r="B273" i="59"/>
  <c r="I272" i="59"/>
  <c r="H272" i="59"/>
  <c r="G272" i="59"/>
  <c r="F272" i="59"/>
  <c r="E272" i="59"/>
  <c r="D272" i="59"/>
  <c r="C272" i="59"/>
  <c r="B272" i="59"/>
  <c r="I271" i="59"/>
  <c r="H271" i="59"/>
  <c r="G271" i="59"/>
  <c r="F271" i="59"/>
  <c r="E271" i="59"/>
  <c r="D271" i="59"/>
  <c r="C271" i="59"/>
  <c r="B271" i="59"/>
  <c r="I270" i="59"/>
  <c r="H270" i="59"/>
  <c r="G270" i="59"/>
  <c r="F270" i="59"/>
  <c r="E270" i="59"/>
  <c r="D270" i="59"/>
  <c r="C270" i="59"/>
  <c r="B270" i="59"/>
  <c r="I269" i="59"/>
  <c r="H269" i="59"/>
  <c r="G269" i="59"/>
  <c r="F269" i="59"/>
  <c r="E269" i="59"/>
  <c r="D269" i="59"/>
  <c r="C269" i="59"/>
  <c r="B269" i="59"/>
  <c r="I268" i="59"/>
  <c r="H268" i="59"/>
  <c r="G268" i="59"/>
  <c r="F268" i="59"/>
  <c r="E268" i="59"/>
  <c r="D268" i="59"/>
  <c r="C268" i="59"/>
  <c r="B268" i="59"/>
  <c r="I267" i="59"/>
  <c r="H267" i="59"/>
  <c r="G267" i="59"/>
  <c r="F267" i="59"/>
  <c r="E267" i="59"/>
  <c r="D267" i="59"/>
  <c r="C267" i="59"/>
  <c r="B267" i="59"/>
  <c r="I266" i="59"/>
  <c r="H266" i="59"/>
  <c r="G266" i="59"/>
  <c r="F266" i="59"/>
  <c r="E266" i="59"/>
  <c r="D266" i="59"/>
  <c r="C266" i="59"/>
  <c r="B266" i="59"/>
  <c r="I265" i="59"/>
  <c r="H265" i="59"/>
  <c r="G265" i="59"/>
  <c r="F265" i="59"/>
  <c r="E265" i="59"/>
  <c r="D265" i="59"/>
  <c r="C265" i="59"/>
  <c r="B265" i="59"/>
  <c r="I264" i="59"/>
  <c r="H264" i="59"/>
  <c r="G264" i="59"/>
  <c r="F264" i="59"/>
  <c r="E264" i="59"/>
  <c r="D264" i="59"/>
  <c r="C264" i="59"/>
  <c r="B264" i="59"/>
  <c r="I263" i="59"/>
  <c r="H263" i="59"/>
  <c r="G263" i="59"/>
  <c r="F263" i="59"/>
  <c r="E263" i="59"/>
  <c r="D263" i="59"/>
  <c r="C263" i="59"/>
  <c r="B263" i="59"/>
  <c r="I262" i="59"/>
  <c r="H262" i="59"/>
  <c r="G262" i="59"/>
  <c r="F262" i="59"/>
  <c r="E262" i="59"/>
  <c r="D262" i="59"/>
  <c r="C262" i="59"/>
  <c r="B262" i="59"/>
  <c r="I261" i="59"/>
  <c r="H261" i="59"/>
  <c r="G261" i="59"/>
  <c r="F261" i="59"/>
  <c r="E261" i="59"/>
  <c r="D261" i="59"/>
  <c r="C261" i="59"/>
  <c r="B261" i="59"/>
  <c r="I260" i="59"/>
  <c r="H260" i="59"/>
  <c r="G260" i="59"/>
  <c r="F260" i="59"/>
  <c r="E260" i="59"/>
  <c r="D260" i="59"/>
  <c r="C260" i="59"/>
  <c r="B260" i="59"/>
  <c r="I259" i="59"/>
  <c r="H259" i="59"/>
  <c r="G259" i="59"/>
  <c r="F259" i="59"/>
  <c r="E259" i="59"/>
  <c r="D259" i="59"/>
  <c r="C259" i="59"/>
  <c r="B259" i="59"/>
  <c r="I258" i="59"/>
  <c r="H258" i="59"/>
  <c r="G258" i="59"/>
  <c r="F258" i="59"/>
  <c r="E258" i="59"/>
  <c r="D258" i="59"/>
  <c r="C258" i="59"/>
  <c r="B258" i="59"/>
  <c r="I257" i="59"/>
  <c r="H257" i="59"/>
  <c r="G257" i="59"/>
  <c r="F257" i="59"/>
  <c r="E257" i="59"/>
  <c r="D257" i="59"/>
  <c r="C257" i="59"/>
  <c r="B257" i="59"/>
  <c r="I256" i="59"/>
  <c r="H256" i="59"/>
  <c r="G256" i="59"/>
  <c r="F256" i="59"/>
  <c r="E256" i="59"/>
  <c r="D256" i="59"/>
  <c r="C256" i="59"/>
  <c r="B256" i="59"/>
  <c r="I255" i="59"/>
  <c r="H255" i="59"/>
  <c r="G255" i="59"/>
  <c r="F255" i="59"/>
  <c r="E255" i="59"/>
  <c r="D255" i="59"/>
  <c r="C255" i="59"/>
  <c r="B255" i="59"/>
  <c r="I254" i="59"/>
  <c r="H254" i="59"/>
  <c r="G254" i="59"/>
  <c r="F254" i="59"/>
  <c r="E254" i="59"/>
  <c r="D254" i="59"/>
  <c r="C254" i="59"/>
  <c r="B254" i="59"/>
  <c r="I253" i="59"/>
  <c r="H253" i="59"/>
  <c r="G253" i="59"/>
  <c r="F253" i="59"/>
  <c r="E253" i="59"/>
  <c r="D253" i="59"/>
  <c r="C253" i="59"/>
  <c r="B253" i="59"/>
  <c r="I252" i="59"/>
  <c r="H252" i="59"/>
  <c r="G252" i="59"/>
  <c r="F252" i="59"/>
  <c r="E252" i="59"/>
  <c r="D252" i="59"/>
  <c r="C252" i="59"/>
  <c r="B252" i="59"/>
  <c r="I251" i="59"/>
  <c r="H251" i="59"/>
  <c r="G251" i="59"/>
  <c r="F251" i="59"/>
  <c r="E251" i="59"/>
  <c r="D251" i="59"/>
  <c r="C251" i="59"/>
  <c r="B251" i="59"/>
  <c r="I250" i="59"/>
  <c r="H250" i="59"/>
  <c r="G250" i="59"/>
  <c r="F250" i="59"/>
  <c r="E250" i="59"/>
  <c r="D250" i="59"/>
  <c r="C250" i="59"/>
  <c r="B250" i="59"/>
  <c r="I249" i="59"/>
  <c r="H249" i="59"/>
  <c r="G249" i="59"/>
  <c r="F249" i="59"/>
  <c r="E249" i="59"/>
  <c r="D249" i="59"/>
  <c r="C249" i="59"/>
  <c r="B249" i="59"/>
  <c r="I248" i="59"/>
  <c r="H248" i="59"/>
  <c r="G248" i="59"/>
  <c r="F248" i="59"/>
  <c r="E248" i="59"/>
  <c r="D248" i="59"/>
  <c r="C248" i="59"/>
  <c r="B248" i="59"/>
  <c r="I247" i="59"/>
  <c r="H247" i="59"/>
  <c r="G247" i="59"/>
  <c r="F247" i="59"/>
  <c r="E247" i="59"/>
  <c r="D247" i="59"/>
  <c r="C247" i="59"/>
  <c r="B247" i="59"/>
  <c r="I246" i="59"/>
  <c r="H246" i="59"/>
  <c r="G246" i="59"/>
  <c r="F246" i="59"/>
  <c r="E246" i="59"/>
  <c r="D246" i="59"/>
  <c r="C246" i="59"/>
  <c r="B246" i="59"/>
  <c r="I245" i="59"/>
  <c r="H245" i="59"/>
  <c r="G245" i="59"/>
  <c r="F245" i="59"/>
  <c r="E245" i="59"/>
  <c r="D245" i="59"/>
  <c r="C245" i="59"/>
  <c r="B245" i="59"/>
  <c r="I244" i="59"/>
  <c r="H244" i="59"/>
  <c r="G244" i="59"/>
  <c r="F244" i="59"/>
  <c r="E244" i="59"/>
  <c r="D244" i="59"/>
  <c r="C244" i="59"/>
  <c r="B244" i="59"/>
  <c r="I243" i="59"/>
  <c r="H243" i="59"/>
  <c r="G243" i="59"/>
  <c r="F243" i="59"/>
  <c r="E243" i="59"/>
  <c r="D243" i="59"/>
  <c r="C243" i="59"/>
  <c r="B243" i="59"/>
  <c r="I242" i="59"/>
  <c r="H242" i="59"/>
  <c r="G242" i="59"/>
  <c r="F242" i="59"/>
  <c r="E242" i="59"/>
  <c r="D242" i="59"/>
  <c r="C242" i="59"/>
  <c r="B242" i="59"/>
  <c r="I241" i="59"/>
  <c r="H241" i="59"/>
  <c r="G241" i="59"/>
  <c r="F241" i="59"/>
  <c r="E241" i="59"/>
  <c r="D241" i="59"/>
  <c r="C241" i="59"/>
  <c r="B241" i="59"/>
  <c r="I240" i="59"/>
  <c r="H240" i="59"/>
  <c r="G240" i="59"/>
  <c r="F240" i="59"/>
  <c r="E240" i="59"/>
  <c r="D240" i="59"/>
  <c r="C240" i="59"/>
  <c r="B240" i="59"/>
  <c r="I239" i="59"/>
  <c r="H239" i="59"/>
  <c r="G239" i="59"/>
  <c r="F239" i="59"/>
  <c r="E239" i="59"/>
  <c r="D239" i="59"/>
  <c r="C239" i="59"/>
  <c r="B239" i="59"/>
  <c r="I238" i="59"/>
  <c r="H238" i="59"/>
  <c r="G238" i="59"/>
  <c r="F238" i="59"/>
  <c r="E238" i="59"/>
  <c r="D238" i="59"/>
  <c r="C238" i="59"/>
  <c r="B238" i="59"/>
  <c r="I236" i="59"/>
  <c r="H236" i="59"/>
  <c r="G236" i="59"/>
  <c r="F236" i="59"/>
  <c r="E236" i="59"/>
  <c r="D236" i="59"/>
  <c r="C236" i="59"/>
  <c r="B236" i="59"/>
  <c r="I235" i="59"/>
  <c r="H235" i="59"/>
  <c r="G235" i="59"/>
  <c r="F235" i="59"/>
  <c r="E235" i="59"/>
  <c r="D235" i="59"/>
  <c r="C235" i="59"/>
  <c r="B235" i="59"/>
  <c r="I234" i="59"/>
  <c r="H234" i="59"/>
  <c r="G234" i="59"/>
  <c r="F234" i="59"/>
  <c r="E234" i="59"/>
  <c r="D234" i="59"/>
  <c r="C234" i="59"/>
  <c r="B234" i="59"/>
  <c r="I233" i="59"/>
  <c r="H233" i="59"/>
  <c r="G233" i="59"/>
  <c r="F233" i="59"/>
  <c r="E233" i="59"/>
  <c r="D233" i="59"/>
  <c r="C233" i="59"/>
  <c r="B233" i="59"/>
  <c r="I232" i="59"/>
  <c r="H232" i="59"/>
  <c r="G232" i="59"/>
  <c r="F232" i="59"/>
  <c r="E232" i="59"/>
  <c r="D232" i="59"/>
  <c r="C232" i="59"/>
  <c r="B232" i="59"/>
  <c r="I231" i="59"/>
  <c r="H231" i="59"/>
  <c r="G231" i="59"/>
  <c r="F231" i="59"/>
  <c r="E231" i="59"/>
  <c r="D231" i="59"/>
  <c r="C231" i="59"/>
  <c r="B231" i="59"/>
  <c r="I230" i="59"/>
  <c r="H230" i="59"/>
  <c r="G230" i="59"/>
  <c r="F230" i="59"/>
  <c r="E230" i="59"/>
  <c r="D230" i="59"/>
  <c r="C230" i="59"/>
  <c r="B230" i="59"/>
  <c r="I229" i="59"/>
  <c r="H229" i="59"/>
  <c r="G229" i="59"/>
  <c r="F229" i="59"/>
  <c r="E229" i="59"/>
  <c r="D229" i="59"/>
  <c r="C229" i="59"/>
  <c r="B229" i="59"/>
  <c r="I228" i="59"/>
  <c r="H228" i="59"/>
  <c r="G228" i="59"/>
  <c r="F228" i="59"/>
  <c r="E228" i="59"/>
  <c r="D228" i="59"/>
  <c r="C228" i="59"/>
  <c r="B228" i="59"/>
  <c r="I227" i="59"/>
  <c r="H227" i="59"/>
  <c r="G227" i="59"/>
  <c r="F227" i="59"/>
  <c r="E227" i="59"/>
  <c r="D227" i="59"/>
  <c r="C227" i="59"/>
  <c r="B227" i="59"/>
  <c r="I226" i="59"/>
  <c r="H226" i="59"/>
  <c r="G226" i="59"/>
  <c r="F226" i="59"/>
  <c r="E226" i="59"/>
  <c r="D226" i="59"/>
  <c r="C226" i="59"/>
  <c r="B226" i="59"/>
  <c r="I225" i="59"/>
  <c r="H225" i="59"/>
  <c r="G225" i="59"/>
  <c r="F225" i="59"/>
  <c r="E225" i="59"/>
  <c r="D225" i="59"/>
  <c r="C225" i="59"/>
  <c r="B225" i="59"/>
  <c r="I224" i="59"/>
  <c r="H224" i="59"/>
  <c r="G224" i="59"/>
  <c r="F224" i="59"/>
  <c r="E224" i="59"/>
  <c r="D224" i="59"/>
  <c r="C224" i="59"/>
  <c r="B224" i="59"/>
  <c r="I223" i="59"/>
  <c r="H223" i="59"/>
  <c r="G223" i="59"/>
  <c r="F223" i="59"/>
  <c r="E223" i="59"/>
  <c r="D223" i="59"/>
  <c r="C223" i="59"/>
  <c r="B223" i="59"/>
  <c r="I222" i="59"/>
  <c r="H222" i="59"/>
  <c r="G222" i="59"/>
  <c r="F222" i="59"/>
  <c r="E222" i="59"/>
  <c r="D222" i="59"/>
  <c r="C222" i="59"/>
  <c r="B222" i="59"/>
  <c r="I221" i="59"/>
  <c r="H221" i="59"/>
  <c r="G221" i="59"/>
  <c r="F221" i="59"/>
  <c r="E221" i="59"/>
  <c r="D221" i="59"/>
  <c r="C221" i="59"/>
  <c r="B221" i="59"/>
  <c r="I220" i="59"/>
  <c r="H220" i="59"/>
  <c r="G220" i="59"/>
  <c r="F220" i="59"/>
  <c r="E220" i="59"/>
  <c r="D220" i="59"/>
  <c r="C220" i="59"/>
  <c r="B220" i="59"/>
  <c r="I219" i="59"/>
  <c r="H219" i="59"/>
  <c r="G219" i="59"/>
  <c r="F219" i="59"/>
  <c r="E219" i="59"/>
  <c r="D219" i="59"/>
  <c r="C219" i="59"/>
  <c r="B219" i="59"/>
  <c r="I218" i="59"/>
  <c r="H218" i="59"/>
  <c r="G218" i="59"/>
  <c r="F218" i="59"/>
  <c r="E218" i="59"/>
  <c r="D218" i="59"/>
  <c r="C218" i="59"/>
  <c r="B218" i="59"/>
  <c r="I217" i="59"/>
  <c r="H217" i="59"/>
  <c r="G217" i="59"/>
  <c r="F217" i="59"/>
  <c r="E217" i="59"/>
  <c r="D217" i="59"/>
  <c r="C217" i="59"/>
  <c r="B217" i="59"/>
  <c r="I216" i="59"/>
  <c r="H216" i="59"/>
  <c r="G216" i="59"/>
  <c r="F216" i="59"/>
  <c r="E216" i="59"/>
  <c r="D216" i="59"/>
  <c r="C216" i="59"/>
  <c r="B216" i="59"/>
  <c r="I215" i="59"/>
  <c r="H215" i="59"/>
  <c r="G215" i="59"/>
  <c r="F215" i="59"/>
  <c r="E215" i="59"/>
  <c r="D215" i="59"/>
  <c r="C215" i="59"/>
  <c r="B215" i="59"/>
  <c r="I214" i="59"/>
  <c r="H214" i="59"/>
  <c r="G214" i="59"/>
  <c r="F214" i="59"/>
  <c r="E214" i="59"/>
  <c r="D214" i="59"/>
  <c r="C214" i="59"/>
  <c r="B214" i="59"/>
  <c r="I213" i="59"/>
  <c r="H213" i="59"/>
  <c r="G213" i="59"/>
  <c r="F213" i="59"/>
  <c r="E213" i="59"/>
  <c r="D213" i="59"/>
  <c r="C213" i="59"/>
  <c r="B213" i="59"/>
  <c r="I212" i="59"/>
  <c r="H212" i="59"/>
  <c r="G212" i="59"/>
  <c r="F212" i="59"/>
  <c r="E212" i="59"/>
  <c r="D212" i="59"/>
  <c r="C212" i="59"/>
  <c r="B212" i="59"/>
  <c r="I211" i="59"/>
  <c r="H211" i="59"/>
  <c r="G211" i="59"/>
  <c r="F211" i="59"/>
  <c r="E211" i="59"/>
  <c r="D211" i="59"/>
  <c r="C211" i="59"/>
  <c r="B211" i="59"/>
  <c r="I210" i="59"/>
  <c r="H210" i="59"/>
  <c r="G210" i="59"/>
  <c r="F210" i="59"/>
  <c r="E210" i="59"/>
  <c r="D210" i="59"/>
  <c r="C210" i="59"/>
  <c r="B210" i="59"/>
  <c r="I209" i="59"/>
  <c r="H209" i="59"/>
  <c r="G209" i="59"/>
  <c r="F209" i="59"/>
  <c r="E209" i="59"/>
  <c r="D209" i="59"/>
  <c r="C209" i="59"/>
  <c r="B209" i="59"/>
  <c r="I208" i="59"/>
  <c r="H208" i="59"/>
  <c r="G208" i="59"/>
  <c r="F208" i="59"/>
  <c r="E208" i="59"/>
  <c r="D208" i="59"/>
  <c r="C208" i="59"/>
  <c r="B208" i="59"/>
  <c r="I207" i="59"/>
  <c r="H207" i="59"/>
  <c r="G207" i="59"/>
  <c r="F207" i="59"/>
  <c r="E207" i="59"/>
  <c r="D207" i="59"/>
  <c r="C207" i="59"/>
  <c r="B207" i="59"/>
  <c r="I206" i="59"/>
  <c r="H206" i="59"/>
  <c r="G206" i="59"/>
  <c r="F206" i="59"/>
  <c r="E206" i="59"/>
  <c r="D206" i="59"/>
  <c r="C206" i="59"/>
  <c r="B206" i="59"/>
  <c r="I205" i="59"/>
  <c r="H205" i="59"/>
  <c r="G205" i="59"/>
  <c r="F205" i="59"/>
  <c r="E205" i="59"/>
  <c r="D205" i="59"/>
  <c r="C205" i="59"/>
  <c r="B205" i="59"/>
  <c r="I204" i="59"/>
  <c r="H204" i="59"/>
  <c r="G204" i="59"/>
  <c r="F204" i="59"/>
  <c r="E204" i="59"/>
  <c r="D204" i="59"/>
  <c r="C204" i="59"/>
  <c r="B204" i="59"/>
  <c r="I203" i="59"/>
  <c r="H203" i="59"/>
  <c r="G203" i="59"/>
  <c r="F203" i="59"/>
  <c r="E203" i="59"/>
  <c r="D203" i="59"/>
  <c r="C203" i="59"/>
  <c r="B203" i="59"/>
  <c r="I202" i="59"/>
  <c r="H202" i="59"/>
  <c r="G202" i="59"/>
  <c r="F202" i="59"/>
  <c r="E202" i="59"/>
  <c r="D202" i="59"/>
  <c r="C202" i="59"/>
  <c r="B202" i="59"/>
  <c r="I201" i="59"/>
  <c r="H201" i="59"/>
  <c r="G201" i="59"/>
  <c r="F201" i="59"/>
  <c r="E201" i="59"/>
  <c r="D201" i="59"/>
  <c r="C201" i="59"/>
  <c r="B201" i="59"/>
  <c r="I200" i="59"/>
  <c r="H200" i="59"/>
  <c r="G200" i="59"/>
  <c r="F200" i="59"/>
  <c r="E200" i="59"/>
  <c r="D200" i="59"/>
  <c r="C200" i="59"/>
  <c r="B200" i="59"/>
  <c r="I199" i="59"/>
  <c r="H199" i="59"/>
  <c r="G199" i="59"/>
  <c r="F199" i="59"/>
  <c r="E199" i="59"/>
  <c r="D199" i="59"/>
  <c r="C199" i="59"/>
  <c r="B199" i="59"/>
  <c r="I198" i="59"/>
  <c r="H198" i="59"/>
  <c r="G198" i="59"/>
  <c r="F198" i="59"/>
  <c r="E198" i="59"/>
  <c r="D198" i="59"/>
  <c r="C198" i="59"/>
  <c r="B198" i="59"/>
  <c r="I197" i="59"/>
  <c r="H197" i="59"/>
  <c r="G197" i="59"/>
  <c r="F197" i="59"/>
  <c r="E197" i="59"/>
  <c r="D197" i="59"/>
  <c r="C197" i="59"/>
  <c r="B197" i="59"/>
  <c r="I196" i="59"/>
  <c r="H196" i="59"/>
  <c r="G196" i="59"/>
  <c r="F196" i="59"/>
  <c r="E196" i="59"/>
  <c r="D196" i="59"/>
  <c r="C196" i="59"/>
  <c r="B196" i="59"/>
  <c r="I195" i="59"/>
  <c r="H195" i="59"/>
  <c r="G195" i="59"/>
  <c r="F195" i="59"/>
  <c r="E195" i="59"/>
  <c r="D195" i="59"/>
  <c r="C195" i="59"/>
  <c r="B195" i="59"/>
  <c r="I194" i="59"/>
  <c r="H194" i="59"/>
  <c r="G194" i="59"/>
  <c r="F194" i="59"/>
  <c r="E194" i="59"/>
  <c r="D194" i="59"/>
  <c r="C194" i="59"/>
  <c r="B194" i="59"/>
  <c r="I193" i="59"/>
  <c r="H193" i="59"/>
  <c r="G193" i="59"/>
  <c r="F193" i="59"/>
  <c r="E193" i="59"/>
  <c r="D193" i="59"/>
  <c r="C193" i="59"/>
  <c r="B193" i="59"/>
  <c r="I192" i="59"/>
  <c r="H192" i="59"/>
  <c r="G192" i="59"/>
  <c r="F192" i="59"/>
  <c r="E192" i="59"/>
  <c r="D192" i="59"/>
  <c r="C192" i="59"/>
  <c r="B192" i="59"/>
  <c r="I191" i="59"/>
  <c r="H191" i="59"/>
  <c r="G191" i="59"/>
  <c r="F191" i="59"/>
  <c r="E191" i="59"/>
  <c r="D191" i="59"/>
  <c r="C191" i="59"/>
  <c r="B191" i="59"/>
  <c r="I190" i="59"/>
  <c r="H190" i="59"/>
  <c r="G190" i="59"/>
  <c r="F190" i="59"/>
  <c r="E190" i="59"/>
  <c r="D190" i="59"/>
  <c r="C190" i="59"/>
  <c r="B190" i="59"/>
  <c r="I189" i="59"/>
  <c r="H189" i="59"/>
  <c r="G189" i="59"/>
  <c r="F189" i="59"/>
  <c r="E189" i="59"/>
  <c r="D189" i="59"/>
  <c r="C189" i="59"/>
  <c r="B189" i="59"/>
  <c r="I188" i="59"/>
  <c r="H188" i="59"/>
  <c r="G188" i="59"/>
  <c r="F188" i="59"/>
  <c r="E188" i="59"/>
  <c r="D188" i="59"/>
  <c r="C188" i="59"/>
  <c r="B188" i="59"/>
  <c r="I187" i="59"/>
  <c r="H187" i="59"/>
  <c r="G187" i="59"/>
  <c r="F187" i="59"/>
  <c r="E187" i="59"/>
  <c r="D187" i="59"/>
  <c r="C187" i="59"/>
  <c r="B187" i="59"/>
  <c r="I186" i="59"/>
  <c r="H186" i="59"/>
  <c r="G186" i="59"/>
  <c r="F186" i="59"/>
  <c r="E186" i="59"/>
  <c r="D186" i="59"/>
  <c r="C186" i="59"/>
  <c r="B186" i="59"/>
  <c r="I185" i="59"/>
  <c r="H185" i="59"/>
  <c r="G185" i="59"/>
  <c r="F185" i="59"/>
  <c r="E185" i="59"/>
  <c r="D185" i="59"/>
  <c r="C185" i="59"/>
  <c r="B185" i="59"/>
  <c r="I184" i="59"/>
  <c r="H184" i="59"/>
  <c r="G184" i="59"/>
  <c r="F184" i="59"/>
  <c r="E184" i="59"/>
  <c r="D184" i="59"/>
  <c r="C184" i="59"/>
  <c r="B184" i="59"/>
  <c r="I183" i="59"/>
  <c r="H183" i="59"/>
  <c r="G183" i="59"/>
  <c r="F183" i="59"/>
  <c r="E183" i="59"/>
  <c r="D183" i="59"/>
  <c r="C183" i="59"/>
  <c r="B183" i="59"/>
  <c r="I182" i="59"/>
  <c r="H182" i="59"/>
  <c r="G182" i="59"/>
  <c r="F182" i="59"/>
  <c r="E182" i="59"/>
  <c r="D182" i="59"/>
  <c r="C182" i="59"/>
  <c r="B182" i="59"/>
  <c r="I181" i="59"/>
  <c r="H181" i="59"/>
  <c r="G181" i="59"/>
  <c r="F181" i="59"/>
  <c r="E181" i="59"/>
  <c r="D181" i="59"/>
  <c r="C181" i="59"/>
  <c r="B181" i="59"/>
  <c r="I180" i="59"/>
  <c r="H180" i="59"/>
  <c r="G180" i="59"/>
  <c r="F180" i="59"/>
  <c r="E180" i="59"/>
  <c r="D180" i="59"/>
  <c r="C180" i="59"/>
  <c r="B180" i="59"/>
  <c r="I179" i="59"/>
  <c r="H179" i="59"/>
  <c r="G179" i="59"/>
  <c r="F179" i="59"/>
  <c r="E179" i="59"/>
  <c r="D179" i="59"/>
  <c r="C179" i="59"/>
  <c r="B179" i="59"/>
  <c r="I178" i="59"/>
  <c r="H178" i="59"/>
  <c r="G178" i="59"/>
  <c r="F178" i="59"/>
  <c r="E178" i="59"/>
  <c r="D178" i="59"/>
  <c r="C178" i="59"/>
  <c r="B178" i="59"/>
  <c r="I177" i="59"/>
  <c r="H177" i="59"/>
  <c r="G177" i="59"/>
  <c r="F177" i="59"/>
  <c r="E177" i="59"/>
  <c r="D177" i="59"/>
  <c r="C177" i="59"/>
  <c r="B177" i="59"/>
  <c r="I176" i="59"/>
  <c r="H176" i="59"/>
  <c r="G176" i="59"/>
  <c r="F176" i="59"/>
  <c r="E176" i="59"/>
  <c r="D176" i="59"/>
  <c r="C176" i="59"/>
  <c r="B176" i="59"/>
  <c r="I175" i="59"/>
  <c r="H175" i="59"/>
  <c r="G175" i="59"/>
  <c r="F175" i="59"/>
  <c r="E175" i="59"/>
  <c r="D175" i="59"/>
  <c r="C175" i="59"/>
  <c r="B175" i="59"/>
  <c r="I174" i="59"/>
  <c r="H174" i="59"/>
  <c r="G174" i="59"/>
  <c r="F174" i="59"/>
  <c r="E174" i="59"/>
  <c r="D174" i="59"/>
  <c r="C174" i="59"/>
  <c r="B174" i="59"/>
  <c r="I173" i="59"/>
  <c r="H173" i="59"/>
  <c r="G173" i="59"/>
  <c r="F173" i="59"/>
  <c r="E173" i="59"/>
  <c r="D173" i="59"/>
  <c r="C173" i="59"/>
  <c r="B173" i="59"/>
  <c r="I172" i="59"/>
  <c r="H172" i="59"/>
  <c r="G172" i="59"/>
  <c r="F172" i="59"/>
  <c r="E172" i="59"/>
  <c r="D172" i="59"/>
  <c r="C172" i="59"/>
  <c r="B172" i="59"/>
  <c r="I171" i="59"/>
  <c r="H171" i="59"/>
  <c r="G171" i="59"/>
  <c r="F171" i="59"/>
  <c r="E171" i="59"/>
  <c r="D171" i="59"/>
  <c r="C171" i="59"/>
  <c r="B171" i="59"/>
  <c r="I170" i="59"/>
  <c r="H170" i="59"/>
  <c r="G170" i="59"/>
  <c r="F170" i="59"/>
  <c r="E170" i="59"/>
  <c r="D170" i="59"/>
  <c r="C170" i="59"/>
  <c r="B170" i="59"/>
  <c r="I169" i="59"/>
  <c r="H169" i="59"/>
  <c r="G169" i="59"/>
  <c r="F169" i="59"/>
  <c r="E169" i="59"/>
  <c r="D169" i="59"/>
  <c r="C169" i="59"/>
  <c r="B169" i="59"/>
  <c r="I168" i="59"/>
  <c r="H168" i="59"/>
  <c r="G168" i="59"/>
  <c r="F168" i="59"/>
  <c r="E168" i="59"/>
  <c r="D168" i="59"/>
  <c r="C168" i="59"/>
  <c r="B168" i="59"/>
  <c r="I167" i="59"/>
  <c r="H167" i="59"/>
  <c r="G167" i="59"/>
  <c r="F167" i="59"/>
  <c r="E167" i="59"/>
  <c r="D167" i="59"/>
  <c r="C167" i="59"/>
  <c r="B167" i="59"/>
  <c r="I166" i="59"/>
  <c r="H166" i="59"/>
  <c r="G166" i="59"/>
  <c r="F166" i="59"/>
  <c r="E166" i="59"/>
  <c r="D166" i="59"/>
  <c r="C166" i="59"/>
  <c r="B166" i="59"/>
  <c r="I165" i="59"/>
  <c r="H165" i="59"/>
  <c r="G165" i="59"/>
  <c r="F165" i="59"/>
  <c r="E165" i="59"/>
  <c r="D165" i="59"/>
  <c r="C165" i="59"/>
  <c r="B165" i="59"/>
  <c r="I164" i="59"/>
  <c r="H164" i="59"/>
  <c r="G164" i="59"/>
  <c r="F164" i="59"/>
  <c r="E164" i="59"/>
  <c r="D164" i="59"/>
  <c r="C164" i="59"/>
  <c r="B164" i="59"/>
  <c r="I163" i="59"/>
  <c r="H163" i="59"/>
  <c r="G163" i="59"/>
  <c r="F163" i="59"/>
  <c r="E163" i="59"/>
  <c r="D163" i="59"/>
  <c r="C163" i="59"/>
  <c r="B163" i="59"/>
  <c r="I162" i="59"/>
  <c r="H162" i="59"/>
  <c r="G162" i="59"/>
  <c r="F162" i="59"/>
  <c r="E162" i="59"/>
  <c r="D162" i="59"/>
  <c r="C162" i="59"/>
  <c r="B162" i="59"/>
  <c r="I160" i="59"/>
  <c r="H160" i="59"/>
  <c r="G160" i="59"/>
  <c r="F160" i="59"/>
  <c r="E160" i="59"/>
  <c r="D160" i="59"/>
  <c r="C160" i="59"/>
  <c r="B160" i="59"/>
  <c r="I159" i="59"/>
  <c r="H159" i="59"/>
  <c r="G159" i="59"/>
  <c r="F159" i="59"/>
  <c r="E159" i="59"/>
  <c r="D159" i="59"/>
  <c r="C159" i="59"/>
  <c r="B159" i="59"/>
  <c r="I158" i="59"/>
  <c r="H158" i="59"/>
  <c r="G158" i="59"/>
  <c r="F158" i="59"/>
  <c r="E158" i="59"/>
  <c r="D158" i="59"/>
  <c r="C158" i="59"/>
  <c r="B158" i="59"/>
  <c r="I157" i="59"/>
  <c r="H157" i="59"/>
  <c r="G157" i="59"/>
  <c r="F157" i="59"/>
  <c r="E157" i="59"/>
  <c r="D157" i="59"/>
  <c r="C157" i="59"/>
  <c r="B157" i="59"/>
  <c r="I156" i="59"/>
  <c r="H156" i="59"/>
  <c r="G156" i="59"/>
  <c r="F156" i="59"/>
  <c r="E156" i="59"/>
  <c r="D156" i="59"/>
  <c r="C156" i="59"/>
  <c r="B156" i="59"/>
  <c r="I155" i="59"/>
  <c r="H155" i="59"/>
  <c r="G155" i="59"/>
  <c r="F155" i="59"/>
  <c r="E155" i="59"/>
  <c r="D155" i="59"/>
  <c r="C155" i="59"/>
  <c r="B155" i="59"/>
  <c r="I154" i="59"/>
  <c r="H154" i="59"/>
  <c r="G154" i="59"/>
  <c r="F154" i="59"/>
  <c r="E154" i="59"/>
  <c r="D154" i="59"/>
  <c r="C154" i="59"/>
  <c r="B154" i="59"/>
  <c r="I153" i="59"/>
  <c r="H153" i="59"/>
  <c r="G153" i="59"/>
  <c r="F153" i="59"/>
  <c r="E153" i="59"/>
  <c r="D153" i="59"/>
  <c r="C153" i="59"/>
  <c r="B153" i="59"/>
  <c r="I152" i="59"/>
  <c r="H152" i="59"/>
  <c r="G152" i="59"/>
  <c r="F152" i="59"/>
  <c r="E152" i="59"/>
  <c r="D152" i="59"/>
  <c r="C152" i="59"/>
  <c r="B152" i="59"/>
  <c r="I151" i="59"/>
  <c r="H151" i="59"/>
  <c r="G151" i="59"/>
  <c r="F151" i="59"/>
  <c r="E151" i="59"/>
  <c r="D151" i="59"/>
  <c r="C151" i="59"/>
  <c r="B151" i="59"/>
  <c r="I150" i="59"/>
  <c r="H150" i="59"/>
  <c r="G150" i="59"/>
  <c r="F150" i="59"/>
  <c r="E150" i="59"/>
  <c r="D150" i="59"/>
  <c r="C150" i="59"/>
  <c r="B150" i="59"/>
  <c r="I149" i="59"/>
  <c r="H149" i="59"/>
  <c r="G149" i="59"/>
  <c r="F149" i="59"/>
  <c r="E149" i="59"/>
  <c r="D149" i="59"/>
  <c r="C149" i="59"/>
  <c r="B149" i="59"/>
  <c r="I148" i="59"/>
  <c r="H148" i="59"/>
  <c r="G148" i="59"/>
  <c r="F148" i="59"/>
  <c r="E148" i="59"/>
  <c r="D148" i="59"/>
  <c r="C148" i="59"/>
  <c r="B148" i="59"/>
  <c r="I147" i="59"/>
  <c r="H147" i="59"/>
  <c r="G147" i="59"/>
  <c r="F147" i="59"/>
  <c r="E147" i="59"/>
  <c r="D147" i="59"/>
  <c r="C147" i="59"/>
  <c r="B147" i="59"/>
  <c r="I146" i="59"/>
  <c r="H146" i="59"/>
  <c r="G146" i="59"/>
  <c r="F146" i="59"/>
  <c r="E146" i="59"/>
  <c r="D146" i="59"/>
  <c r="C146" i="59"/>
  <c r="B146" i="59"/>
  <c r="I145" i="59"/>
  <c r="H145" i="59"/>
  <c r="G145" i="59"/>
  <c r="F145" i="59"/>
  <c r="E145" i="59"/>
  <c r="D145" i="59"/>
  <c r="C145" i="59"/>
  <c r="B145" i="59"/>
  <c r="I144" i="59"/>
  <c r="H144" i="59"/>
  <c r="G144" i="59"/>
  <c r="F144" i="59"/>
  <c r="E144" i="59"/>
  <c r="D144" i="59"/>
  <c r="C144" i="59"/>
  <c r="B144" i="59"/>
  <c r="I143" i="59"/>
  <c r="H143" i="59"/>
  <c r="G143" i="59"/>
  <c r="F143" i="59"/>
  <c r="E143" i="59"/>
  <c r="D143" i="59"/>
  <c r="C143" i="59"/>
  <c r="B143" i="59"/>
  <c r="I142" i="59"/>
  <c r="H142" i="59"/>
  <c r="G142" i="59"/>
  <c r="F142" i="59"/>
  <c r="E142" i="59"/>
  <c r="D142" i="59"/>
  <c r="C142" i="59"/>
  <c r="B142" i="59"/>
  <c r="I141" i="59"/>
  <c r="H141" i="59"/>
  <c r="G141" i="59"/>
  <c r="F141" i="59"/>
  <c r="E141" i="59"/>
  <c r="D141" i="59"/>
  <c r="C141" i="59"/>
  <c r="B141" i="59"/>
  <c r="I140" i="59"/>
  <c r="H140" i="59"/>
  <c r="G140" i="59"/>
  <c r="F140" i="59"/>
  <c r="E140" i="59"/>
  <c r="D140" i="59"/>
  <c r="C140" i="59"/>
  <c r="B140" i="59"/>
  <c r="I139" i="59"/>
  <c r="H139" i="59"/>
  <c r="G139" i="59"/>
  <c r="F139" i="59"/>
  <c r="E139" i="59"/>
  <c r="D139" i="59"/>
  <c r="C139" i="59"/>
  <c r="B139" i="59"/>
  <c r="I138" i="59"/>
  <c r="H138" i="59"/>
  <c r="G138" i="59"/>
  <c r="F138" i="59"/>
  <c r="E138" i="59"/>
  <c r="D138" i="59"/>
  <c r="C138" i="59"/>
  <c r="B138" i="59"/>
  <c r="I137" i="59"/>
  <c r="H137" i="59"/>
  <c r="G137" i="59"/>
  <c r="F137" i="59"/>
  <c r="E137" i="59"/>
  <c r="D137" i="59"/>
  <c r="C137" i="59"/>
  <c r="B137" i="59"/>
  <c r="I136" i="59"/>
  <c r="H136" i="59"/>
  <c r="G136" i="59"/>
  <c r="F136" i="59"/>
  <c r="E136" i="59"/>
  <c r="D136" i="59"/>
  <c r="C136" i="59"/>
  <c r="B136" i="59"/>
  <c r="I135" i="59"/>
  <c r="H135" i="59"/>
  <c r="G135" i="59"/>
  <c r="F135" i="59"/>
  <c r="E135" i="59"/>
  <c r="D135" i="59"/>
  <c r="C135" i="59"/>
  <c r="B135" i="59"/>
  <c r="I134" i="59"/>
  <c r="H134" i="59"/>
  <c r="G134" i="59"/>
  <c r="F134" i="59"/>
  <c r="E134" i="59"/>
  <c r="D134" i="59"/>
  <c r="C134" i="59"/>
  <c r="B134" i="59"/>
  <c r="I133" i="59"/>
  <c r="H133" i="59"/>
  <c r="G133" i="59"/>
  <c r="F133" i="59"/>
  <c r="E133" i="59"/>
  <c r="D133" i="59"/>
  <c r="C133" i="59"/>
  <c r="B133" i="59"/>
  <c r="I132" i="59"/>
  <c r="H132" i="59"/>
  <c r="G132" i="59"/>
  <c r="F132" i="59"/>
  <c r="E132" i="59"/>
  <c r="D132" i="59"/>
  <c r="C132" i="59"/>
  <c r="B132" i="59"/>
  <c r="I131" i="59"/>
  <c r="H131" i="59"/>
  <c r="G131" i="59"/>
  <c r="F131" i="59"/>
  <c r="E131" i="59"/>
  <c r="D131" i="59"/>
  <c r="C131" i="59"/>
  <c r="B131" i="59"/>
  <c r="I130" i="59"/>
  <c r="H130" i="59"/>
  <c r="G130" i="59"/>
  <c r="F130" i="59"/>
  <c r="E130" i="59"/>
  <c r="D130" i="59"/>
  <c r="C130" i="59"/>
  <c r="B130" i="59"/>
  <c r="I129" i="59"/>
  <c r="H129" i="59"/>
  <c r="G129" i="59"/>
  <c r="F129" i="59"/>
  <c r="E129" i="59"/>
  <c r="D129" i="59"/>
  <c r="C129" i="59"/>
  <c r="B129" i="59"/>
  <c r="I128" i="59"/>
  <c r="H128" i="59"/>
  <c r="G128" i="59"/>
  <c r="F128" i="59"/>
  <c r="E128" i="59"/>
  <c r="D128" i="59"/>
  <c r="C128" i="59"/>
  <c r="B128" i="59"/>
  <c r="I127" i="59"/>
  <c r="H127" i="59"/>
  <c r="G127" i="59"/>
  <c r="F127" i="59"/>
  <c r="E127" i="59"/>
  <c r="D127" i="59"/>
  <c r="C127" i="59"/>
  <c r="B127" i="59"/>
  <c r="I126" i="59"/>
  <c r="H126" i="59"/>
  <c r="G126" i="59"/>
  <c r="F126" i="59"/>
  <c r="E126" i="59"/>
  <c r="D126" i="59"/>
  <c r="C126" i="59"/>
  <c r="B126" i="59"/>
  <c r="I125" i="59"/>
  <c r="H125" i="59"/>
  <c r="G125" i="59"/>
  <c r="F125" i="59"/>
  <c r="E125" i="59"/>
  <c r="D125" i="59"/>
  <c r="C125" i="59"/>
  <c r="B125" i="59"/>
  <c r="I124" i="59"/>
  <c r="H124" i="59"/>
  <c r="G124" i="59"/>
  <c r="F124" i="59"/>
  <c r="E124" i="59"/>
  <c r="D124" i="59"/>
  <c r="C124" i="59"/>
  <c r="B124" i="59"/>
  <c r="I123" i="59"/>
  <c r="H123" i="59"/>
  <c r="G123" i="59"/>
  <c r="F123" i="59"/>
  <c r="E123" i="59"/>
  <c r="D123" i="59"/>
  <c r="C123" i="59"/>
  <c r="B123" i="59"/>
  <c r="I122" i="59"/>
  <c r="H122" i="59"/>
  <c r="G122" i="59"/>
  <c r="F122" i="59"/>
  <c r="E122" i="59"/>
  <c r="D122" i="59"/>
  <c r="C122" i="59"/>
  <c r="B122" i="59"/>
  <c r="I121" i="59"/>
  <c r="H121" i="59"/>
  <c r="G121" i="59"/>
  <c r="F121" i="59"/>
  <c r="E121" i="59"/>
  <c r="D121" i="59"/>
  <c r="C121" i="59"/>
  <c r="B121" i="59"/>
  <c r="I120" i="59"/>
  <c r="H120" i="59"/>
  <c r="G120" i="59"/>
  <c r="F120" i="59"/>
  <c r="E120" i="59"/>
  <c r="D120" i="59"/>
  <c r="C120" i="59"/>
  <c r="B120" i="59"/>
  <c r="I119" i="59"/>
  <c r="H119" i="59"/>
  <c r="G119" i="59"/>
  <c r="F119" i="59"/>
  <c r="E119" i="59"/>
  <c r="D119" i="59"/>
  <c r="C119" i="59"/>
  <c r="B119" i="59"/>
  <c r="I118" i="59"/>
  <c r="H118" i="59"/>
  <c r="G118" i="59"/>
  <c r="F118" i="59"/>
  <c r="E118" i="59"/>
  <c r="D118" i="59"/>
  <c r="C118" i="59"/>
  <c r="B118" i="59"/>
  <c r="I117" i="59"/>
  <c r="H117" i="59"/>
  <c r="G117" i="59"/>
  <c r="F117" i="59"/>
  <c r="E117" i="59"/>
  <c r="D117" i="59"/>
  <c r="C117" i="59"/>
  <c r="B117" i="59"/>
  <c r="I116" i="59"/>
  <c r="H116" i="59"/>
  <c r="G116" i="59"/>
  <c r="F116" i="59"/>
  <c r="E116" i="59"/>
  <c r="D116" i="59"/>
  <c r="C116" i="59"/>
  <c r="B116" i="59"/>
  <c r="I115" i="59"/>
  <c r="H115" i="59"/>
  <c r="G115" i="59"/>
  <c r="F115" i="59"/>
  <c r="E115" i="59"/>
  <c r="D115" i="59"/>
  <c r="C115" i="59"/>
  <c r="B115" i="59"/>
  <c r="I114" i="59"/>
  <c r="H114" i="59"/>
  <c r="G114" i="59"/>
  <c r="F114" i="59"/>
  <c r="E114" i="59"/>
  <c r="D114" i="59"/>
  <c r="C114" i="59"/>
  <c r="B114" i="59"/>
  <c r="I113" i="59"/>
  <c r="H113" i="59"/>
  <c r="G113" i="59"/>
  <c r="F113" i="59"/>
  <c r="E113" i="59"/>
  <c r="D113" i="59"/>
  <c r="C113" i="59"/>
  <c r="B113" i="59"/>
  <c r="I112" i="59"/>
  <c r="H112" i="59"/>
  <c r="G112" i="59"/>
  <c r="F112" i="59"/>
  <c r="E112" i="59"/>
  <c r="D112" i="59"/>
  <c r="C112" i="59"/>
  <c r="B112" i="59"/>
  <c r="I111" i="59"/>
  <c r="H111" i="59"/>
  <c r="G111" i="59"/>
  <c r="F111" i="59"/>
  <c r="E111" i="59"/>
  <c r="D111" i="59"/>
  <c r="C111" i="59"/>
  <c r="B111" i="59"/>
  <c r="I110" i="59"/>
  <c r="H110" i="59"/>
  <c r="G110" i="59"/>
  <c r="F110" i="59"/>
  <c r="E110" i="59"/>
  <c r="D110" i="59"/>
  <c r="C110" i="59"/>
  <c r="B110" i="59"/>
  <c r="I109" i="59"/>
  <c r="H109" i="59"/>
  <c r="G109" i="59"/>
  <c r="F109" i="59"/>
  <c r="E109" i="59"/>
  <c r="D109" i="59"/>
  <c r="C109" i="59"/>
  <c r="B109" i="59"/>
  <c r="I108" i="59"/>
  <c r="H108" i="59"/>
  <c r="G108" i="59"/>
  <c r="F108" i="59"/>
  <c r="E108" i="59"/>
  <c r="D108" i="59"/>
  <c r="C108" i="59"/>
  <c r="B108" i="59"/>
  <c r="I107" i="59"/>
  <c r="H107" i="59"/>
  <c r="G107" i="59"/>
  <c r="F107" i="59"/>
  <c r="E107" i="59"/>
  <c r="D107" i="59"/>
  <c r="C107" i="59"/>
  <c r="B107" i="59"/>
  <c r="I106" i="59"/>
  <c r="H106" i="59"/>
  <c r="G106" i="59"/>
  <c r="F106" i="59"/>
  <c r="E106" i="59"/>
  <c r="D106" i="59"/>
  <c r="C106" i="59"/>
  <c r="B106" i="59"/>
  <c r="I105" i="59"/>
  <c r="H105" i="59"/>
  <c r="G105" i="59"/>
  <c r="F105" i="59"/>
  <c r="E105" i="59"/>
  <c r="D105" i="59"/>
  <c r="C105" i="59"/>
  <c r="B105" i="59"/>
  <c r="I104" i="59"/>
  <c r="H104" i="59"/>
  <c r="G104" i="59"/>
  <c r="F104" i="59"/>
  <c r="E104" i="59"/>
  <c r="D104" i="59"/>
  <c r="C104" i="59"/>
  <c r="B104" i="59"/>
  <c r="I103" i="59"/>
  <c r="H103" i="59"/>
  <c r="G103" i="59"/>
  <c r="F103" i="59"/>
  <c r="E103" i="59"/>
  <c r="D103" i="59"/>
  <c r="C103" i="59"/>
  <c r="B103" i="59"/>
  <c r="I102" i="59"/>
  <c r="H102" i="59"/>
  <c r="G102" i="59"/>
  <c r="F102" i="59"/>
  <c r="E102" i="59"/>
  <c r="D102" i="59"/>
  <c r="C102" i="59"/>
  <c r="B102" i="59"/>
  <c r="I101" i="59"/>
  <c r="H101" i="59"/>
  <c r="G101" i="59"/>
  <c r="F101" i="59"/>
  <c r="E101" i="59"/>
  <c r="D101" i="59"/>
  <c r="C101" i="59"/>
  <c r="B101" i="59"/>
  <c r="I100" i="59"/>
  <c r="H100" i="59"/>
  <c r="G100" i="59"/>
  <c r="F100" i="59"/>
  <c r="E100" i="59"/>
  <c r="D100" i="59"/>
  <c r="C100" i="59"/>
  <c r="B100" i="59"/>
  <c r="I99" i="59"/>
  <c r="H99" i="59"/>
  <c r="G99" i="59"/>
  <c r="F99" i="59"/>
  <c r="E99" i="59"/>
  <c r="D99" i="59"/>
  <c r="C99" i="59"/>
  <c r="B99" i="59"/>
  <c r="I98" i="59"/>
  <c r="H98" i="59"/>
  <c r="G98" i="59"/>
  <c r="F98" i="59"/>
  <c r="E98" i="59"/>
  <c r="D98" i="59"/>
  <c r="C98" i="59"/>
  <c r="B98" i="59"/>
  <c r="I97" i="59"/>
  <c r="H97" i="59"/>
  <c r="G97" i="59"/>
  <c r="F97" i="59"/>
  <c r="E97" i="59"/>
  <c r="D97" i="59"/>
  <c r="C97" i="59"/>
  <c r="B97" i="59"/>
  <c r="I96" i="59"/>
  <c r="H96" i="59"/>
  <c r="G96" i="59"/>
  <c r="F96" i="59"/>
  <c r="E96" i="59"/>
  <c r="D96" i="59"/>
  <c r="C96" i="59"/>
  <c r="B96" i="59"/>
  <c r="I95" i="59"/>
  <c r="H95" i="59"/>
  <c r="G95" i="59"/>
  <c r="F95" i="59"/>
  <c r="E95" i="59"/>
  <c r="D95" i="59"/>
  <c r="C95" i="59"/>
  <c r="B95" i="59"/>
  <c r="I94" i="59"/>
  <c r="H94" i="59"/>
  <c r="G94" i="59"/>
  <c r="F94" i="59"/>
  <c r="E94" i="59"/>
  <c r="D94" i="59"/>
  <c r="C94" i="59"/>
  <c r="B94" i="59"/>
  <c r="I93" i="59"/>
  <c r="H93" i="59"/>
  <c r="G93" i="59"/>
  <c r="F93" i="59"/>
  <c r="E93" i="59"/>
  <c r="D93" i="59"/>
  <c r="C93" i="59"/>
  <c r="B93" i="59"/>
  <c r="I92" i="59"/>
  <c r="H92" i="59"/>
  <c r="G92" i="59"/>
  <c r="F92" i="59"/>
  <c r="E92" i="59"/>
  <c r="D92" i="59"/>
  <c r="C92" i="59"/>
  <c r="B92" i="59"/>
  <c r="I91" i="59"/>
  <c r="H91" i="59"/>
  <c r="G91" i="59"/>
  <c r="F91" i="59"/>
  <c r="E91" i="59"/>
  <c r="D91" i="59"/>
  <c r="C91" i="59"/>
  <c r="B91" i="59"/>
  <c r="I90" i="59"/>
  <c r="H90" i="59"/>
  <c r="G90" i="59"/>
  <c r="F90" i="59"/>
  <c r="E90" i="59"/>
  <c r="D90" i="59"/>
  <c r="C90" i="59"/>
  <c r="B90" i="59"/>
  <c r="I89" i="59"/>
  <c r="H89" i="59"/>
  <c r="G89" i="59"/>
  <c r="F89" i="59"/>
  <c r="E89" i="59"/>
  <c r="D89" i="59"/>
  <c r="C89" i="59"/>
  <c r="B89" i="59"/>
  <c r="I88" i="59"/>
  <c r="H88" i="59"/>
  <c r="G88" i="59"/>
  <c r="F88" i="59"/>
  <c r="E88" i="59"/>
  <c r="D88" i="59"/>
  <c r="C88" i="59"/>
  <c r="B88" i="59"/>
  <c r="I87" i="59"/>
  <c r="H87" i="59"/>
  <c r="G87" i="59"/>
  <c r="F87" i="59"/>
  <c r="E87" i="59"/>
  <c r="D87" i="59"/>
  <c r="C87" i="59"/>
  <c r="B87" i="59"/>
  <c r="I86" i="59"/>
  <c r="H86" i="59"/>
  <c r="G86" i="59"/>
  <c r="F86" i="59"/>
  <c r="E86" i="59"/>
  <c r="D86" i="59"/>
  <c r="C86" i="59"/>
  <c r="B86" i="59"/>
  <c r="I84" i="59"/>
  <c r="H84" i="59"/>
  <c r="G84" i="59"/>
  <c r="F84" i="59"/>
  <c r="E84" i="59"/>
  <c r="D84" i="59"/>
  <c r="C84" i="59"/>
  <c r="B84" i="59"/>
  <c r="I83" i="59"/>
  <c r="H83" i="59"/>
  <c r="G83" i="59"/>
  <c r="F83" i="59"/>
  <c r="E83" i="59"/>
  <c r="D83" i="59"/>
  <c r="C83" i="59"/>
  <c r="B83" i="59"/>
  <c r="I82" i="59"/>
  <c r="H82" i="59"/>
  <c r="G82" i="59"/>
  <c r="F82" i="59"/>
  <c r="E82" i="59"/>
  <c r="D82" i="59"/>
  <c r="C82" i="59"/>
  <c r="B82" i="59"/>
  <c r="I81" i="59"/>
  <c r="H81" i="59"/>
  <c r="G81" i="59"/>
  <c r="F81" i="59"/>
  <c r="E81" i="59"/>
  <c r="D81" i="59"/>
  <c r="C81" i="59"/>
  <c r="B81" i="59"/>
  <c r="I80" i="59"/>
  <c r="H80" i="59"/>
  <c r="G80" i="59"/>
  <c r="F80" i="59"/>
  <c r="E80" i="59"/>
  <c r="D80" i="59"/>
  <c r="C80" i="59"/>
  <c r="B80" i="59"/>
  <c r="I79" i="59"/>
  <c r="H79" i="59"/>
  <c r="G79" i="59"/>
  <c r="F79" i="59"/>
  <c r="E79" i="59"/>
  <c r="D79" i="59"/>
  <c r="C79" i="59"/>
  <c r="B79" i="59"/>
  <c r="I78" i="59"/>
  <c r="H78" i="59"/>
  <c r="G78" i="59"/>
  <c r="F78" i="59"/>
  <c r="E78" i="59"/>
  <c r="D78" i="59"/>
  <c r="C78" i="59"/>
  <c r="B78" i="59"/>
  <c r="I77" i="59"/>
  <c r="H77" i="59"/>
  <c r="G77" i="59"/>
  <c r="F77" i="59"/>
  <c r="E77" i="59"/>
  <c r="D77" i="59"/>
  <c r="C77" i="59"/>
  <c r="B77" i="59"/>
  <c r="I76" i="59"/>
  <c r="H76" i="59"/>
  <c r="G76" i="59"/>
  <c r="F76" i="59"/>
  <c r="E76" i="59"/>
  <c r="D76" i="59"/>
  <c r="C76" i="59"/>
  <c r="B76" i="59"/>
  <c r="I75" i="59"/>
  <c r="H75" i="59"/>
  <c r="G75" i="59"/>
  <c r="F75" i="59"/>
  <c r="E75" i="59"/>
  <c r="D75" i="59"/>
  <c r="C75" i="59"/>
  <c r="B75" i="59"/>
  <c r="I74" i="59"/>
  <c r="H74" i="59"/>
  <c r="G74" i="59"/>
  <c r="F74" i="59"/>
  <c r="E74" i="59"/>
  <c r="D74" i="59"/>
  <c r="C74" i="59"/>
  <c r="B74" i="59"/>
  <c r="I73" i="59"/>
  <c r="H73" i="59"/>
  <c r="G73" i="59"/>
  <c r="F73" i="59"/>
  <c r="E73" i="59"/>
  <c r="D73" i="59"/>
  <c r="C73" i="59"/>
  <c r="B73" i="59"/>
  <c r="I72" i="59"/>
  <c r="H72" i="59"/>
  <c r="G72" i="59"/>
  <c r="F72" i="59"/>
  <c r="E72" i="59"/>
  <c r="D72" i="59"/>
  <c r="C72" i="59"/>
  <c r="B72" i="59"/>
  <c r="I71" i="59"/>
  <c r="H71" i="59"/>
  <c r="G71" i="59"/>
  <c r="F71" i="59"/>
  <c r="E71" i="59"/>
  <c r="D71" i="59"/>
  <c r="C71" i="59"/>
  <c r="B71" i="59"/>
  <c r="I70" i="59"/>
  <c r="H70" i="59"/>
  <c r="G70" i="59"/>
  <c r="F70" i="59"/>
  <c r="E70" i="59"/>
  <c r="D70" i="59"/>
  <c r="C70" i="59"/>
  <c r="B70" i="59"/>
  <c r="I69" i="59"/>
  <c r="H69" i="59"/>
  <c r="G69" i="59"/>
  <c r="F69" i="59"/>
  <c r="E69" i="59"/>
  <c r="D69" i="59"/>
  <c r="C69" i="59"/>
  <c r="B69" i="59"/>
  <c r="I68" i="59"/>
  <c r="H68" i="59"/>
  <c r="G68" i="59"/>
  <c r="F68" i="59"/>
  <c r="E68" i="59"/>
  <c r="D68" i="59"/>
  <c r="C68" i="59"/>
  <c r="B68" i="59"/>
  <c r="I67" i="59"/>
  <c r="H67" i="59"/>
  <c r="G67" i="59"/>
  <c r="F67" i="59"/>
  <c r="E67" i="59"/>
  <c r="D67" i="59"/>
  <c r="C67" i="59"/>
  <c r="B67" i="59"/>
  <c r="I66" i="59"/>
  <c r="H66" i="59"/>
  <c r="G66" i="59"/>
  <c r="F66" i="59"/>
  <c r="E66" i="59"/>
  <c r="D66" i="59"/>
  <c r="C66" i="59"/>
  <c r="B66" i="59"/>
  <c r="I65" i="59"/>
  <c r="H65" i="59"/>
  <c r="G65" i="59"/>
  <c r="F65" i="59"/>
  <c r="E65" i="59"/>
  <c r="D65" i="59"/>
  <c r="C65" i="59"/>
  <c r="B65" i="59"/>
  <c r="I64" i="59"/>
  <c r="H64" i="59"/>
  <c r="G64" i="59"/>
  <c r="F64" i="59"/>
  <c r="E64" i="59"/>
  <c r="D64" i="59"/>
  <c r="C64" i="59"/>
  <c r="B64" i="59"/>
  <c r="I63" i="59"/>
  <c r="H63" i="59"/>
  <c r="G63" i="59"/>
  <c r="F63" i="59"/>
  <c r="E63" i="59"/>
  <c r="D63" i="59"/>
  <c r="C63" i="59"/>
  <c r="B63" i="59"/>
  <c r="I62" i="59"/>
  <c r="H62" i="59"/>
  <c r="G62" i="59"/>
  <c r="F62" i="59"/>
  <c r="E62" i="59"/>
  <c r="D62" i="59"/>
  <c r="C62" i="59"/>
  <c r="B62" i="59"/>
  <c r="I61" i="59"/>
  <c r="H61" i="59"/>
  <c r="G61" i="59"/>
  <c r="F61" i="59"/>
  <c r="E61" i="59"/>
  <c r="D61" i="59"/>
  <c r="C61" i="59"/>
  <c r="B61" i="59"/>
  <c r="I60" i="59"/>
  <c r="H60" i="59"/>
  <c r="G60" i="59"/>
  <c r="F60" i="59"/>
  <c r="E60" i="59"/>
  <c r="D60" i="59"/>
  <c r="C60" i="59"/>
  <c r="B60" i="59"/>
  <c r="I59" i="59"/>
  <c r="H59" i="59"/>
  <c r="G59" i="59"/>
  <c r="F59" i="59"/>
  <c r="E59" i="59"/>
  <c r="D59" i="59"/>
  <c r="C59" i="59"/>
  <c r="B59" i="59"/>
  <c r="I58" i="59"/>
  <c r="H58" i="59"/>
  <c r="G58" i="59"/>
  <c r="F58" i="59"/>
  <c r="E58" i="59"/>
  <c r="D58" i="59"/>
  <c r="C58" i="59"/>
  <c r="B58" i="59"/>
  <c r="I57" i="59"/>
  <c r="H57" i="59"/>
  <c r="G57" i="59"/>
  <c r="F57" i="59"/>
  <c r="E57" i="59"/>
  <c r="D57" i="59"/>
  <c r="C57" i="59"/>
  <c r="B57" i="59"/>
  <c r="I56" i="59"/>
  <c r="H56" i="59"/>
  <c r="G56" i="59"/>
  <c r="F56" i="59"/>
  <c r="E56" i="59"/>
  <c r="D56" i="59"/>
  <c r="C56" i="59"/>
  <c r="B56" i="59"/>
  <c r="I55" i="59"/>
  <c r="H55" i="59"/>
  <c r="G55" i="59"/>
  <c r="F55" i="59"/>
  <c r="E55" i="59"/>
  <c r="D55" i="59"/>
  <c r="C55" i="59"/>
  <c r="B55" i="59"/>
  <c r="I54" i="59"/>
  <c r="H54" i="59"/>
  <c r="G54" i="59"/>
  <c r="F54" i="59"/>
  <c r="E54" i="59"/>
  <c r="D54" i="59"/>
  <c r="C54" i="59"/>
  <c r="B54" i="59"/>
  <c r="I53" i="59"/>
  <c r="H53" i="59"/>
  <c r="G53" i="59"/>
  <c r="F53" i="59"/>
  <c r="E53" i="59"/>
  <c r="D53" i="59"/>
  <c r="C53" i="59"/>
  <c r="B53" i="59"/>
  <c r="I52" i="59"/>
  <c r="H52" i="59"/>
  <c r="G52" i="59"/>
  <c r="F52" i="59"/>
  <c r="E52" i="59"/>
  <c r="D52" i="59"/>
  <c r="C52" i="59"/>
  <c r="B52" i="59"/>
  <c r="I51" i="59"/>
  <c r="H51" i="59"/>
  <c r="G51" i="59"/>
  <c r="F51" i="59"/>
  <c r="E51" i="59"/>
  <c r="D51" i="59"/>
  <c r="C51" i="59"/>
  <c r="B51" i="59"/>
  <c r="I50" i="59"/>
  <c r="H50" i="59"/>
  <c r="G50" i="59"/>
  <c r="F50" i="59"/>
  <c r="E50" i="59"/>
  <c r="D50" i="59"/>
  <c r="C50" i="59"/>
  <c r="B50" i="59"/>
  <c r="I49" i="59"/>
  <c r="H49" i="59"/>
  <c r="G49" i="59"/>
  <c r="F49" i="59"/>
  <c r="E49" i="59"/>
  <c r="D49" i="59"/>
  <c r="C49" i="59"/>
  <c r="B49" i="59"/>
  <c r="I48" i="59"/>
  <c r="H48" i="59"/>
  <c r="G48" i="59"/>
  <c r="F48" i="59"/>
  <c r="E48" i="59"/>
  <c r="D48" i="59"/>
  <c r="C48" i="59"/>
  <c r="B48" i="59"/>
  <c r="I47" i="59"/>
  <c r="H47" i="59"/>
  <c r="G47" i="59"/>
  <c r="F47" i="59"/>
  <c r="E47" i="59"/>
  <c r="D47" i="59"/>
  <c r="C47" i="59"/>
  <c r="B47" i="59"/>
  <c r="I46" i="59"/>
  <c r="H46" i="59"/>
  <c r="G46" i="59"/>
  <c r="F46" i="59"/>
  <c r="E46" i="59"/>
  <c r="D46" i="59"/>
  <c r="C46" i="59"/>
  <c r="B46" i="59"/>
  <c r="I45" i="59"/>
  <c r="H45" i="59"/>
  <c r="G45" i="59"/>
  <c r="F45" i="59"/>
  <c r="E45" i="59"/>
  <c r="D45" i="59"/>
  <c r="C45" i="59"/>
  <c r="B45" i="59"/>
  <c r="I44" i="59"/>
  <c r="H44" i="59"/>
  <c r="G44" i="59"/>
  <c r="F44" i="59"/>
  <c r="E44" i="59"/>
  <c r="D44" i="59"/>
  <c r="C44" i="59"/>
  <c r="B44" i="59"/>
  <c r="I43" i="59"/>
  <c r="H43" i="59"/>
  <c r="G43" i="59"/>
  <c r="F43" i="59"/>
  <c r="E43" i="59"/>
  <c r="D43" i="59"/>
  <c r="C43" i="59"/>
  <c r="B43" i="59"/>
  <c r="I42" i="59"/>
  <c r="H42" i="59"/>
  <c r="G42" i="59"/>
  <c r="F42" i="59"/>
  <c r="E42" i="59"/>
  <c r="D42" i="59"/>
  <c r="C42" i="59"/>
  <c r="B42" i="59"/>
  <c r="I41" i="59"/>
  <c r="H41" i="59"/>
  <c r="G41" i="59"/>
  <c r="F41" i="59"/>
  <c r="E41" i="59"/>
  <c r="D41" i="59"/>
  <c r="C41" i="59"/>
  <c r="B41" i="59"/>
  <c r="I40" i="59"/>
  <c r="H40" i="59"/>
  <c r="G40" i="59"/>
  <c r="F40" i="59"/>
  <c r="E40" i="59"/>
  <c r="D40" i="59"/>
  <c r="C40" i="59"/>
  <c r="B40" i="59"/>
  <c r="I39" i="59"/>
  <c r="H39" i="59"/>
  <c r="G39" i="59"/>
  <c r="F39" i="59"/>
  <c r="E39" i="59"/>
  <c r="D39" i="59"/>
  <c r="C39" i="59"/>
  <c r="B39" i="59"/>
  <c r="I38" i="59"/>
  <c r="H38" i="59"/>
  <c r="G38" i="59"/>
  <c r="F38" i="59"/>
  <c r="E38" i="59"/>
  <c r="D38" i="59"/>
  <c r="C38" i="59"/>
  <c r="B38" i="59"/>
  <c r="I37" i="59"/>
  <c r="H37" i="59"/>
  <c r="G37" i="59"/>
  <c r="F37" i="59"/>
  <c r="E37" i="59"/>
  <c r="D37" i="59"/>
  <c r="C37" i="59"/>
  <c r="B37" i="59"/>
  <c r="I36" i="59"/>
  <c r="H36" i="59"/>
  <c r="G36" i="59"/>
  <c r="F36" i="59"/>
  <c r="E36" i="59"/>
  <c r="D36" i="59"/>
  <c r="C36" i="59"/>
  <c r="B36" i="59"/>
  <c r="I35" i="59"/>
  <c r="H35" i="59"/>
  <c r="G35" i="59"/>
  <c r="F35" i="59"/>
  <c r="E35" i="59"/>
  <c r="D35" i="59"/>
  <c r="C35" i="59"/>
  <c r="B35" i="59"/>
  <c r="I34" i="59"/>
  <c r="H34" i="59"/>
  <c r="G34" i="59"/>
  <c r="F34" i="59"/>
  <c r="E34" i="59"/>
  <c r="D34" i="59"/>
  <c r="C34" i="59"/>
  <c r="B34" i="59"/>
  <c r="I33" i="59"/>
  <c r="H33" i="59"/>
  <c r="G33" i="59"/>
  <c r="F33" i="59"/>
  <c r="E33" i="59"/>
  <c r="D33" i="59"/>
  <c r="C33" i="59"/>
  <c r="B33" i="59"/>
  <c r="I32" i="59"/>
  <c r="H32" i="59"/>
  <c r="G32" i="59"/>
  <c r="F32" i="59"/>
  <c r="E32" i="59"/>
  <c r="D32" i="59"/>
  <c r="C32" i="59"/>
  <c r="B32" i="59"/>
  <c r="I31" i="59"/>
  <c r="H31" i="59"/>
  <c r="G31" i="59"/>
  <c r="F31" i="59"/>
  <c r="E31" i="59"/>
  <c r="D31" i="59"/>
  <c r="C31" i="59"/>
  <c r="B31" i="59"/>
  <c r="I30" i="59"/>
  <c r="H30" i="59"/>
  <c r="G30" i="59"/>
  <c r="F30" i="59"/>
  <c r="E30" i="59"/>
  <c r="D30" i="59"/>
  <c r="C30" i="59"/>
  <c r="B30" i="59"/>
  <c r="I29" i="59"/>
  <c r="H29" i="59"/>
  <c r="G29" i="59"/>
  <c r="F29" i="59"/>
  <c r="E29" i="59"/>
  <c r="D29" i="59"/>
  <c r="C29" i="59"/>
  <c r="B29" i="59"/>
  <c r="I28" i="59"/>
  <c r="H28" i="59"/>
  <c r="G28" i="59"/>
  <c r="F28" i="59"/>
  <c r="E28" i="59"/>
  <c r="D28" i="59"/>
  <c r="C28" i="59"/>
  <c r="B28" i="59"/>
  <c r="I27" i="59"/>
  <c r="H27" i="59"/>
  <c r="G27" i="59"/>
  <c r="F27" i="59"/>
  <c r="E27" i="59"/>
  <c r="D27" i="59"/>
  <c r="C27" i="59"/>
  <c r="B27" i="59"/>
  <c r="I26" i="59"/>
  <c r="H26" i="59"/>
  <c r="G26" i="59"/>
  <c r="F26" i="59"/>
  <c r="E26" i="59"/>
  <c r="D26" i="59"/>
  <c r="C26" i="59"/>
  <c r="B26" i="59"/>
  <c r="I25" i="59"/>
  <c r="H25" i="59"/>
  <c r="G25" i="59"/>
  <c r="F25" i="59"/>
  <c r="E25" i="59"/>
  <c r="D25" i="59"/>
  <c r="C25" i="59"/>
  <c r="B25" i="59"/>
  <c r="I24" i="59"/>
  <c r="H24" i="59"/>
  <c r="G24" i="59"/>
  <c r="F24" i="59"/>
  <c r="E24" i="59"/>
  <c r="D24" i="59"/>
  <c r="C24" i="59"/>
  <c r="B24" i="59"/>
  <c r="I23" i="59"/>
  <c r="H23" i="59"/>
  <c r="G23" i="59"/>
  <c r="F23" i="59"/>
  <c r="E23" i="59"/>
  <c r="D23" i="59"/>
  <c r="C23" i="59"/>
  <c r="B23" i="59"/>
  <c r="I22" i="59"/>
  <c r="H22" i="59"/>
  <c r="G22" i="59"/>
  <c r="F22" i="59"/>
  <c r="E22" i="59"/>
  <c r="D22" i="59"/>
  <c r="C22" i="59"/>
  <c r="B22" i="59"/>
  <c r="I21" i="59"/>
  <c r="H21" i="59"/>
  <c r="G21" i="59"/>
  <c r="F21" i="59"/>
  <c r="E21" i="59"/>
  <c r="D21" i="59"/>
  <c r="C21" i="59"/>
  <c r="B21" i="59"/>
  <c r="I20" i="59"/>
  <c r="H20" i="59"/>
  <c r="G20" i="59"/>
  <c r="F20" i="59"/>
  <c r="E20" i="59"/>
  <c r="D20" i="59"/>
  <c r="C20" i="59"/>
  <c r="B20" i="59"/>
  <c r="I19" i="59"/>
  <c r="H19" i="59"/>
  <c r="G19" i="59"/>
  <c r="F19" i="59"/>
  <c r="E19" i="59"/>
  <c r="D19" i="59"/>
  <c r="C19" i="59"/>
  <c r="B19" i="59"/>
  <c r="I18" i="59"/>
  <c r="H18" i="59"/>
  <c r="G18" i="59"/>
  <c r="F18" i="59"/>
  <c r="E18" i="59"/>
  <c r="D18" i="59"/>
  <c r="C18" i="59"/>
  <c r="B18" i="59"/>
  <c r="I17" i="59"/>
  <c r="H17" i="59"/>
  <c r="G17" i="59"/>
  <c r="F17" i="59"/>
  <c r="E17" i="59"/>
  <c r="D17" i="59"/>
  <c r="C17" i="59"/>
  <c r="B17" i="59"/>
  <c r="I16" i="59"/>
  <c r="H16" i="59"/>
  <c r="G16" i="59"/>
  <c r="F16" i="59"/>
  <c r="E16" i="59"/>
  <c r="D16" i="59"/>
  <c r="C16" i="59"/>
  <c r="B16" i="59"/>
  <c r="I15" i="59"/>
  <c r="H15" i="59"/>
  <c r="G15" i="59"/>
  <c r="F15" i="59"/>
  <c r="E15" i="59"/>
  <c r="D15" i="59"/>
  <c r="C15" i="59"/>
  <c r="B15" i="59"/>
  <c r="I14" i="59"/>
  <c r="H14" i="59"/>
  <c r="G14" i="59"/>
  <c r="F14" i="59"/>
  <c r="E14" i="59"/>
  <c r="D14" i="59"/>
  <c r="C14" i="59"/>
  <c r="B14" i="59"/>
  <c r="I13" i="59"/>
  <c r="H13" i="59"/>
  <c r="G13" i="59"/>
  <c r="F13" i="59"/>
  <c r="E13" i="59"/>
  <c r="D13" i="59"/>
  <c r="C13" i="59"/>
  <c r="B13" i="59"/>
  <c r="I12" i="59"/>
  <c r="H12" i="59"/>
  <c r="G12" i="59"/>
  <c r="F12" i="59"/>
  <c r="E12" i="59"/>
  <c r="D12" i="59"/>
  <c r="C12" i="59"/>
  <c r="B12" i="59"/>
  <c r="I11" i="59"/>
  <c r="H11" i="59"/>
  <c r="G11" i="59"/>
  <c r="F11" i="59"/>
  <c r="E11" i="59"/>
  <c r="D11" i="59"/>
  <c r="C11" i="59"/>
  <c r="B11" i="59"/>
  <c r="I10" i="59"/>
  <c r="H10" i="59"/>
  <c r="G10" i="59"/>
  <c r="F10" i="59"/>
  <c r="E10" i="59"/>
  <c r="D10" i="59"/>
  <c r="C10" i="59"/>
  <c r="B10" i="59"/>
  <c r="AT131" i="57"/>
  <c r="AT122" i="57"/>
  <c r="AT115" i="57"/>
  <c r="BF76" i="57" a="1"/>
  <c r="BF76" i="57" s="1"/>
  <c r="BE76" i="57" a="1"/>
  <c r="BE76" i="57" s="1"/>
  <c r="BD76" i="57" a="1"/>
  <c r="BD76" i="57" s="1"/>
  <c r="BC76" i="57" a="1"/>
  <c r="BC76" i="57" s="1"/>
  <c r="BB76" i="57" a="1"/>
  <c r="BB76" i="57" s="1"/>
  <c r="BA76" i="57" a="1"/>
  <c r="BA76" i="57" s="1"/>
  <c r="AZ76" i="57" a="1"/>
  <c r="AZ76" i="57" s="1"/>
  <c r="AY76" i="57" a="1"/>
  <c r="AY76" i="57" s="1"/>
  <c r="AX76" i="57" a="1"/>
  <c r="AX76" i="57" s="1"/>
  <c r="AW76" i="57" a="1"/>
  <c r="AW76" i="57" s="1"/>
  <c r="AV76" i="57" a="1"/>
  <c r="AV76" i="57" s="1"/>
  <c r="AU76" i="57" a="1"/>
  <c r="AU76" i="57" s="1"/>
  <c r="AT76" i="57" a="1"/>
  <c r="AT76" i="57" s="1"/>
  <c r="BF75" i="57" a="1"/>
  <c r="BF75" i="57" s="1"/>
  <c r="BE75" i="57" a="1"/>
  <c r="BE75" i="57" s="1"/>
  <c r="BD75" i="57" a="1"/>
  <c r="BD75" i="57" s="1"/>
  <c r="BC75" i="57" a="1"/>
  <c r="BC75" i="57" s="1"/>
  <c r="BB75" i="57" a="1"/>
  <c r="BB75" i="57" s="1"/>
  <c r="BA75" i="57" a="1"/>
  <c r="BA75" i="57" s="1"/>
  <c r="AZ75" i="57" a="1"/>
  <c r="AZ75" i="57" s="1"/>
  <c r="AY75" i="57" a="1"/>
  <c r="AY75" i="57" s="1"/>
  <c r="AX75" i="57" a="1"/>
  <c r="AX75" i="57" s="1"/>
  <c r="AW75" i="57" a="1"/>
  <c r="AW75" i="57" s="1"/>
  <c r="AV75" i="57" a="1"/>
  <c r="AV75" i="57" s="1"/>
  <c r="AU75" i="57" a="1"/>
  <c r="AU75" i="57" s="1"/>
  <c r="AT75" i="57" a="1"/>
  <c r="AT75" i="57" s="1"/>
  <c r="BF74" i="57" a="1"/>
  <c r="BF74" i="57" s="1"/>
  <c r="BE74" i="57" a="1"/>
  <c r="BE74" i="57" s="1"/>
  <c r="BD74" i="57" a="1"/>
  <c r="BD74" i="57" s="1"/>
  <c r="BC74" i="57" a="1"/>
  <c r="BC74" i="57" s="1"/>
  <c r="BB74" i="57" a="1"/>
  <c r="BB74" i="57" s="1"/>
  <c r="BA74" i="57" a="1"/>
  <c r="BA74" i="57" s="1"/>
  <c r="AZ74" i="57" a="1"/>
  <c r="AZ74" i="57" s="1"/>
  <c r="AY74" i="57" a="1"/>
  <c r="AY74" i="57" s="1"/>
  <c r="AX74" i="57" a="1"/>
  <c r="AX74" i="57" s="1"/>
  <c r="AW74" i="57" a="1"/>
  <c r="AW74" i="57" s="1"/>
  <c r="AV74" i="57" a="1"/>
  <c r="AV74" i="57" s="1"/>
  <c r="AU74" i="57" a="1"/>
  <c r="AU74" i="57" s="1"/>
  <c r="AT74" i="57" a="1"/>
  <c r="AT74" i="57" s="1"/>
  <c r="BF73" i="57" a="1"/>
  <c r="BF73" i="57" s="1"/>
  <c r="BE73" i="57" a="1"/>
  <c r="BE73" i="57" s="1"/>
  <c r="BD73" i="57" a="1"/>
  <c r="BD73" i="57" s="1"/>
  <c r="BC73" i="57" a="1"/>
  <c r="BC73" i="57" s="1"/>
  <c r="BB73" i="57" a="1"/>
  <c r="BB73" i="57" s="1"/>
  <c r="BA73" i="57" a="1"/>
  <c r="BA73" i="57" s="1"/>
  <c r="AZ73" i="57" a="1"/>
  <c r="AZ73" i="57" s="1"/>
  <c r="AY73" i="57" a="1"/>
  <c r="AY73" i="57" s="1"/>
  <c r="AX73" i="57" a="1"/>
  <c r="AX73" i="57" s="1"/>
  <c r="AW73" i="57" a="1"/>
  <c r="AW73" i="57" s="1"/>
  <c r="AV73" i="57" a="1"/>
  <c r="AV73" i="57" s="1"/>
  <c r="AU73" i="57" a="1"/>
  <c r="AU73" i="57" s="1"/>
  <c r="AT73" i="57" a="1"/>
  <c r="AT73" i="57" s="1"/>
  <c r="BJ72" i="57" a="1"/>
  <c r="BJ72" i="57" s="1"/>
  <c r="BI72" i="57" a="1"/>
  <c r="BI72" i="57" s="1"/>
  <c r="BH72" i="57" a="1"/>
  <c r="BH72" i="57" s="1"/>
  <c r="BG72" i="57" a="1"/>
  <c r="BG72" i="57" s="1"/>
  <c r="BJ71" i="57" a="1"/>
  <c r="BJ71" i="57" s="1"/>
  <c r="BI71" i="57" a="1"/>
  <c r="BI71" i="57" s="1"/>
  <c r="BH71" i="57" a="1"/>
  <c r="BH71" i="57" s="1"/>
  <c r="BG71" i="57" a="1"/>
  <c r="BG71" i="57" s="1"/>
  <c r="BJ70" i="57" a="1"/>
  <c r="BJ70" i="57" s="1"/>
  <c r="BI70" i="57" a="1"/>
  <c r="BI70" i="57" s="1"/>
  <c r="BH70" i="57" a="1"/>
  <c r="BH70" i="57" s="1"/>
  <c r="BG70" i="57" a="1"/>
  <c r="BG70" i="57" s="1"/>
  <c r="BJ69" i="57" a="1"/>
  <c r="BJ69" i="57" s="1"/>
  <c r="BI69" i="57" a="1"/>
  <c r="BI69" i="57" s="1"/>
  <c r="BH69" i="57" a="1"/>
  <c r="BH69" i="57" s="1"/>
  <c r="BG69" i="57" a="1"/>
  <c r="BG69" i="57" s="1"/>
  <c r="BJ68" i="57" a="1"/>
  <c r="BJ68" i="57" s="1"/>
  <c r="BI68" i="57" a="1"/>
  <c r="BI68" i="57" s="1"/>
  <c r="BH68" i="57" a="1"/>
  <c r="BH68" i="57" s="1"/>
  <c r="BG68" i="57" a="1"/>
  <c r="BG68" i="57" s="1"/>
  <c r="BJ67" i="57" a="1"/>
  <c r="BJ67" i="57" s="1"/>
  <c r="BI67" i="57" a="1"/>
  <c r="BI67" i="57" s="1"/>
  <c r="BH67" i="57" a="1"/>
  <c r="BH67" i="57" s="1"/>
  <c r="BG67" i="57" a="1"/>
  <c r="BG67" i="57" s="1"/>
  <c r="BF66" i="57" a="1"/>
  <c r="BF66" i="57" s="1"/>
  <c r="BE66" i="57" a="1"/>
  <c r="BE66" i="57" s="1"/>
  <c r="BD66" i="57" a="1"/>
  <c r="BD66" i="57" s="1"/>
  <c r="BC66" i="57" a="1"/>
  <c r="BC66" i="57" s="1"/>
  <c r="BB66" i="57" a="1"/>
  <c r="BB66" i="57" s="1"/>
  <c r="BA66" i="57" a="1"/>
  <c r="BA66" i="57" s="1"/>
  <c r="AZ66" i="57" a="1"/>
  <c r="AZ66" i="57" s="1"/>
  <c r="AY66" i="57" a="1"/>
  <c r="AY66" i="57" s="1"/>
  <c r="AX66" i="57" a="1"/>
  <c r="AX66" i="57" s="1"/>
  <c r="AW66" i="57" a="1"/>
  <c r="AW66" i="57" s="1"/>
  <c r="AV66" i="57" a="1"/>
  <c r="AV66" i="57" s="1"/>
  <c r="AU66" i="57" a="1"/>
  <c r="AU66" i="57" s="1"/>
  <c r="AT66" i="57" a="1"/>
  <c r="AT66" i="57" s="1"/>
  <c r="BF65" i="57" a="1"/>
  <c r="BF65" i="57" s="1"/>
  <c r="BE65" i="57" a="1"/>
  <c r="BE65" i="57" s="1"/>
  <c r="BD65" i="57" a="1"/>
  <c r="BD65" i="57" s="1"/>
  <c r="BC65" i="57" a="1"/>
  <c r="BC65" i="57" s="1"/>
  <c r="BB65" i="57" a="1"/>
  <c r="BB65" i="57" s="1"/>
  <c r="BA65" i="57" a="1"/>
  <c r="BA65" i="57" s="1"/>
  <c r="AZ65" i="57" a="1"/>
  <c r="AZ65" i="57" s="1"/>
  <c r="AY65" i="57" a="1"/>
  <c r="AY65" i="57" s="1"/>
  <c r="AX65" i="57" a="1"/>
  <c r="AX65" i="57" s="1"/>
  <c r="AW65" i="57" a="1"/>
  <c r="AW65" i="57" s="1"/>
  <c r="AV65" i="57" a="1"/>
  <c r="AV65" i="57" s="1"/>
  <c r="AU65" i="57" a="1"/>
  <c r="AU65" i="57" s="1"/>
  <c r="AT65" i="57" a="1"/>
  <c r="AT65" i="57" s="1"/>
  <c r="BF64" i="57" a="1"/>
  <c r="BF64" i="57" s="1"/>
  <c r="BE64" i="57" a="1"/>
  <c r="BE64" i="57" s="1"/>
  <c r="BD64" i="57" a="1"/>
  <c r="BD64" i="57" s="1"/>
  <c r="BC64" i="57" a="1"/>
  <c r="BC64" i="57" s="1"/>
  <c r="BB64" i="57" a="1"/>
  <c r="BB64" i="57" s="1"/>
  <c r="BA64" i="57" a="1"/>
  <c r="BA64" i="57" s="1"/>
  <c r="AZ64" i="57" a="1"/>
  <c r="AZ64" i="57" s="1"/>
  <c r="AY64" i="57" a="1"/>
  <c r="AY64" i="57" s="1"/>
  <c r="AX64" i="57" a="1"/>
  <c r="AX64" i="57" s="1"/>
  <c r="AW64" i="57" a="1"/>
  <c r="AW64" i="57" s="1"/>
  <c r="AV64" i="57" a="1"/>
  <c r="AV64" i="57" s="1"/>
  <c r="AU64" i="57" a="1"/>
  <c r="AU64" i="57" s="1"/>
  <c r="AT64" i="57" a="1"/>
  <c r="AT64" i="57" s="1"/>
  <c r="BF63" i="57" a="1"/>
  <c r="BF63" i="57" s="1"/>
  <c r="BE63" i="57" a="1"/>
  <c r="BE63" i="57" s="1"/>
  <c r="BD63" i="57" a="1"/>
  <c r="BD63" i="57" s="1"/>
  <c r="BC63" i="57" a="1"/>
  <c r="BC63" i="57" s="1"/>
  <c r="BB63" i="57" a="1"/>
  <c r="BB63" i="57" s="1"/>
  <c r="BA63" i="57" a="1"/>
  <c r="BA63" i="57" s="1"/>
  <c r="AZ63" i="57" a="1"/>
  <c r="AZ63" i="57" s="1"/>
  <c r="AY63" i="57" a="1"/>
  <c r="AY63" i="57" s="1"/>
  <c r="AX63" i="57" a="1"/>
  <c r="AX63" i="57" s="1"/>
  <c r="AW63" i="57" a="1"/>
  <c r="AW63" i="57" s="1"/>
  <c r="AV63" i="57" a="1"/>
  <c r="AV63" i="57" s="1"/>
  <c r="AU63" i="57" a="1"/>
  <c r="AU63" i="57" s="1"/>
  <c r="AT63" i="57" a="1"/>
  <c r="AT63" i="57" s="1"/>
  <c r="BJ62" i="57" a="1"/>
  <c r="BJ62" i="57" s="1"/>
  <c r="BI62" i="57" a="1"/>
  <c r="BI62" i="57" s="1"/>
  <c r="BH62" i="57" a="1"/>
  <c r="BH62" i="57" s="1"/>
  <c r="BG62" i="57" a="1"/>
  <c r="BG62" i="57" s="1"/>
  <c r="BJ61" i="57" a="1"/>
  <c r="BJ61" i="57" s="1"/>
  <c r="BI61" i="57" a="1"/>
  <c r="BI61" i="57" s="1"/>
  <c r="BH61" i="57" a="1"/>
  <c r="BH61" i="57" s="1"/>
  <c r="BG61" i="57" a="1"/>
  <c r="BG61" i="57" s="1"/>
  <c r="BJ60" i="57" a="1"/>
  <c r="BJ60" i="57" s="1"/>
  <c r="BI60" i="57" a="1"/>
  <c r="BI60" i="57" s="1"/>
  <c r="BH60" i="57" a="1"/>
  <c r="BH60" i="57" s="1"/>
  <c r="BG60" i="57" a="1"/>
  <c r="BG60" i="57" s="1"/>
  <c r="BJ59" i="57" a="1"/>
  <c r="BJ59" i="57" s="1"/>
  <c r="BI59" i="57" a="1"/>
  <c r="BI59" i="57" s="1"/>
  <c r="BH59" i="57" a="1"/>
  <c r="BH59" i="57" s="1"/>
  <c r="BG59" i="57" a="1"/>
  <c r="BG59" i="57" s="1"/>
  <c r="BJ58" i="57" a="1"/>
  <c r="BJ58" i="57" s="1"/>
  <c r="BI58" i="57" a="1"/>
  <c r="BI58" i="57" s="1"/>
  <c r="BH58" i="57" a="1"/>
  <c r="BH58" i="57" s="1"/>
  <c r="BG58" i="57" a="1"/>
  <c r="BG58" i="57" s="1"/>
  <c r="BJ57" i="57" a="1"/>
  <c r="BJ57" i="57" s="1"/>
  <c r="BI57" i="57" a="1"/>
  <c r="BI57" i="57" s="1"/>
  <c r="BH57" i="57" a="1"/>
  <c r="BH57" i="57" s="1"/>
  <c r="BG57" i="57" a="1"/>
  <c r="BG57" i="57" s="1"/>
  <c r="BF53" i="57"/>
  <c r="BE53" i="57"/>
  <c r="BD53" i="57"/>
  <c r="BC53" i="57"/>
  <c r="BB53" i="57"/>
  <c r="BA53" i="57"/>
  <c r="AZ53" i="57"/>
  <c r="AY53" i="57"/>
  <c r="AX53" i="57"/>
  <c r="AW53" i="57"/>
  <c r="AV53" i="57"/>
  <c r="AU53" i="57"/>
  <c r="AT53" i="57"/>
  <c r="BF52" i="57"/>
  <c r="BE52" i="57"/>
  <c r="BD52" i="57"/>
  <c r="BC52" i="57"/>
  <c r="BB52" i="57"/>
  <c r="BA52" i="57"/>
  <c r="AZ52" i="57"/>
  <c r="AY52" i="57"/>
  <c r="AX52" i="57"/>
  <c r="AW52" i="57"/>
  <c r="AV52" i="57"/>
  <c r="AU52" i="57"/>
  <c r="AT52" i="57"/>
  <c r="BJ51" i="57" a="1"/>
  <c r="BJ51" i="57" s="1"/>
  <c r="BI51" i="57" a="1"/>
  <c r="BI51" i="57" s="1"/>
  <c r="BH51" i="57" a="1"/>
  <c r="BH51" i="57" s="1"/>
  <c r="BG51" i="57" a="1"/>
  <c r="BG51" i="57" s="1"/>
  <c r="BJ50" i="57" a="1"/>
  <c r="BJ50" i="57" s="1"/>
  <c r="BJ53" i="57" s="1"/>
  <c r="BI50" i="57" a="1"/>
  <c r="BI50" i="57" s="1"/>
  <c r="BH50" i="57" a="1"/>
  <c r="BH50" i="57" s="1"/>
  <c r="BG50" i="57" a="1"/>
  <c r="BG50" i="57" s="1"/>
  <c r="BF49" i="57"/>
  <c r="BE49" i="57"/>
  <c r="BD49" i="57"/>
  <c r="BC49" i="57"/>
  <c r="BB49" i="57"/>
  <c r="BA49" i="57"/>
  <c r="AZ49" i="57"/>
  <c r="AY49" i="57"/>
  <c r="AX49" i="57"/>
  <c r="AW49" i="57"/>
  <c r="AV49" i="57"/>
  <c r="AU49" i="57"/>
  <c r="AT49" i="57"/>
  <c r="BF48" i="57"/>
  <c r="BE48" i="57"/>
  <c r="BD48" i="57"/>
  <c r="BC48" i="57"/>
  <c r="BB48" i="57"/>
  <c r="BA48" i="57"/>
  <c r="AZ48" i="57"/>
  <c r="AY48" i="57"/>
  <c r="AX48" i="57"/>
  <c r="AW48" i="57"/>
  <c r="AV48" i="57"/>
  <c r="AU48" i="57"/>
  <c r="AT48" i="57"/>
  <c r="BF47" i="57"/>
  <c r="BE47" i="57"/>
  <c r="BD47" i="57"/>
  <c r="BC47" i="57"/>
  <c r="BB47" i="57"/>
  <c r="BA47" i="57"/>
  <c r="AZ47" i="57"/>
  <c r="AY47" i="57"/>
  <c r="AX47" i="57"/>
  <c r="AW47" i="57"/>
  <c r="AV47" i="57"/>
  <c r="AU47" i="57"/>
  <c r="AT47" i="57"/>
  <c r="BF46" i="57"/>
  <c r="BE46" i="57"/>
  <c r="BD46" i="57"/>
  <c r="BC46" i="57"/>
  <c r="BB46" i="57"/>
  <c r="BA46" i="57"/>
  <c r="AZ46" i="57"/>
  <c r="AY46" i="57"/>
  <c r="AX46" i="57"/>
  <c r="AW46" i="57"/>
  <c r="AV46" i="57"/>
  <c r="AU46" i="57"/>
  <c r="AT46" i="57"/>
  <c r="BF45" i="57"/>
  <c r="BE45" i="57"/>
  <c r="BD45" i="57"/>
  <c r="BC45" i="57"/>
  <c r="BB45" i="57"/>
  <c r="BA45" i="57"/>
  <c r="AZ45" i="57"/>
  <c r="AY45" i="57"/>
  <c r="AX45" i="57"/>
  <c r="AW45" i="57"/>
  <c r="AV45" i="57"/>
  <c r="AU45" i="57"/>
  <c r="AT45" i="57"/>
  <c r="BJ44" i="57" a="1"/>
  <c r="BJ44" i="57" s="1"/>
  <c r="BI44" i="57" a="1"/>
  <c r="BI44" i="57" s="1"/>
  <c r="BH44" i="57" a="1"/>
  <c r="BH44" i="57" s="1"/>
  <c r="BG44" i="57" a="1"/>
  <c r="BG44" i="57" s="1"/>
  <c r="BJ43" i="57" a="1"/>
  <c r="BJ43" i="57" s="1"/>
  <c r="BI43" i="57" a="1"/>
  <c r="BI43" i="57" s="1"/>
  <c r="BH43" i="57" a="1"/>
  <c r="BH43" i="57" s="1"/>
  <c r="BG43" i="57" a="1"/>
  <c r="BG43" i="57" s="1"/>
  <c r="BF42" i="57"/>
  <c r="BE42" i="57"/>
  <c r="BD42" i="57"/>
  <c r="BC42" i="57"/>
  <c r="BB42" i="57"/>
  <c r="BA42" i="57"/>
  <c r="AZ42" i="57"/>
  <c r="AY42" i="57"/>
  <c r="AX42" i="57"/>
  <c r="AW42" i="57"/>
  <c r="AV42" i="57"/>
  <c r="AU42" i="57"/>
  <c r="AT42" i="57"/>
  <c r="BF41" i="57"/>
  <c r="BE41" i="57"/>
  <c r="BD41" i="57"/>
  <c r="BC41" i="57"/>
  <c r="BB41" i="57"/>
  <c r="BA41" i="57"/>
  <c r="AZ41" i="57"/>
  <c r="AY41" i="57"/>
  <c r="AX41" i="57"/>
  <c r="AW41" i="57"/>
  <c r="AV41" i="57"/>
  <c r="AU41" i="57"/>
  <c r="AT41" i="57"/>
  <c r="BF40" i="57"/>
  <c r="BE40" i="57"/>
  <c r="BD40" i="57"/>
  <c r="BC40" i="57"/>
  <c r="BB40" i="57"/>
  <c r="BA40" i="57"/>
  <c r="AZ40" i="57"/>
  <c r="AY40" i="57"/>
  <c r="AX40" i="57"/>
  <c r="AW40" i="57"/>
  <c r="AV40" i="57"/>
  <c r="AU40" i="57"/>
  <c r="AT40" i="57"/>
  <c r="BF39" i="57"/>
  <c r="BE39" i="57"/>
  <c r="BD39" i="57"/>
  <c r="BC39" i="57"/>
  <c r="BB39" i="57"/>
  <c r="BA39" i="57"/>
  <c r="AZ39" i="57"/>
  <c r="AY39" i="57"/>
  <c r="AX39" i="57"/>
  <c r="AW39" i="57"/>
  <c r="AV39" i="57"/>
  <c r="AU39" i="57"/>
  <c r="AT39" i="57"/>
  <c r="BJ38" i="57" a="1"/>
  <c r="BJ38" i="57" s="1"/>
  <c r="BI38" i="57" a="1"/>
  <c r="BI38" i="57" s="1"/>
  <c r="BH38" i="57" a="1"/>
  <c r="BH38" i="57" s="1"/>
  <c r="BG38" i="57" a="1"/>
  <c r="BG38" i="57" s="1"/>
  <c r="BJ37" i="57" a="1"/>
  <c r="BJ37" i="57" s="1"/>
  <c r="BI37" i="57" a="1"/>
  <c r="BI37" i="57" s="1"/>
  <c r="BH37" i="57" a="1"/>
  <c r="BH37" i="57" s="1"/>
  <c r="BG37" i="57" a="1"/>
  <c r="BG37" i="57" s="1"/>
  <c r="BJ36" i="57" a="1"/>
  <c r="BJ36" i="57" s="1"/>
  <c r="BI36" i="57" a="1"/>
  <c r="BI36" i="57" s="1"/>
  <c r="BH36" i="57" a="1"/>
  <c r="BH36" i="57" s="1"/>
  <c r="BG36" i="57" a="1"/>
  <c r="BG36" i="57" s="1"/>
  <c r="D27" i="57"/>
  <c r="B23" i="57"/>
  <c r="B22" i="57"/>
  <c r="E13" i="57"/>
  <c r="F12" i="57"/>
  <c r="F11" i="57"/>
  <c r="F10" i="57"/>
  <c r="C10" i="57"/>
  <c r="F9" i="57"/>
  <c r="AB152" i="57" l="1" a="1"/>
  <c r="AB152" i="57" s="1"/>
  <c r="AB238" i="57" a="1"/>
  <c r="AB238" i="57" s="1"/>
  <c r="H253" i="57"/>
  <c r="H301" i="57"/>
  <c r="I301" i="57"/>
  <c r="AA301" i="57" s="1" a="1"/>
  <c r="AA301" i="57" s="1"/>
  <c r="K520" i="57"/>
  <c r="H532" i="57"/>
  <c r="AB79" i="57" a="1"/>
  <c r="AB79" i="57" s="1"/>
  <c r="H80" i="57"/>
  <c r="X88" i="57" a="1"/>
  <c r="X88" i="57" s="1"/>
  <c r="AB102" i="57" a="1"/>
  <c r="AB102" i="57" s="1"/>
  <c r="AB106" i="57" a="1"/>
  <c r="AB106" i="57" s="1"/>
  <c r="K532" i="57"/>
  <c r="U532" i="57" s="1" a="1"/>
  <c r="U532" i="57" s="1"/>
  <c r="H133" i="57"/>
  <c r="I533" i="57"/>
  <c r="I161" i="57"/>
  <c r="AA161" i="57" s="1" a="1"/>
  <c r="AA161" i="57" s="1"/>
  <c r="AB228" i="57" a="1"/>
  <c r="AB228" i="57" s="1"/>
  <c r="K161" i="57"/>
  <c r="V161" i="57" s="1"/>
  <c r="X233" i="57" a="1"/>
  <c r="X233" i="57" s="1"/>
  <c r="I532" i="57"/>
  <c r="AA532" i="57" s="1" a="1"/>
  <c r="AA532" i="57" s="1"/>
  <c r="I133" i="57"/>
  <c r="AA133" i="57" s="1" a="1"/>
  <c r="AA133" i="57" s="1"/>
  <c r="K533" i="57"/>
  <c r="O533" i="57" s="1"/>
  <c r="X141" i="57" a="1"/>
  <c r="X141" i="57" s="1"/>
  <c r="X162" i="57" a="1"/>
  <c r="X162" i="57" s="1"/>
  <c r="I107" i="57"/>
  <c r="AA107" i="57" s="1" a="1"/>
  <c r="AA107" i="57" s="1"/>
  <c r="P323" i="57"/>
  <c r="K337" i="57"/>
  <c r="AB50" i="57" a="1"/>
  <c r="AB50" i="57" s="1"/>
  <c r="P301" i="57"/>
  <c r="AB162" i="57" a="1"/>
  <c r="AB162" i="57" s="1"/>
  <c r="H163" i="57"/>
  <c r="H171" i="57"/>
  <c r="X336" i="57" a="1"/>
  <c r="X336" i="57" s="1"/>
  <c r="H202" i="57"/>
  <c r="P207" i="57"/>
  <c r="AB409" i="57" a="1"/>
  <c r="AB409" i="57" s="1"/>
  <c r="AB127" i="57" a="1"/>
  <c r="AB127" i="57" s="1"/>
  <c r="X207" i="57" a="1"/>
  <c r="X207" i="57" s="1"/>
  <c r="AB498" i="57" a="1"/>
  <c r="AB498" i="57" s="1"/>
  <c r="H107" i="57"/>
  <c r="X301" i="57" a="1"/>
  <c r="X301" i="57" s="1"/>
  <c r="K107" i="57"/>
  <c r="R107" i="57" s="1"/>
  <c r="K113" i="57"/>
  <c r="R113" i="57" s="1"/>
  <c r="I114" i="57"/>
  <c r="AA114" i="57" s="1" a="1"/>
  <c r="AA114" i="57" s="1"/>
  <c r="P115" i="57"/>
  <c r="H207" i="57"/>
  <c r="X389" i="57" a="1"/>
  <c r="X389" i="57" s="1"/>
  <c r="AB43" i="57" a="1"/>
  <c r="AB43" i="57" s="1"/>
  <c r="I207" i="57"/>
  <c r="AB389" i="57" a="1"/>
  <c r="AB389" i="57" s="1"/>
  <c r="P228" i="57"/>
  <c r="K509" i="57"/>
  <c r="T509" i="57" s="1"/>
  <c r="D8" i="57"/>
  <c r="AN130" i="57" s="1"/>
  <c r="P80" i="57"/>
  <c r="I166" i="57"/>
  <c r="AA166" i="57" s="1" a="1"/>
  <c r="AA166" i="57" s="1"/>
  <c r="H239" i="57"/>
  <c r="P391" i="57"/>
  <c r="X50" i="57" a="1"/>
  <c r="X50" i="57" s="1"/>
  <c r="P88" i="57"/>
  <c r="AB125" i="57" a="1"/>
  <c r="AB125" i="57" s="1"/>
  <c r="K168" i="57"/>
  <c r="R168" i="57" s="1"/>
  <c r="AB251" i="57" a="1"/>
  <c r="AB251" i="57" s="1"/>
  <c r="H395" i="57"/>
  <c r="AB35" i="57" a="1"/>
  <c r="AB35" i="57" s="1"/>
  <c r="H68" i="57"/>
  <c r="AB90" i="57" a="1"/>
  <c r="AB90" i="57" s="1"/>
  <c r="X131" i="57" a="1"/>
  <c r="X131" i="57" s="1"/>
  <c r="AB189" i="57" a="1"/>
  <c r="AB189" i="57" s="1"/>
  <c r="AB299" i="57" a="1"/>
  <c r="AB299" i="57" s="1"/>
  <c r="H442" i="57"/>
  <c r="K89" i="57"/>
  <c r="X130" i="57" a="1"/>
  <c r="X130" i="57" s="1"/>
  <c r="P189" i="57"/>
  <c r="I258" i="57"/>
  <c r="AA258" i="57" s="1" a="1"/>
  <c r="AA258" i="57" s="1"/>
  <c r="AB411" i="57" a="1"/>
  <c r="AB411" i="57" s="1"/>
  <c r="X90" i="57" a="1"/>
  <c r="X90" i="57" s="1"/>
  <c r="K131" i="57"/>
  <c r="X189" i="57" a="1"/>
  <c r="X189" i="57" s="1"/>
  <c r="X258" i="57" a="1"/>
  <c r="X258" i="57" s="1"/>
  <c r="H412" i="57"/>
  <c r="I36" i="57"/>
  <c r="AA36" i="57" s="1" a="1"/>
  <c r="AA36" i="57" s="1"/>
  <c r="H91" i="57"/>
  <c r="P200" i="57"/>
  <c r="P300" i="57"/>
  <c r="AB442" i="57" a="1"/>
  <c r="AB442" i="57" s="1"/>
  <c r="AB54" i="57" a="1"/>
  <c r="AB54" i="57" s="1"/>
  <c r="P91" i="57"/>
  <c r="P146" i="57"/>
  <c r="P208" i="57"/>
  <c r="X339" i="57" a="1"/>
  <c r="X339" i="57" s="1"/>
  <c r="I38" i="57"/>
  <c r="AA38" i="57" s="1" a="1"/>
  <c r="AA38" i="57" s="1"/>
  <c r="P51" i="57"/>
  <c r="H56" i="57"/>
  <c r="H60" i="57"/>
  <c r="X94" i="57" a="1"/>
  <c r="X94" i="57" s="1"/>
  <c r="AB118" i="57" a="1"/>
  <c r="AB118" i="57" s="1"/>
  <c r="X146" i="57" a="1"/>
  <c r="X146" i="57" s="1"/>
  <c r="I179" i="57"/>
  <c r="AA179" i="57" s="1" a="1"/>
  <c r="AA179" i="57" s="1"/>
  <c r="AB208" i="57" a="1"/>
  <c r="AB208" i="57" s="1"/>
  <c r="K269" i="57"/>
  <c r="AB339" i="57" a="1"/>
  <c r="AB339" i="57" s="1"/>
  <c r="I447" i="57"/>
  <c r="K38" i="57"/>
  <c r="I47" i="57"/>
  <c r="I56" i="57"/>
  <c r="AA56" i="57" s="1" a="1"/>
  <c r="AA56" i="57" s="1"/>
  <c r="X60" i="57" a="1"/>
  <c r="X60" i="57" s="1"/>
  <c r="AB94" i="57" a="1"/>
  <c r="AB94" i="57" s="1"/>
  <c r="H119" i="57"/>
  <c r="J119" i="57" s="1"/>
  <c r="AB146" i="57" a="1"/>
  <c r="AB146" i="57" s="1"/>
  <c r="K179" i="57"/>
  <c r="P212" i="57"/>
  <c r="X269" i="57" a="1"/>
  <c r="X269" i="57" s="1"/>
  <c r="AB343" i="57" a="1"/>
  <c r="AB343" i="57" s="1"/>
  <c r="I463" i="57"/>
  <c r="AA463" i="57" s="1" a="1"/>
  <c r="AA463" i="57" s="1"/>
  <c r="F29" i="57"/>
  <c r="P38" i="57"/>
  <c r="P46" i="57"/>
  <c r="P47" i="57"/>
  <c r="P57" i="57"/>
  <c r="AB77" i="57" a="1"/>
  <c r="AB77" i="57" s="1"/>
  <c r="I100" i="57"/>
  <c r="AA100" i="57" s="1" a="1"/>
  <c r="AA100" i="57" s="1"/>
  <c r="I119" i="57"/>
  <c r="H147" i="57"/>
  <c r="K182" i="57"/>
  <c r="X226" i="57" a="1"/>
  <c r="X226" i="57" s="1"/>
  <c r="I270" i="57"/>
  <c r="AA270" i="57" s="1" a="1"/>
  <c r="AA270" i="57" s="1"/>
  <c r="K346" i="57"/>
  <c r="S346" i="57" s="1"/>
  <c r="H464" i="57"/>
  <c r="F28" i="57"/>
  <c r="I147" i="57"/>
  <c r="X287" i="57" a="1"/>
  <c r="X287" i="57" s="1"/>
  <c r="AB348" i="57" a="1"/>
  <c r="AB348" i="57" s="1"/>
  <c r="I464" i="57"/>
  <c r="AA464" i="57" s="1" a="1"/>
  <c r="AA464" i="57" s="1"/>
  <c r="X78" i="57" a="1"/>
  <c r="X78" i="57" s="1"/>
  <c r="P183" i="57"/>
  <c r="K34" i="57"/>
  <c r="V34" i="57" s="1"/>
  <c r="AB78" i="57" a="1"/>
  <c r="AB78" i="57" s="1"/>
  <c r="H102" i="57"/>
  <c r="K147" i="57"/>
  <c r="S147" i="57" s="1"/>
  <c r="X187" i="57" a="1"/>
  <c r="X187" i="57" s="1"/>
  <c r="I228" i="57"/>
  <c r="AA228" i="57" s="1" a="1"/>
  <c r="AA228" i="57" s="1"/>
  <c r="AB287" i="57" a="1"/>
  <c r="AB287" i="57" s="1"/>
  <c r="H382" i="57"/>
  <c r="K464" i="57"/>
  <c r="S464" i="57" s="1"/>
  <c r="P118" i="57"/>
  <c r="I171" i="57"/>
  <c r="I259" i="57"/>
  <c r="AA259" i="57" s="1" a="1"/>
  <c r="AA259" i="57" s="1"/>
  <c r="X443" i="57" a="1"/>
  <c r="X443" i="57" s="1"/>
  <c r="G29" i="57"/>
  <c r="X38" i="57" a="1"/>
  <c r="X38" i="57" s="1"/>
  <c r="X46" i="57" a="1"/>
  <c r="X46" i="57" s="1"/>
  <c r="AB57" i="57" a="1"/>
  <c r="AB57" i="57" s="1"/>
  <c r="P67" i="57"/>
  <c r="K101" i="57"/>
  <c r="K119" i="57"/>
  <c r="V119" i="57" s="1"/>
  <c r="AB226" i="57" a="1"/>
  <c r="AB226" i="57" s="1"/>
  <c r="X35" i="57" a="1"/>
  <c r="X35" i="57" s="1"/>
  <c r="AB66" i="57" a="1"/>
  <c r="AB66" i="57" s="1"/>
  <c r="AB71" i="57" a="1"/>
  <c r="AB71" i="57" s="1"/>
  <c r="X79" i="57" a="1"/>
  <c r="X79" i="57" s="1"/>
  <c r="I102" i="57"/>
  <c r="I125" i="57"/>
  <c r="I148" i="57"/>
  <c r="X188" i="57" a="1"/>
  <c r="X188" i="57" s="1"/>
  <c r="K228" i="57"/>
  <c r="R228" i="57" s="1"/>
  <c r="P291" i="57"/>
  <c r="X388" i="57" a="1"/>
  <c r="X388" i="57" s="1"/>
  <c r="H473" i="57"/>
  <c r="X95" i="57" a="1"/>
  <c r="X95" i="57" s="1"/>
  <c r="X133" i="57" a="1"/>
  <c r="X133" i="57" s="1"/>
  <c r="H190" i="57"/>
  <c r="X215" i="57" a="1"/>
  <c r="X215" i="57" s="1"/>
  <c r="P271" i="57"/>
  <c r="AB306" i="57" a="1"/>
  <c r="AB306" i="57" s="1"/>
  <c r="AB360" i="57" a="1"/>
  <c r="AB360" i="57" s="1"/>
  <c r="I412" i="57"/>
  <c r="J412" i="57" s="1"/>
  <c r="P475" i="57"/>
  <c r="AB69" i="57" a="1"/>
  <c r="AB69" i="57" s="1"/>
  <c r="P83" i="57"/>
  <c r="AB95" i="57" a="1"/>
  <c r="AB95" i="57" s="1"/>
  <c r="X107" i="57" a="1"/>
  <c r="X107" i="57" s="1"/>
  <c r="H121" i="57"/>
  <c r="P137" i="57"/>
  <c r="K153" i="57"/>
  <c r="V153" i="57" s="1"/>
  <c r="X171" i="57" a="1"/>
  <c r="X171" i="57" s="1"/>
  <c r="P191" i="57"/>
  <c r="AB218" i="57" a="1"/>
  <c r="AB218" i="57" s="1"/>
  <c r="H240" i="57"/>
  <c r="AB271" i="57" a="1"/>
  <c r="AB271" i="57" s="1"/>
  <c r="AB318" i="57" a="1"/>
  <c r="AB318" i="57" s="1"/>
  <c r="H363" i="57"/>
  <c r="K412" i="57"/>
  <c r="U412" i="57" s="1" a="1"/>
  <c r="U412" i="57" s="1"/>
  <c r="X477" i="57" a="1"/>
  <c r="X477" i="57" s="1"/>
  <c r="AB171" i="57" a="1"/>
  <c r="AB171" i="57" s="1"/>
  <c r="AB173" i="57" a="1"/>
  <c r="AB173" i="57" s="1"/>
  <c r="K219" i="57"/>
  <c r="U219" i="57" s="1" a="1"/>
  <c r="U219" i="57" s="1"/>
  <c r="X240" i="57" a="1"/>
  <c r="X240" i="57" s="1"/>
  <c r="X281" i="57" a="1"/>
  <c r="X281" i="57" s="1"/>
  <c r="P321" i="57"/>
  <c r="P363" i="57"/>
  <c r="P423" i="57"/>
  <c r="I494" i="57"/>
  <c r="AA494" i="57" s="1" a="1"/>
  <c r="AA494" i="57" s="1"/>
  <c r="P124" i="57"/>
  <c r="X178" i="57" a="1"/>
  <c r="X178" i="57" s="1"/>
  <c r="AB197" i="57" a="1"/>
  <c r="AB197" i="57" s="1"/>
  <c r="P219" i="57"/>
  <c r="K243" i="57"/>
  <c r="R243" i="57" s="1"/>
  <c r="P283" i="57"/>
  <c r="X321" i="57" a="1"/>
  <c r="X321" i="57" s="1"/>
  <c r="K367" i="57"/>
  <c r="R367" i="57" s="1"/>
  <c r="P440" i="57"/>
  <c r="P494" i="57"/>
  <c r="X45" i="57" a="1"/>
  <c r="X45" i="57" s="1"/>
  <c r="I153" i="57"/>
  <c r="X52" i="57" a="1"/>
  <c r="X52" i="57" s="1"/>
  <c r="X83" i="57" a="1"/>
  <c r="X83" i="57" s="1"/>
  <c r="K108" i="57"/>
  <c r="U108" i="57" s="1" a="1"/>
  <c r="U108" i="57" s="1"/>
  <c r="X137" i="57" a="1"/>
  <c r="X137" i="57" s="1"/>
  <c r="H196" i="57"/>
  <c r="I240" i="57"/>
  <c r="K321" i="57"/>
  <c r="P412" i="57"/>
  <c r="I53" i="57"/>
  <c r="AA53" i="57" s="1" a="1"/>
  <c r="AA53" i="57" s="1"/>
  <c r="I96" i="57"/>
  <c r="AA96" i="57" s="1" a="1"/>
  <c r="AA96" i="57" s="1"/>
  <c r="K196" i="57"/>
  <c r="R196" i="57" s="1"/>
  <c r="K53" i="57"/>
  <c r="O53" i="57" s="1"/>
  <c r="H54" i="57"/>
  <c r="H62" i="57"/>
  <c r="I66" i="57"/>
  <c r="AA66" i="57" s="1" a="1"/>
  <c r="AA66" i="57" s="1"/>
  <c r="I84" i="57"/>
  <c r="H97" i="57"/>
  <c r="P112" i="57"/>
  <c r="P138" i="57"/>
  <c r="H37" i="57"/>
  <c r="P53" i="57"/>
  <c r="K54" i="57"/>
  <c r="K59" i="57"/>
  <c r="I62" i="57"/>
  <c r="AA62" i="57" s="1" a="1"/>
  <c r="AA62" i="57" s="1"/>
  <c r="X65" i="57" a="1"/>
  <c r="X65" i="57" s="1"/>
  <c r="K66" i="57"/>
  <c r="O66" i="57" s="1"/>
  <c r="H67" i="57"/>
  <c r="H85" i="57"/>
  <c r="X99" i="57" a="1"/>
  <c r="X99" i="57" s="1"/>
  <c r="X112" i="57" a="1"/>
  <c r="X112" i="57" s="1"/>
  <c r="X124" i="57" a="1"/>
  <c r="X124" i="57" s="1"/>
  <c r="K139" i="57"/>
  <c r="H157" i="57"/>
  <c r="AB178" i="57" a="1"/>
  <c r="AB178" i="57" s="1"/>
  <c r="H200" i="57"/>
  <c r="X220" i="57" a="1"/>
  <c r="X220" i="57" s="1"/>
  <c r="P250" i="57"/>
  <c r="I287" i="57"/>
  <c r="AA287" i="57" s="1" a="1"/>
  <c r="AA287" i="57" s="1"/>
  <c r="AB321" i="57" a="1"/>
  <c r="AB321" i="57" s="1"/>
  <c r="H374" i="57"/>
  <c r="X441" i="57" a="1"/>
  <c r="X441" i="57" s="1"/>
  <c r="H531" i="57"/>
  <c r="X531" i="57" a="1"/>
  <c r="X531" i="57" s="1"/>
  <c r="AB527" i="57" a="1"/>
  <c r="AB527" i="57" s="1"/>
  <c r="H523" i="57"/>
  <c r="P518" i="57"/>
  <c r="X514" i="57" a="1"/>
  <c r="X514" i="57" s="1"/>
  <c r="H510" i="57"/>
  <c r="P505" i="57"/>
  <c r="AB501" i="57" a="1"/>
  <c r="AB501" i="57" s="1"/>
  <c r="P497" i="57"/>
  <c r="AB493" i="57" a="1"/>
  <c r="AB493" i="57" s="1"/>
  <c r="P489" i="57"/>
  <c r="H486" i="57"/>
  <c r="X481" i="57" a="1"/>
  <c r="X481" i="57" s="1"/>
  <c r="I478" i="57"/>
  <c r="AA478" i="57" s="1" a="1"/>
  <c r="AA478" i="57" s="1"/>
  <c r="AB474" i="57" a="1"/>
  <c r="AB474" i="57" s="1"/>
  <c r="X470" i="57" a="1"/>
  <c r="X470" i="57" s="1"/>
  <c r="I467" i="57"/>
  <c r="AA467" i="57" s="1" a="1"/>
  <c r="AA467" i="57" s="1"/>
  <c r="H463" i="57"/>
  <c r="P459" i="57"/>
  <c r="H456" i="57"/>
  <c r="AB451" i="57" a="1"/>
  <c r="AB451" i="57" s="1"/>
  <c r="P448" i="57"/>
  <c r="K444" i="57"/>
  <c r="T444" i="57" s="1"/>
  <c r="AB440" i="57" a="1"/>
  <c r="AB440" i="57" s="1"/>
  <c r="X436" i="57" a="1"/>
  <c r="X436" i="57" s="1"/>
  <c r="I433" i="57"/>
  <c r="AB429" i="57" a="1"/>
  <c r="AB429" i="57" s="1"/>
  <c r="P425" i="57"/>
  <c r="H422" i="57"/>
  <c r="AB417" i="57" a="1"/>
  <c r="AB417" i="57" s="1"/>
  <c r="K414" i="57"/>
  <c r="R414" i="57" s="1"/>
  <c r="I410" i="57"/>
  <c r="AA410" i="57" s="1" a="1"/>
  <c r="AA410" i="57" s="1"/>
  <c r="X406" i="57" a="1"/>
  <c r="X406" i="57" s="1"/>
  <c r="I403" i="57"/>
  <c r="AA403" i="57" s="1" a="1"/>
  <c r="AA403" i="57" s="1"/>
  <c r="H399" i="57"/>
  <c r="P395" i="57"/>
  <c r="K391" i="57"/>
  <c r="V391" i="57" s="1"/>
  <c r="AB387" i="57" a="1"/>
  <c r="AB387" i="57" s="1"/>
  <c r="K384" i="57"/>
  <c r="I380" i="57"/>
  <c r="AA380" i="57" s="1" a="1"/>
  <c r="AA380" i="57" s="1"/>
  <c r="AB376" i="57" a="1"/>
  <c r="AB376" i="57" s="1"/>
  <c r="AB372" i="57" a="1"/>
  <c r="AB372" i="57" s="1"/>
  <c r="P369" i="57"/>
  <c r="I366" i="57"/>
  <c r="AA366" i="57" s="1" a="1"/>
  <c r="AA366" i="57" s="1"/>
  <c r="I362" i="57"/>
  <c r="AA362" i="57" s="1" a="1"/>
  <c r="AA362" i="57" s="1"/>
  <c r="H359" i="57"/>
  <c r="X355" i="57" a="1"/>
  <c r="X355" i="57" s="1"/>
  <c r="X351" i="57" a="1"/>
  <c r="X351" i="57" s="1"/>
  <c r="K348" i="57"/>
  <c r="U348" i="57" s="1" a="1"/>
  <c r="U348" i="57" s="1"/>
  <c r="H345" i="57"/>
  <c r="I341" i="57"/>
  <c r="AA341" i="57" s="1" a="1"/>
  <c r="AA341" i="57" s="1"/>
  <c r="AB337" i="57" a="1"/>
  <c r="AB337" i="57" s="1"/>
  <c r="P334" i="57"/>
  <c r="P330" i="57"/>
  <c r="I327" i="57"/>
  <c r="AA327" i="57" s="1" a="1"/>
  <c r="AA327" i="57" s="1"/>
  <c r="H324" i="57"/>
  <c r="AB320" i="57" a="1"/>
  <c r="AB320" i="57" s="1"/>
  <c r="I317" i="57"/>
  <c r="AA317" i="57" s="1" a="1"/>
  <c r="AA317" i="57" s="1"/>
  <c r="H314" i="57"/>
  <c r="AB310" i="57" a="1"/>
  <c r="AB310" i="57" s="1"/>
  <c r="I308" i="57"/>
  <c r="AA308" i="57" s="1" a="1"/>
  <c r="AA308" i="57" s="1"/>
  <c r="P305" i="57"/>
  <c r="AB302" i="57" a="1"/>
  <c r="AB302" i="57" s="1"/>
  <c r="I300" i="57"/>
  <c r="AA300" i="57" s="1" a="1"/>
  <c r="AA300" i="57" s="1"/>
  <c r="P297" i="57"/>
  <c r="AB294" i="57" a="1"/>
  <c r="AB294" i="57" s="1"/>
  <c r="I292" i="57"/>
  <c r="P289" i="57"/>
  <c r="AB286" i="57" a="1"/>
  <c r="AB286" i="57" s="1"/>
  <c r="I284" i="57"/>
  <c r="AA284" i="57" s="1" a="1"/>
  <c r="AA284" i="57" s="1"/>
  <c r="P281" i="57"/>
  <c r="AB278" i="57" a="1"/>
  <c r="AB278" i="57" s="1"/>
  <c r="I276" i="57"/>
  <c r="AA276" i="57" s="1" a="1"/>
  <c r="AA276" i="57" s="1"/>
  <c r="P273" i="57"/>
  <c r="AB270" i="57" a="1"/>
  <c r="AB270" i="57" s="1"/>
  <c r="I268" i="57"/>
  <c r="AA268" i="57" s="1" a="1"/>
  <c r="AA268" i="57" s="1"/>
  <c r="I263" i="57"/>
  <c r="AA263" i="57" s="1" a="1"/>
  <c r="AA263" i="57" s="1"/>
  <c r="P260" i="57"/>
  <c r="AB257" i="57" a="1"/>
  <c r="AB257" i="57" s="1"/>
  <c r="I255" i="57"/>
  <c r="P252" i="57"/>
  <c r="AB249" i="57" a="1"/>
  <c r="AB249" i="57" s="1"/>
  <c r="I247" i="57"/>
  <c r="X244" i="57" a="1"/>
  <c r="X244" i="57" s="1"/>
  <c r="P531" i="57"/>
  <c r="H527" i="57"/>
  <c r="AB522" i="57" a="1"/>
  <c r="AB522" i="57" s="1"/>
  <c r="K518" i="57"/>
  <c r="O518" i="57" s="1"/>
  <c r="X513" i="57" a="1"/>
  <c r="X513" i="57" s="1"/>
  <c r="AB509" i="57" a="1"/>
  <c r="AB509" i="57" s="1"/>
  <c r="K505" i="57"/>
  <c r="T505" i="57" s="1"/>
  <c r="X501" i="57" a="1"/>
  <c r="X501" i="57" s="1"/>
  <c r="K497" i="57"/>
  <c r="X493" i="57" a="1"/>
  <c r="X493" i="57" s="1"/>
  <c r="K489" i="57"/>
  <c r="R489" i="57" s="1"/>
  <c r="X485" i="57" a="1"/>
  <c r="X485" i="57" s="1"/>
  <c r="P481" i="57"/>
  <c r="H478" i="57"/>
  <c r="X474" i="57" a="1"/>
  <c r="X474" i="57" s="1"/>
  <c r="P470" i="57"/>
  <c r="H467" i="57"/>
  <c r="AB462" i="57" a="1"/>
  <c r="AB462" i="57" s="1"/>
  <c r="K459" i="57"/>
  <c r="T459" i="57" s="1"/>
  <c r="I455" i="57"/>
  <c r="X451" i="57" a="1"/>
  <c r="X451" i="57" s="1"/>
  <c r="K448" i="57"/>
  <c r="V448" i="57" s="1"/>
  <c r="I444" i="57"/>
  <c r="AA444" i="57" s="1" a="1"/>
  <c r="AA444" i="57" s="1"/>
  <c r="X440" i="57" a="1"/>
  <c r="X440" i="57" s="1"/>
  <c r="P436" i="57"/>
  <c r="H433" i="57"/>
  <c r="AB428" i="57" a="1"/>
  <c r="AB428" i="57" s="1"/>
  <c r="K425" i="57"/>
  <c r="T425" i="57" s="1"/>
  <c r="AB421" i="57" a="1"/>
  <c r="AB421" i="57" s="1"/>
  <c r="X417" i="57" a="1"/>
  <c r="X417" i="57" s="1"/>
  <c r="I414" i="57"/>
  <c r="H410" i="57"/>
  <c r="P406" i="57"/>
  <c r="H403" i="57"/>
  <c r="AB398" i="57" a="1"/>
  <c r="AB398" i="57" s="1"/>
  <c r="K395" i="57"/>
  <c r="T395" i="57" s="1"/>
  <c r="I391" i="57"/>
  <c r="AA391" i="57" s="1" a="1"/>
  <c r="AA391" i="57" s="1"/>
  <c r="X387" i="57" a="1"/>
  <c r="X387" i="57" s="1"/>
  <c r="P383" i="57"/>
  <c r="H380" i="57"/>
  <c r="J380" i="57" s="1"/>
  <c r="X376" i="57" a="1"/>
  <c r="X376" i="57" s="1"/>
  <c r="X372" i="57" a="1"/>
  <c r="X372" i="57" s="1"/>
  <c r="K369" i="57"/>
  <c r="U369" i="57" s="1" a="1"/>
  <c r="U369" i="57" s="1"/>
  <c r="H366" i="57"/>
  <c r="J366" i="57" s="1"/>
  <c r="H362" i="57"/>
  <c r="AB358" i="57" a="1"/>
  <c r="AB358" i="57" s="1"/>
  <c r="P355" i="57"/>
  <c r="P351" i="57"/>
  <c r="I348" i="57"/>
  <c r="AB344" i="57" a="1"/>
  <c r="AB344" i="57" s="1"/>
  <c r="H341" i="57"/>
  <c r="X337" i="57" a="1"/>
  <c r="X337" i="57" s="1"/>
  <c r="K334" i="57"/>
  <c r="O334" i="57" s="1"/>
  <c r="K330" i="57"/>
  <c r="S330" i="57" s="1"/>
  <c r="H327" i="57"/>
  <c r="AB323" i="57" a="1"/>
  <c r="AB323" i="57" s="1"/>
  <c r="K320" i="57"/>
  <c r="H317" i="57"/>
  <c r="AB313" i="57" a="1"/>
  <c r="AB313" i="57" s="1"/>
  <c r="X310" i="57" a="1"/>
  <c r="X310" i="57" s="1"/>
  <c r="H308" i="57"/>
  <c r="K305" i="57"/>
  <c r="X302" i="57" a="1"/>
  <c r="X302" i="57" s="1"/>
  <c r="H300" i="57"/>
  <c r="K297" i="57"/>
  <c r="X294" i="57" a="1"/>
  <c r="X294" i="57" s="1"/>
  <c r="H292" i="57"/>
  <c r="K289" i="57"/>
  <c r="O289" i="57" s="1"/>
  <c r="X286" i="57" a="1"/>
  <c r="X286" i="57" s="1"/>
  <c r="H284" i="57"/>
  <c r="K281" i="57"/>
  <c r="S281" i="57" s="1"/>
  <c r="X278" i="57" a="1"/>
  <c r="X278" i="57" s="1"/>
  <c r="H276" i="57"/>
  <c r="K273" i="57"/>
  <c r="X270" i="57" a="1"/>
  <c r="X270" i="57" s="1"/>
  <c r="H268" i="57"/>
  <c r="X265" i="57" a="1"/>
  <c r="X265" i="57" s="1"/>
  <c r="H263" i="57"/>
  <c r="K260" i="57"/>
  <c r="V260" i="57" s="1"/>
  <c r="X257" i="57" a="1"/>
  <c r="X257" i="57" s="1"/>
  <c r="H255" i="57"/>
  <c r="K252" i="57"/>
  <c r="X249" i="57" a="1"/>
  <c r="X249" i="57" s="1"/>
  <c r="H247" i="57"/>
  <c r="P244" i="57"/>
  <c r="P530" i="57"/>
  <c r="H526" i="57"/>
  <c r="P521" i="57"/>
  <c r="P517" i="57"/>
  <c r="H513" i="57"/>
  <c r="I509" i="57"/>
  <c r="X504" i="57" a="1"/>
  <c r="X504" i="57" s="1"/>
  <c r="I500" i="57"/>
  <c r="AA500" i="57" s="1" a="1"/>
  <c r="AA500" i="57" s="1"/>
  <c r="K496" i="57"/>
  <c r="H492" i="57"/>
  <c r="P488" i="57"/>
  <c r="K484" i="57"/>
  <c r="AB480" i="57" a="1"/>
  <c r="AB480" i="57" s="1"/>
  <c r="P477" i="57"/>
  <c r="K473" i="57"/>
  <c r="AB469" i="57" a="1"/>
  <c r="AB469" i="57" s="1"/>
  <c r="X465" i="57" a="1"/>
  <c r="X465" i="57" s="1"/>
  <c r="I462" i="57"/>
  <c r="X458" i="57" a="1"/>
  <c r="X458" i="57" s="1"/>
  <c r="P454" i="57"/>
  <c r="H451" i="57"/>
  <c r="H447" i="57"/>
  <c r="K443" i="57"/>
  <c r="U443" i="57" s="1" a="1"/>
  <c r="U443" i="57" s="1"/>
  <c r="I439" i="57"/>
  <c r="X435" i="57" a="1"/>
  <c r="X435" i="57" s="1"/>
  <c r="I432" i="57"/>
  <c r="I428" i="57"/>
  <c r="X424" i="57" a="1"/>
  <c r="X424" i="57" s="1"/>
  <c r="P420" i="57"/>
  <c r="H417" i="57"/>
  <c r="AB412" i="57" a="1"/>
  <c r="AB412" i="57" s="1"/>
  <c r="K409" i="57"/>
  <c r="T409" i="57" s="1"/>
  <c r="AB405" i="57" a="1"/>
  <c r="AB405" i="57" s="1"/>
  <c r="X401" i="57" a="1"/>
  <c r="X401" i="57" s="1"/>
  <c r="I398" i="57"/>
  <c r="AA398" i="57" s="1" a="1"/>
  <c r="AA398" i="57" s="1"/>
  <c r="H394" i="57"/>
  <c r="P390" i="57"/>
  <c r="I386" i="57"/>
  <c r="AA386" i="57" s="1" a="1"/>
  <c r="AA386" i="57" s="1"/>
  <c r="X382" i="57" a="1"/>
  <c r="X382" i="57" s="1"/>
  <c r="K379" i="57"/>
  <c r="O379" i="57" s="1"/>
  <c r="K375" i="57"/>
  <c r="H372" i="57"/>
  <c r="X368" i="57" a="1"/>
  <c r="X368" i="57" s="1"/>
  <c r="X364" i="57" a="1"/>
  <c r="X364" i="57" s="1"/>
  <c r="K361" i="57"/>
  <c r="S361" i="57" s="1"/>
  <c r="I358" i="57"/>
  <c r="I354" i="57"/>
  <c r="AA354" i="57" s="1" a="1"/>
  <c r="AA354" i="57" s="1"/>
  <c r="AB350" i="57" a="1"/>
  <c r="AB350" i="57" s="1"/>
  <c r="P347" i="57"/>
  <c r="X343" i="57" a="1"/>
  <c r="X343" i="57" s="1"/>
  <c r="K340" i="57"/>
  <c r="S340" i="57" s="1"/>
  <c r="H337" i="57"/>
  <c r="H333" i="57"/>
  <c r="X329" i="57" a="1"/>
  <c r="X329" i="57" s="1"/>
  <c r="P326" i="57"/>
  <c r="X322" i="57" a="1"/>
  <c r="X322" i="57" s="1"/>
  <c r="P319" i="57"/>
  <c r="K316" i="57"/>
  <c r="V316" i="57" s="1"/>
  <c r="I313" i="57"/>
  <c r="AA313" i="57" s="1" a="1"/>
  <c r="AA313" i="57" s="1"/>
  <c r="H310" i="57"/>
  <c r="K307" i="57"/>
  <c r="V307" i="57" s="1"/>
  <c r="X304" i="57" a="1"/>
  <c r="X304" i="57" s="1"/>
  <c r="H302" i="57"/>
  <c r="K299" i="57"/>
  <c r="V299" i="57" s="1"/>
  <c r="X296" i="57" a="1"/>
  <c r="X296" i="57" s="1"/>
  <c r="H294" i="57"/>
  <c r="K291" i="57"/>
  <c r="X288" i="57" a="1"/>
  <c r="X288" i="57" s="1"/>
  <c r="H286" i="57"/>
  <c r="K283" i="57"/>
  <c r="R283" i="57" s="1"/>
  <c r="X280" i="57" a="1"/>
  <c r="X280" i="57" s="1"/>
  <c r="H278" i="57"/>
  <c r="K275" i="57"/>
  <c r="X272" i="57" a="1"/>
  <c r="X272" i="57" s="1"/>
  <c r="H270" i="57"/>
  <c r="P267" i="57"/>
  <c r="H265" i="57"/>
  <c r="K262" i="57"/>
  <c r="X259" i="57" a="1"/>
  <c r="X259" i="57" s="1"/>
  <c r="H257" i="57"/>
  <c r="K254" i="57"/>
  <c r="X251" i="57" a="1"/>
  <c r="X251" i="57" s="1"/>
  <c r="H249" i="57"/>
  <c r="P246" i="57"/>
  <c r="AB243" i="57" a="1"/>
  <c r="AB243" i="57" s="1"/>
  <c r="X529" i="57" a="1"/>
  <c r="X529" i="57" s="1"/>
  <c r="AB525" i="57" a="1"/>
  <c r="AB525" i="57" s="1"/>
  <c r="K521" i="57"/>
  <c r="O521" i="57" s="1"/>
  <c r="K517" i="57"/>
  <c r="O517" i="57" s="1"/>
  <c r="AB512" i="57" a="1"/>
  <c r="AB512" i="57" s="1"/>
  <c r="K508" i="57"/>
  <c r="K504" i="57"/>
  <c r="V504" i="57" s="1"/>
  <c r="H500" i="57"/>
  <c r="I496" i="57"/>
  <c r="AA496" i="57" s="1" a="1"/>
  <c r="AA496" i="57" s="1"/>
  <c r="AB491" i="57" a="1"/>
  <c r="AB491" i="57" s="1"/>
  <c r="K488" i="57"/>
  <c r="S488" i="57" s="1"/>
  <c r="I484" i="57"/>
  <c r="AA484" i="57" s="1" a="1"/>
  <c r="AA484" i="57" s="1"/>
  <c r="X480" i="57" a="1"/>
  <c r="X480" i="57" s="1"/>
  <c r="K477" i="57"/>
  <c r="V477" i="57" s="1"/>
  <c r="I473" i="57"/>
  <c r="X469" i="57" a="1"/>
  <c r="X469" i="57" s="1"/>
  <c r="P465" i="57"/>
  <c r="H462" i="57"/>
  <c r="AB457" i="57" a="1"/>
  <c r="AB457" i="57" s="1"/>
  <c r="K454" i="57"/>
  <c r="AB450" i="57" a="1"/>
  <c r="AB450" i="57" s="1"/>
  <c r="X446" i="57" a="1"/>
  <c r="X446" i="57" s="1"/>
  <c r="I443" i="57"/>
  <c r="AA443" i="57" s="1" a="1"/>
  <c r="AA443" i="57" s="1"/>
  <c r="H439" i="57"/>
  <c r="P435" i="57"/>
  <c r="K431" i="57"/>
  <c r="O431" i="57" s="1"/>
  <c r="H428" i="57"/>
  <c r="P424" i="57"/>
  <c r="K420" i="57"/>
  <c r="R420" i="57" s="1"/>
  <c r="AB416" i="57" a="1"/>
  <c r="AB416" i="57" s="1"/>
  <c r="X412" i="57" a="1"/>
  <c r="X412" i="57" s="1"/>
  <c r="I409" i="57"/>
  <c r="AA409" i="57" s="1" a="1"/>
  <c r="AA409" i="57" s="1"/>
  <c r="X405" i="57" a="1"/>
  <c r="X405" i="57" s="1"/>
  <c r="P401" i="57"/>
  <c r="H398" i="57"/>
  <c r="AB393" i="57" a="1"/>
  <c r="AB393" i="57" s="1"/>
  <c r="I390" i="57"/>
  <c r="H386" i="57"/>
  <c r="J386" i="57" s="1"/>
  <c r="P382" i="57"/>
  <c r="I379" i="57"/>
  <c r="I375" i="57"/>
  <c r="AB371" i="57" a="1"/>
  <c r="AB371" i="57" s="1"/>
  <c r="P368" i="57"/>
  <c r="P364" i="57"/>
  <c r="I361" i="57"/>
  <c r="AA361" i="57" s="1" a="1"/>
  <c r="AA361" i="57" s="1"/>
  <c r="H358" i="57"/>
  <c r="H354" i="57"/>
  <c r="J354" i="57" s="1"/>
  <c r="X350" i="57" a="1"/>
  <c r="X350" i="57" s="1"/>
  <c r="K347" i="57"/>
  <c r="S347" i="57" s="1"/>
  <c r="P343" i="57"/>
  <c r="I340" i="57"/>
  <c r="AA340" i="57" s="1" a="1"/>
  <c r="AA340" i="57" s="1"/>
  <c r="AB336" i="57" a="1"/>
  <c r="AB336" i="57" s="1"/>
  <c r="AB332" i="57" a="1"/>
  <c r="AB332" i="57" s="1"/>
  <c r="P329" i="57"/>
  <c r="K326" i="57"/>
  <c r="L326" i="57" s="1"/>
  <c r="P322" i="57"/>
  <c r="K319" i="57"/>
  <c r="I316" i="57"/>
  <c r="AA316" i="57" s="1" a="1"/>
  <c r="AA316" i="57" s="1"/>
  <c r="H313" i="57"/>
  <c r="AB309" i="57" a="1"/>
  <c r="AB309" i="57" s="1"/>
  <c r="I307" i="57"/>
  <c r="P304" i="57"/>
  <c r="AB301" i="57" a="1"/>
  <c r="AB301" i="57" s="1"/>
  <c r="I299" i="57"/>
  <c r="AA299" i="57" s="1" a="1"/>
  <c r="AA299" i="57" s="1"/>
  <c r="P296" i="57"/>
  <c r="AB293" i="57" a="1"/>
  <c r="AB293" i="57" s="1"/>
  <c r="I291" i="57"/>
  <c r="P288" i="57"/>
  <c r="AB285" i="57" a="1"/>
  <c r="AB285" i="57" s="1"/>
  <c r="I283" i="57"/>
  <c r="P280" i="57"/>
  <c r="AB277" i="57" a="1"/>
  <c r="AB277" i="57" s="1"/>
  <c r="I275" i="57"/>
  <c r="AA275" i="57" s="1" a="1"/>
  <c r="AA275" i="57" s="1"/>
  <c r="P272" i="57"/>
  <c r="AB269" i="57" a="1"/>
  <c r="AB269" i="57" s="1"/>
  <c r="K267" i="57"/>
  <c r="R267" i="57" s="1"/>
  <c r="AB264" i="57" a="1"/>
  <c r="AB264" i="57" s="1"/>
  <c r="I262" i="57"/>
  <c r="AA262" i="57" s="1" a="1"/>
  <c r="AA262" i="57" s="1"/>
  <c r="P259" i="57"/>
  <c r="AB256" i="57" a="1"/>
  <c r="AB256" i="57" s="1"/>
  <c r="I254" i="57"/>
  <c r="AA254" i="57" s="1" a="1"/>
  <c r="AA254" i="57" s="1"/>
  <c r="P251" i="57"/>
  <c r="AB248" i="57" a="1"/>
  <c r="AB248" i="57" s="1"/>
  <c r="K246" i="57"/>
  <c r="X243" i="57" a="1"/>
  <c r="X243" i="57" s="1"/>
  <c r="K531" i="57"/>
  <c r="R531" i="57" s="1"/>
  <c r="P525" i="57"/>
  <c r="I520" i="57"/>
  <c r="AA520" i="57" s="1" a="1"/>
  <c r="AA520" i="57" s="1"/>
  <c r="P513" i="57"/>
  <c r="X507" i="57" a="1"/>
  <c r="X507" i="57" s="1"/>
  <c r="P502" i="57"/>
  <c r="I497" i="57"/>
  <c r="P491" i="57"/>
  <c r="X486" i="57" a="1"/>
  <c r="X486" i="57" s="1"/>
  <c r="K481" i="57"/>
  <c r="U481" i="57" s="1" a="1"/>
  <c r="U481" i="57" s="1"/>
  <c r="K476" i="57"/>
  <c r="T476" i="57" s="1"/>
  <c r="I472" i="57"/>
  <c r="AA472" i="57" s="1" a="1"/>
  <c r="AA472" i="57" s="1"/>
  <c r="AB466" i="57" a="1"/>
  <c r="AB466" i="57" s="1"/>
  <c r="X461" i="57" a="1"/>
  <c r="X461" i="57" s="1"/>
  <c r="X456" i="57" a="1"/>
  <c r="X456" i="57" s="1"/>
  <c r="P451" i="57"/>
  <c r="K446" i="57"/>
  <c r="V446" i="57" s="1"/>
  <c r="P441" i="57"/>
  <c r="K436" i="57"/>
  <c r="T436" i="57" s="1"/>
  <c r="H431" i="57"/>
  <c r="H427" i="57"/>
  <c r="X421" i="57" a="1"/>
  <c r="X421" i="57" s="1"/>
  <c r="P416" i="57"/>
  <c r="P411" i="57"/>
  <c r="K406" i="57"/>
  <c r="V406" i="57" s="1"/>
  <c r="I401" i="57"/>
  <c r="AA401" i="57" s="1" a="1"/>
  <c r="AA401" i="57" s="1"/>
  <c r="I396" i="57"/>
  <c r="H391" i="57"/>
  <c r="X385" i="57" a="1"/>
  <c r="X385" i="57" s="1"/>
  <c r="AB380" i="57" a="1"/>
  <c r="AB380" i="57" s="1"/>
  <c r="P376" i="57"/>
  <c r="P371" i="57"/>
  <c r="AB366" i="57" a="1"/>
  <c r="AB366" i="57" s="1"/>
  <c r="AB361" i="57" a="1"/>
  <c r="AB361" i="57" s="1"/>
  <c r="H357" i="57"/>
  <c r="H353" i="57"/>
  <c r="H348" i="57"/>
  <c r="I343" i="57"/>
  <c r="AA343" i="57" s="1" a="1"/>
  <c r="AA343" i="57" s="1"/>
  <c r="P338" i="57"/>
  <c r="I334" i="57"/>
  <c r="I329" i="57"/>
  <c r="X324" i="57" a="1"/>
  <c r="X324" i="57" s="1"/>
  <c r="H320" i="57"/>
  <c r="AB315" i="57" a="1"/>
  <c r="AB315" i="57" s="1"/>
  <c r="P311" i="57"/>
  <c r="AB307" i="57" a="1"/>
  <c r="AB307" i="57" s="1"/>
  <c r="I304" i="57"/>
  <c r="AA304" i="57" s="1" a="1"/>
  <c r="AA304" i="57" s="1"/>
  <c r="AB300" i="57" a="1"/>
  <c r="AB300" i="57" s="1"/>
  <c r="I297" i="57"/>
  <c r="AA297" i="57" s="1" a="1"/>
  <c r="AA297" i="57" s="1"/>
  <c r="P293" i="57"/>
  <c r="I290" i="57"/>
  <c r="AA290" i="57" s="1" a="1"/>
  <c r="AA290" i="57" s="1"/>
  <c r="P286" i="57"/>
  <c r="AB282" i="57" a="1"/>
  <c r="AB282" i="57" s="1"/>
  <c r="P279" i="57"/>
  <c r="AB275" i="57" a="1"/>
  <c r="AB275" i="57" s="1"/>
  <c r="I272" i="57"/>
  <c r="AA272" i="57" s="1" a="1"/>
  <c r="AA272" i="57" s="1"/>
  <c r="AB268" i="57" a="1"/>
  <c r="AB268" i="57" s="1"/>
  <c r="P265" i="57"/>
  <c r="AB261" i="57" a="1"/>
  <c r="AB261" i="57" s="1"/>
  <c r="P258" i="57"/>
  <c r="AB254" i="57" a="1"/>
  <c r="AB254" i="57" s="1"/>
  <c r="I251" i="57"/>
  <c r="AB247" i="57" a="1"/>
  <c r="AB247" i="57" s="1"/>
  <c r="K244" i="57"/>
  <c r="K241" i="57"/>
  <c r="S241" i="57" s="1"/>
  <c r="X238" i="57" a="1"/>
  <c r="X238" i="57" s="1"/>
  <c r="H236" i="57"/>
  <c r="K233" i="57"/>
  <c r="X230" i="57" a="1"/>
  <c r="X230" i="57" s="1"/>
  <c r="H228" i="57"/>
  <c r="K225" i="57"/>
  <c r="U225" i="57" s="1" a="1"/>
  <c r="U225" i="57" s="1"/>
  <c r="X222" i="57" a="1"/>
  <c r="X222" i="57" s="1"/>
  <c r="H220" i="57"/>
  <c r="K217" i="57"/>
  <c r="X214" i="57" a="1"/>
  <c r="X214" i="57" s="1"/>
  <c r="I212" i="57"/>
  <c r="AA212" i="57" s="1" a="1"/>
  <c r="AA212" i="57" s="1"/>
  <c r="P209" i="57"/>
  <c r="AB206" i="57" a="1"/>
  <c r="AB206" i="57" s="1"/>
  <c r="I204" i="57"/>
  <c r="P201" i="57"/>
  <c r="AB198" i="57" a="1"/>
  <c r="AB198" i="57" s="1"/>
  <c r="I196" i="57"/>
  <c r="P193" i="57"/>
  <c r="AB190" i="57" a="1"/>
  <c r="AB190" i="57" s="1"/>
  <c r="I188" i="57"/>
  <c r="I531" i="57"/>
  <c r="AA531" i="57" s="1" a="1"/>
  <c r="AA531" i="57" s="1"/>
  <c r="K525" i="57"/>
  <c r="U525" i="57" s="1" a="1"/>
  <c r="U525" i="57" s="1"/>
  <c r="H520" i="57"/>
  <c r="K513" i="57"/>
  <c r="P507" i="57"/>
  <c r="K502" i="57"/>
  <c r="O502" i="57" s="1"/>
  <c r="H497" i="57"/>
  <c r="K491" i="57"/>
  <c r="O491" i="57" s="1"/>
  <c r="P486" i="57"/>
  <c r="I481" i="57"/>
  <c r="I476" i="57"/>
  <c r="I471" i="57"/>
  <c r="AA471" i="57" s="1" a="1"/>
  <c r="AA471" i="57" s="1"/>
  <c r="X466" i="57" a="1"/>
  <c r="X466" i="57" s="1"/>
  <c r="P461" i="57"/>
  <c r="P456" i="57"/>
  <c r="K451" i="57"/>
  <c r="I446" i="57"/>
  <c r="K441" i="57"/>
  <c r="V441" i="57" s="1"/>
  <c r="H436" i="57"/>
  <c r="AB430" i="57" a="1"/>
  <c r="AB430" i="57" s="1"/>
  <c r="I426" i="57"/>
  <c r="J426" i="57" s="1"/>
  <c r="AB420" i="57" a="1"/>
  <c r="AB420" i="57" s="1"/>
  <c r="K416" i="57"/>
  <c r="U416" i="57" s="1" a="1"/>
  <c r="U416" i="57" s="1"/>
  <c r="K411" i="57"/>
  <c r="T411" i="57" s="1"/>
  <c r="I406" i="57"/>
  <c r="AB400" i="57" a="1"/>
  <c r="AB400" i="57" s="1"/>
  <c r="H396" i="57"/>
  <c r="AB390" i="57" a="1"/>
  <c r="AB390" i="57" s="1"/>
  <c r="P385" i="57"/>
  <c r="X380" i="57" a="1"/>
  <c r="X380" i="57" s="1"/>
  <c r="K376" i="57"/>
  <c r="K371" i="57"/>
  <c r="V371" i="57" s="1"/>
  <c r="X366" i="57" a="1"/>
  <c r="X366" i="57" s="1"/>
  <c r="X361" i="57" a="1"/>
  <c r="X361" i="57" s="1"/>
  <c r="AB356" i="57" a="1"/>
  <c r="AB356" i="57" s="1"/>
  <c r="AB352" i="57" a="1"/>
  <c r="AB352" i="57" s="1"/>
  <c r="AB347" i="57" a="1"/>
  <c r="AB347" i="57" s="1"/>
  <c r="H343" i="57"/>
  <c r="J343" i="57" s="1"/>
  <c r="K338" i="57"/>
  <c r="V338" i="57" s="1"/>
  <c r="H334" i="57"/>
  <c r="H329" i="57"/>
  <c r="P324" i="57"/>
  <c r="AB319" i="57" a="1"/>
  <c r="AB319" i="57" s="1"/>
  <c r="X315" i="57" a="1"/>
  <c r="X315" i="57" s="1"/>
  <c r="K311" i="57"/>
  <c r="X307" i="57" a="1"/>
  <c r="X307" i="57" s="1"/>
  <c r="H304" i="57"/>
  <c r="X300" i="57" a="1"/>
  <c r="X300" i="57" s="1"/>
  <c r="H297" i="57"/>
  <c r="K293" i="57"/>
  <c r="O293" i="57" s="1"/>
  <c r="H290" i="57"/>
  <c r="K286" i="57"/>
  <c r="X282" i="57" a="1"/>
  <c r="X282" i="57" s="1"/>
  <c r="K279" i="57"/>
  <c r="O279" i="57" s="1"/>
  <c r="X275" i="57" a="1"/>
  <c r="X275" i="57" s="1"/>
  <c r="H272" i="57"/>
  <c r="X268" i="57" a="1"/>
  <c r="X268" i="57" s="1"/>
  <c r="K265" i="57"/>
  <c r="X261" i="57" a="1"/>
  <c r="X261" i="57" s="1"/>
  <c r="K258" i="57"/>
  <c r="O258" i="57" s="1"/>
  <c r="X254" i="57" a="1"/>
  <c r="X254" i="57" s="1"/>
  <c r="H251" i="57"/>
  <c r="X247" i="57" a="1"/>
  <c r="X247" i="57" s="1"/>
  <c r="I244" i="57"/>
  <c r="AA244" i="57" s="1" a="1"/>
  <c r="AA244" i="57" s="1"/>
  <c r="I241" i="57"/>
  <c r="AA241" i="57" s="1" a="1"/>
  <c r="AA241" i="57" s="1"/>
  <c r="P238" i="57"/>
  <c r="AB235" i="57" a="1"/>
  <c r="AB235" i="57" s="1"/>
  <c r="I233" i="57"/>
  <c r="AA233" i="57" s="1" a="1"/>
  <c r="AA233" i="57" s="1"/>
  <c r="P230" i="57"/>
  <c r="AB227" i="57" a="1"/>
  <c r="AB227" i="57" s="1"/>
  <c r="I225" i="57"/>
  <c r="AA225" i="57" s="1" a="1"/>
  <c r="AA225" i="57" s="1"/>
  <c r="P222" i="57"/>
  <c r="AB219" i="57" a="1"/>
  <c r="AB219" i="57" s="1"/>
  <c r="I217" i="57"/>
  <c r="AA217" i="57" s="1" a="1"/>
  <c r="AA217" i="57" s="1"/>
  <c r="P214" i="57"/>
  <c r="H212" i="57"/>
  <c r="J212" i="57" s="1"/>
  <c r="K209" i="57"/>
  <c r="X530" i="57" a="1"/>
  <c r="X530" i="57" s="1"/>
  <c r="K524" i="57"/>
  <c r="AB518" i="57" a="1"/>
  <c r="AB518" i="57" s="1"/>
  <c r="I513" i="57"/>
  <c r="AA513" i="57" s="1" a="1"/>
  <c r="AA513" i="57" s="1"/>
  <c r="K507" i="57"/>
  <c r="V507" i="57" s="1"/>
  <c r="I502" i="57"/>
  <c r="X496" i="57" a="1"/>
  <c r="X496" i="57" s="1"/>
  <c r="I491" i="57"/>
  <c r="AA491" i="57" s="1" a="1"/>
  <c r="AA491" i="57" s="1"/>
  <c r="K486" i="57"/>
  <c r="V486" i="57" s="1"/>
  <c r="H481" i="57"/>
  <c r="H476" i="57"/>
  <c r="H471" i="57"/>
  <c r="AB465" i="57" a="1"/>
  <c r="AB465" i="57" s="1"/>
  <c r="P460" i="57"/>
  <c r="K456" i="57"/>
  <c r="I451" i="57"/>
  <c r="AA451" i="57" s="1" a="1"/>
  <c r="AA451" i="57" s="1"/>
  <c r="H446" i="57"/>
  <c r="I441" i="57"/>
  <c r="AB435" i="57" a="1"/>
  <c r="AB435" i="57" s="1"/>
  <c r="H426" i="57"/>
  <c r="X420" i="57" a="1"/>
  <c r="X420" i="57" s="1"/>
  <c r="P415" i="57"/>
  <c r="I411" i="57"/>
  <c r="AA411" i="57" s="1" a="1"/>
  <c r="AA411" i="57" s="1"/>
  <c r="H406" i="57"/>
  <c r="X400" i="57" a="1"/>
  <c r="X400" i="57" s="1"/>
  <c r="AB395" i="57" a="1"/>
  <c r="AB395" i="57" s="1"/>
  <c r="X390" i="57" a="1"/>
  <c r="X390" i="57" s="1"/>
  <c r="K385" i="57"/>
  <c r="T385" i="57" s="1"/>
  <c r="P380" i="57"/>
  <c r="P375" i="57"/>
  <c r="I371" i="57"/>
  <c r="AA371" i="57" s="1" a="1"/>
  <c r="AA371" i="57" s="1"/>
  <c r="P366" i="57"/>
  <c r="P361" i="57"/>
  <c r="X356" i="57" a="1"/>
  <c r="X356" i="57" s="1"/>
  <c r="X352" i="57" a="1"/>
  <c r="X352" i="57" s="1"/>
  <c r="X347" i="57" a="1"/>
  <c r="X347" i="57" s="1"/>
  <c r="AB342" i="57" a="1"/>
  <c r="AB342" i="57" s="1"/>
  <c r="P529" i="57"/>
  <c r="I524" i="57"/>
  <c r="AA524" i="57" s="1" a="1"/>
  <c r="AA524" i="57" s="1"/>
  <c r="X518" i="57" a="1"/>
  <c r="X518" i="57" s="1"/>
  <c r="X512" i="57" a="1"/>
  <c r="X512" i="57" s="1"/>
  <c r="H507" i="57"/>
  <c r="H502" i="57"/>
  <c r="H496" i="57"/>
  <c r="H491" i="57"/>
  <c r="I486" i="57"/>
  <c r="P480" i="57"/>
  <c r="AB475" i="57" a="1"/>
  <c r="AB475" i="57" s="1"/>
  <c r="AB470" i="57" a="1"/>
  <c r="AB470" i="57" s="1"/>
  <c r="K465" i="57"/>
  <c r="K460" i="57"/>
  <c r="T460" i="57" s="1"/>
  <c r="I456" i="57"/>
  <c r="AA456" i="57" s="1" a="1"/>
  <c r="AA456" i="57" s="1"/>
  <c r="AB449" i="57" a="1"/>
  <c r="AB449" i="57" s="1"/>
  <c r="AB445" i="57" a="1"/>
  <c r="AB445" i="57" s="1"/>
  <c r="H441" i="57"/>
  <c r="K435" i="57"/>
  <c r="X430" i="57" a="1"/>
  <c r="X430" i="57" s="1"/>
  <c r="AB425" i="57" a="1"/>
  <c r="AB425" i="57" s="1"/>
  <c r="I420" i="57"/>
  <c r="AA420" i="57" s="1" a="1"/>
  <c r="AA420" i="57" s="1"/>
  <c r="K415" i="57"/>
  <c r="U415" i="57" s="1" a="1"/>
  <c r="U415" i="57" s="1"/>
  <c r="H411" i="57"/>
  <c r="AB404" i="57" a="1"/>
  <c r="AB404" i="57" s="1"/>
  <c r="P400" i="57"/>
  <c r="X395" i="57" a="1"/>
  <c r="X395" i="57" s="1"/>
  <c r="H390" i="57"/>
  <c r="I385" i="57"/>
  <c r="AA385" i="57" s="1" a="1"/>
  <c r="AA385" i="57" s="1"/>
  <c r="K380" i="57"/>
  <c r="O380" i="57" s="1"/>
  <c r="H375" i="57"/>
  <c r="H371" i="57"/>
  <c r="K366" i="57"/>
  <c r="H361" i="57"/>
  <c r="P356" i="57"/>
  <c r="P352" i="57"/>
  <c r="I347" i="57"/>
  <c r="AA347" i="57" s="1" a="1"/>
  <c r="AA347" i="57" s="1"/>
  <c r="X342" i="57" a="1"/>
  <c r="X342" i="57" s="1"/>
  <c r="H338" i="57"/>
  <c r="X332" i="57" a="1"/>
  <c r="X332" i="57" s="1"/>
  <c r="X328" i="57" a="1"/>
  <c r="X328" i="57" s="1"/>
  <c r="I324" i="57"/>
  <c r="AA324" i="57" s="1" a="1"/>
  <c r="AA324" i="57" s="1"/>
  <c r="I319" i="57"/>
  <c r="AA319" i="57" s="1" a="1"/>
  <c r="AA319" i="57" s="1"/>
  <c r="H315" i="57"/>
  <c r="H311" i="57"/>
  <c r="H307" i="57"/>
  <c r="X303" i="57" a="1"/>
  <c r="X303" i="57" s="1"/>
  <c r="K300" i="57"/>
  <c r="K296" i="57"/>
  <c r="U296" i="57" s="1" a="1"/>
  <c r="U296" i="57" s="1"/>
  <c r="H293" i="57"/>
  <c r="X289" i="57" a="1"/>
  <c r="X289" i="57" s="1"/>
  <c r="X285" i="57" a="1"/>
  <c r="X285" i="57" s="1"/>
  <c r="K282" i="57"/>
  <c r="U282" i="57" s="1" a="1"/>
  <c r="U282" i="57" s="1"/>
  <c r="H279" i="57"/>
  <c r="H275" i="57"/>
  <c r="X271" i="57" a="1"/>
  <c r="X271" i="57" s="1"/>
  <c r="K268" i="57"/>
  <c r="X264" i="57" a="1"/>
  <c r="X264" i="57" s="1"/>
  <c r="K261" i="57"/>
  <c r="H258" i="57"/>
  <c r="H254" i="57"/>
  <c r="X250" i="57" a="1"/>
  <c r="X250" i="57" s="1"/>
  <c r="K247" i="57"/>
  <c r="O247" i="57" s="1"/>
  <c r="P243" i="57"/>
  <c r="AB240" i="57" a="1"/>
  <c r="AB240" i="57" s="1"/>
  <c r="I238" i="57"/>
  <c r="AA238" i="57" s="1" a="1"/>
  <c r="AA238" i="57" s="1"/>
  <c r="P235" i="57"/>
  <c r="AB232" i="57" a="1"/>
  <c r="AB232" i="57" s="1"/>
  <c r="I230" i="57"/>
  <c r="AA230" i="57" s="1" a="1"/>
  <c r="AA230" i="57" s="1"/>
  <c r="P227" i="57"/>
  <c r="H529" i="57"/>
  <c r="X523" i="57" a="1"/>
  <c r="X523" i="57" s="1"/>
  <c r="X517" i="57" a="1"/>
  <c r="X517" i="57" s="1"/>
  <c r="AB511" i="57" a="1"/>
  <c r="AB511" i="57" s="1"/>
  <c r="P506" i="57"/>
  <c r="I501" i="57"/>
  <c r="AA501" i="57" s="1" a="1"/>
  <c r="AA501" i="57" s="1"/>
  <c r="AB494" i="57" a="1"/>
  <c r="AB494" i="57" s="1"/>
  <c r="P490" i="57"/>
  <c r="I485" i="57"/>
  <c r="AA485" i="57" s="1" a="1"/>
  <c r="AA485" i="57" s="1"/>
  <c r="H480" i="57"/>
  <c r="I475" i="57"/>
  <c r="AA475" i="57" s="1" a="1"/>
  <c r="AA475" i="57" s="1"/>
  <c r="H470" i="57"/>
  <c r="AB464" i="57" a="1"/>
  <c r="AB464" i="57" s="1"/>
  <c r="AB459" i="57" a="1"/>
  <c r="AB459" i="57" s="1"/>
  <c r="X454" i="57" a="1"/>
  <c r="X454" i="57" s="1"/>
  <c r="K449" i="57"/>
  <c r="V449" i="57" s="1"/>
  <c r="X444" i="57" a="1"/>
  <c r="X444" i="57" s="1"/>
  <c r="K439" i="57"/>
  <c r="T439" i="57" s="1"/>
  <c r="AB434" i="57" a="1"/>
  <c r="AB434" i="57" s="1"/>
  <c r="I430" i="57"/>
  <c r="AB424" i="57" a="1"/>
  <c r="AB424" i="57" s="1"/>
  <c r="X419" i="57" a="1"/>
  <c r="X419" i="57" s="1"/>
  <c r="X414" i="57" a="1"/>
  <c r="X414" i="57" s="1"/>
  <c r="P409" i="57"/>
  <c r="I404" i="57"/>
  <c r="AA404" i="57" s="1" a="1"/>
  <c r="AA404" i="57" s="1"/>
  <c r="K399" i="57"/>
  <c r="I394" i="57"/>
  <c r="AB388" i="57" a="1"/>
  <c r="AB388" i="57" s="1"/>
  <c r="X384" i="57" a="1"/>
  <c r="X384" i="57" s="1"/>
  <c r="P379" i="57"/>
  <c r="P374" i="57"/>
  <c r="AB369" i="57" a="1"/>
  <c r="AB369" i="57" s="1"/>
  <c r="AB364" i="57" a="1"/>
  <c r="AB364" i="57" s="1"/>
  <c r="X360" i="57" a="1"/>
  <c r="X360" i="57" s="1"/>
  <c r="H356" i="57"/>
  <c r="H351" i="57"/>
  <c r="H346" i="57"/>
  <c r="I342" i="57"/>
  <c r="AA342" i="57" s="1" a="1"/>
  <c r="AA342" i="57" s="1"/>
  <c r="I337" i="57"/>
  <c r="I332" i="57"/>
  <c r="J332" i="57" s="1"/>
  <c r="P327" i="57"/>
  <c r="H323" i="57"/>
  <c r="X318" i="57" a="1"/>
  <c r="X318" i="57" s="1"/>
  <c r="K314" i="57"/>
  <c r="I310" i="57"/>
  <c r="AA310" i="57" s="1" a="1"/>
  <c r="AA310" i="57" s="1"/>
  <c r="P306" i="57"/>
  <c r="I303" i="57"/>
  <c r="AA303" i="57" s="1" a="1"/>
  <c r="AA303" i="57" s="1"/>
  <c r="P299" i="57"/>
  <c r="AB295" i="57" a="1"/>
  <c r="AB295" i="57" s="1"/>
  <c r="P292" i="57"/>
  <c r="AB288" i="57" a="1"/>
  <c r="AB288" i="57" s="1"/>
  <c r="I285" i="57"/>
  <c r="AB281" i="57" a="1"/>
  <c r="AB281" i="57" s="1"/>
  <c r="I278" i="57"/>
  <c r="AA278" i="57" s="1" a="1"/>
  <c r="AA278" i="57" s="1"/>
  <c r="P274" i="57"/>
  <c r="I271" i="57"/>
  <c r="AA271" i="57" s="1" a="1"/>
  <c r="AA271" i="57" s="1"/>
  <c r="X267" i="57" a="1"/>
  <c r="X267" i="57" s="1"/>
  <c r="I264" i="57"/>
  <c r="AB260" i="57" a="1"/>
  <c r="AB260" i="57" s="1"/>
  <c r="I257" i="57"/>
  <c r="P253" i="57"/>
  <c r="I250" i="57"/>
  <c r="AA250" i="57" s="1" a="1"/>
  <c r="AA250" i="57" s="1"/>
  <c r="X246" i="57" a="1"/>
  <c r="X246" i="57" s="1"/>
  <c r="H243" i="57"/>
  <c r="K240" i="57"/>
  <c r="K529" i="57"/>
  <c r="X521" i="57" a="1"/>
  <c r="X521" i="57" s="1"/>
  <c r="AB514" i="57" a="1"/>
  <c r="AB514" i="57" s="1"/>
  <c r="H505" i="57"/>
  <c r="P498" i="57"/>
  <c r="H489" i="57"/>
  <c r="H483" i="57"/>
  <c r="H475" i="57"/>
  <c r="AB467" i="57" a="1"/>
  <c r="AB467" i="57" s="1"/>
  <c r="H460" i="57"/>
  <c r="K453" i="57"/>
  <c r="V453" i="57" s="1"/>
  <c r="X445" i="57" a="1"/>
  <c r="X445" i="57" s="1"/>
  <c r="K438" i="57"/>
  <c r="O438" i="57" s="1"/>
  <c r="I431" i="57"/>
  <c r="K423" i="57"/>
  <c r="T423" i="57" s="1"/>
  <c r="I417" i="57"/>
  <c r="AB408" i="57" a="1"/>
  <c r="AB408" i="57" s="1"/>
  <c r="H402" i="57"/>
  <c r="P393" i="57"/>
  <c r="P387" i="57"/>
  <c r="X379" i="57" a="1"/>
  <c r="X379" i="57" s="1"/>
  <c r="X373" i="57" a="1"/>
  <c r="X373" i="57" s="1"/>
  <c r="AB365" i="57" a="1"/>
  <c r="AB365" i="57" s="1"/>
  <c r="K359" i="57"/>
  <c r="S359" i="57" s="1"/>
  <c r="I353" i="57"/>
  <c r="P345" i="57"/>
  <c r="P339" i="57"/>
  <c r="K332" i="57"/>
  <c r="X326" i="57" a="1"/>
  <c r="X326" i="57" s="1"/>
  <c r="I321" i="57"/>
  <c r="AA321" i="57" s="1" a="1"/>
  <c r="AA321" i="57" s="1"/>
  <c r="P314" i="57"/>
  <c r="I309" i="57"/>
  <c r="AB304" i="57" a="1"/>
  <c r="AB304" i="57" s="1"/>
  <c r="X299" i="57" a="1"/>
  <c r="X299" i="57" s="1"/>
  <c r="I295" i="57"/>
  <c r="P290" i="57"/>
  <c r="K285" i="57"/>
  <c r="AB280" i="57" a="1"/>
  <c r="AB280" i="57" s="1"/>
  <c r="P276" i="57"/>
  <c r="K271" i="57"/>
  <c r="T271" i="57" s="1"/>
  <c r="X266" i="57" a="1"/>
  <c r="X266" i="57" s="1"/>
  <c r="P262" i="57"/>
  <c r="K257" i="57"/>
  <c r="AB252" i="57" a="1"/>
  <c r="AB252" i="57" s="1"/>
  <c r="I248" i="57"/>
  <c r="I243" i="57"/>
  <c r="AA243" i="57" s="1" a="1"/>
  <c r="AA243" i="57" s="1"/>
  <c r="X239" i="57" a="1"/>
  <c r="X239" i="57" s="1"/>
  <c r="P236" i="57"/>
  <c r="H233" i="57"/>
  <c r="X229" i="57" a="1"/>
  <c r="X229" i="57" s="1"/>
  <c r="P226" i="57"/>
  <c r="P223" i="57"/>
  <c r="P220" i="57"/>
  <c r="P217" i="57"/>
  <c r="I214" i="57"/>
  <c r="K211" i="57"/>
  <c r="V211" i="57" s="1"/>
  <c r="K208" i="57"/>
  <c r="V208" i="57" s="1"/>
  <c r="P205" i="57"/>
  <c r="X202" i="57" a="1"/>
  <c r="X202" i="57" s="1"/>
  <c r="AB199" i="57" a="1"/>
  <c r="AB199" i="57" s="1"/>
  <c r="H197" i="57"/>
  <c r="I194" i="57"/>
  <c r="K191" i="57"/>
  <c r="U191" i="57" s="1" a="1"/>
  <c r="U191" i="57" s="1"/>
  <c r="P188" i="57"/>
  <c r="X185" i="57" a="1"/>
  <c r="X185" i="57" s="1"/>
  <c r="I183" i="57"/>
  <c r="P180" i="57"/>
  <c r="AB177" i="57" a="1"/>
  <c r="AB177" i="57" s="1"/>
  <c r="I175" i="57"/>
  <c r="P172" i="57"/>
  <c r="AB169" i="57" a="1"/>
  <c r="AB169" i="57" s="1"/>
  <c r="K167" i="57"/>
  <c r="U167" i="57" s="1" a="1"/>
  <c r="U167" i="57" s="1"/>
  <c r="X164" i="57" a="1"/>
  <c r="X164" i="57" s="1"/>
  <c r="H162" i="57"/>
  <c r="K159" i="57"/>
  <c r="O159" i="57" s="1"/>
  <c r="X156" i="57" a="1"/>
  <c r="X156" i="57" s="1"/>
  <c r="H154" i="57"/>
  <c r="K151" i="57"/>
  <c r="T151" i="57" s="1"/>
  <c r="X148" i="57" a="1"/>
  <c r="X148" i="57" s="1"/>
  <c r="H146" i="57"/>
  <c r="K143" i="57"/>
  <c r="X140" i="57" a="1"/>
  <c r="X140" i="57" s="1"/>
  <c r="H138" i="57"/>
  <c r="K135" i="57"/>
  <c r="T135" i="57" s="1"/>
  <c r="X132" i="57" a="1"/>
  <c r="X132" i="57" s="1"/>
  <c r="I130" i="57"/>
  <c r="AA130" i="57" s="1" a="1"/>
  <c r="AA130" i="57" s="1"/>
  <c r="P127" i="57"/>
  <c r="AB124" i="57" a="1"/>
  <c r="AB124" i="57" s="1"/>
  <c r="K122" i="57"/>
  <c r="V122" i="57" s="1"/>
  <c r="X119" i="57" a="1"/>
  <c r="X119" i="57" s="1"/>
  <c r="H117" i="57"/>
  <c r="P114" i="57"/>
  <c r="AB111" i="57" a="1"/>
  <c r="AB111" i="57" s="1"/>
  <c r="I109" i="57"/>
  <c r="AA109" i="57" s="1" a="1"/>
  <c r="AA109" i="57" s="1"/>
  <c r="P106" i="57"/>
  <c r="AB103" i="57" a="1"/>
  <c r="AB103" i="57" s="1"/>
  <c r="I529" i="57"/>
  <c r="AA529" i="57" s="1" a="1"/>
  <c r="AA529" i="57" s="1"/>
  <c r="H521" i="57"/>
  <c r="P512" i="57"/>
  <c r="AB504" i="57" a="1"/>
  <c r="AB504" i="57" s="1"/>
  <c r="X497" i="57" a="1"/>
  <c r="X497" i="57" s="1"/>
  <c r="AB488" i="57" a="1"/>
  <c r="AB488" i="57" s="1"/>
  <c r="AB482" i="57" a="1"/>
  <c r="AB482" i="57" s="1"/>
  <c r="AB473" i="57" a="1"/>
  <c r="AB473" i="57" s="1"/>
  <c r="X467" i="57" a="1"/>
  <c r="X467" i="57" s="1"/>
  <c r="X459" i="57" a="1"/>
  <c r="X459" i="57" s="1"/>
  <c r="P452" i="57"/>
  <c r="P445" i="57"/>
  <c r="I438" i="57"/>
  <c r="AA438" i="57" s="1" a="1"/>
  <c r="AA438" i="57" s="1"/>
  <c r="P430" i="57"/>
  <c r="I423" i="57"/>
  <c r="AA423" i="57" s="1" a="1"/>
  <c r="AA423" i="57" s="1"/>
  <c r="X416" i="57" a="1"/>
  <c r="X416" i="57" s="1"/>
  <c r="X408" i="57" a="1"/>
  <c r="X408" i="57" s="1"/>
  <c r="AB401" i="57" a="1"/>
  <c r="AB401" i="57" s="1"/>
  <c r="K393" i="57"/>
  <c r="U393" i="57" s="1" a="1"/>
  <c r="U393" i="57" s="1"/>
  <c r="K387" i="57"/>
  <c r="T387" i="57" s="1"/>
  <c r="H379" i="57"/>
  <c r="J379" i="57" s="1"/>
  <c r="P372" i="57"/>
  <c r="X365" i="57" a="1"/>
  <c r="X365" i="57" s="1"/>
  <c r="I359" i="57"/>
  <c r="AA359" i="57" s="1" a="1"/>
  <c r="AA359" i="57" s="1"/>
  <c r="K351" i="57"/>
  <c r="S351" i="57" s="1"/>
  <c r="K345" i="57"/>
  <c r="V345" i="57" s="1"/>
  <c r="K339" i="57"/>
  <c r="H332" i="57"/>
  <c r="I326" i="57"/>
  <c r="AA326" i="57" s="1" a="1"/>
  <c r="AA326" i="57" s="1"/>
  <c r="H321" i="57"/>
  <c r="I314" i="57"/>
  <c r="AA314" i="57" s="1" a="1"/>
  <c r="AA314" i="57" s="1"/>
  <c r="H309" i="57"/>
  <c r="K304" i="57"/>
  <c r="T304" i="57" s="1"/>
  <c r="H299" i="57"/>
  <c r="H295" i="57"/>
  <c r="K290" i="57"/>
  <c r="L290" i="57" s="1"/>
  <c r="H285" i="57"/>
  <c r="K280" i="57"/>
  <c r="K276" i="57"/>
  <c r="V276" i="57" s="1"/>
  <c r="H271" i="57"/>
  <c r="P266" i="57"/>
  <c r="H262" i="57"/>
  <c r="X256" i="57" a="1"/>
  <c r="X256" i="57" s="1"/>
  <c r="X252" i="57" a="1"/>
  <c r="X252" i="57" s="1"/>
  <c r="H248" i="57"/>
  <c r="AB242" i="57" a="1"/>
  <c r="AB242" i="57" s="1"/>
  <c r="P239" i="57"/>
  <c r="K236" i="57"/>
  <c r="O236" i="57" s="1"/>
  <c r="X232" i="57" a="1"/>
  <c r="X232" i="57" s="1"/>
  <c r="P229" i="57"/>
  <c r="K226" i="57"/>
  <c r="O226" i="57" s="1"/>
  <c r="K223" i="57"/>
  <c r="V223" i="57" s="1"/>
  <c r="K220" i="57"/>
  <c r="H217" i="57"/>
  <c r="H214" i="57"/>
  <c r="I211" i="57"/>
  <c r="AA211" i="57" s="1" a="1"/>
  <c r="AA211" i="57" s="1"/>
  <c r="I208" i="57"/>
  <c r="AA208" i="57" s="1" a="1"/>
  <c r="AA208" i="57" s="1"/>
  <c r="K205" i="57"/>
  <c r="O205" i="57" s="1"/>
  <c r="P202" i="57"/>
  <c r="X199" i="57" a="1"/>
  <c r="X199" i="57" s="1"/>
  <c r="AB196" i="57" a="1"/>
  <c r="AB196" i="57" s="1"/>
  <c r="H194" i="57"/>
  <c r="I191" i="57"/>
  <c r="AA191" i="57" s="1" a="1"/>
  <c r="AA191" i="57" s="1"/>
  <c r="K188" i="57"/>
  <c r="T188" i="57" s="1"/>
  <c r="P185" i="57"/>
  <c r="H183" i="57"/>
  <c r="K180" i="57"/>
  <c r="O180" i="57" s="1"/>
  <c r="X177" i="57" a="1"/>
  <c r="X177" i="57" s="1"/>
  <c r="H175" i="57"/>
  <c r="K172" i="57"/>
  <c r="X169" i="57" a="1"/>
  <c r="X169" i="57" s="1"/>
  <c r="I167" i="57"/>
  <c r="AA167" i="57" s="1" a="1"/>
  <c r="AA167" i="57" s="1"/>
  <c r="P164" i="57"/>
  <c r="AB161" i="57" a="1"/>
  <c r="AB161" i="57" s="1"/>
  <c r="I159" i="57"/>
  <c r="AA159" i="57" s="1" a="1"/>
  <c r="AA159" i="57" s="1"/>
  <c r="P156" i="57"/>
  <c r="AB153" i="57" a="1"/>
  <c r="AB153" i="57" s="1"/>
  <c r="I151" i="57"/>
  <c r="P148" i="57"/>
  <c r="AB145" i="57" a="1"/>
  <c r="AB145" i="57" s="1"/>
  <c r="I143" i="57"/>
  <c r="P140" i="57"/>
  <c r="AB137" i="57" a="1"/>
  <c r="AB137" i="57" s="1"/>
  <c r="I135" i="57"/>
  <c r="AA135" i="57" s="1" a="1"/>
  <c r="AA135" i="57" s="1"/>
  <c r="P132" i="57"/>
  <c r="AB528" i="57" a="1"/>
  <c r="AB528" i="57" s="1"/>
  <c r="AB520" i="57" a="1"/>
  <c r="AB520" i="57" s="1"/>
  <c r="K512" i="57"/>
  <c r="S512" i="57" s="1"/>
  <c r="I504" i="57"/>
  <c r="AA504" i="57" s="1" a="1"/>
  <c r="AA504" i="57" s="1"/>
  <c r="AB495" i="57" a="1"/>
  <c r="AB495" i="57" s="1"/>
  <c r="X488" i="57" a="1"/>
  <c r="X488" i="57" s="1"/>
  <c r="X482" i="57" a="1"/>
  <c r="X482" i="57" s="1"/>
  <c r="X473" i="57" a="1"/>
  <c r="X473" i="57" s="1"/>
  <c r="P467" i="57"/>
  <c r="I459" i="57"/>
  <c r="AA459" i="57" s="1" a="1"/>
  <c r="AA459" i="57" s="1"/>
  <c r="K452" i="57"/>
  <c r="R452" i="57" s="1"/>
  <c r="P444" i="57"/>
  <c r="H438" i="57"/>
  <c r="K430" i="57"/>
  <c r="T430" i="57" s="1"/>
  <c r="H423" i="57"/>
  <c r="I415" i="57"/>
  <c r="P408" i="57"/>
  <c r="K401" i="57"/>
  <c r="O401" i="57" s="1"/>
  <c r="I393" i="57"/>
  <c r="AA393" i="57" s="1" a="1"/>
  <c r="AA393" i="57" s="1"/>
  <c r="I387" i="57"/>
  <c r="AA387" i="57" s="1" a="1"/>
  <c r="AA387" i="57" s="1"/>
  <c r="I378" i="57"/>
  <c r="K372" i="57"/>
  <c r="R372" i="57" s="1"/>
  <c r="K364" i="57"/>
  <c r="U364" i="57" s="1" a="1"/>
  <c r="U364" i="57" s="1"/>
  <c r="X358" i="57" a="1"/>
  <c r="X358" i="57" s="1"/>
  <c r="I351" i="57"/>
  <c r="AA351" i="57" s="1" a="1"/>
  <c r="AA351" i="57" s="1"/>
  <c r="I345" i="57"/>
  <c r="AA345" i="57" s="1" a="1"/>
  <c r="AA345" i="57" s="1"/>
  <c r="I338" i="57"/>
  <c r="AB331" i="57" a="1"/>
  <c r="AB331" i="57" s="1"/>
  <c r="K325" i="57"/>
  <c r="T325" i="57" s="1"/>
  <c r="X319" i="57" a="1"/>
  <c r="X319" i="57" s="1"/>
  <c r="X313" i="57" a="1"/>
  <c r="X313" i="57" s="1"/>
  <c r="AB308" i="57" a="1"/>
  <c r="AB308" i="57" s="1"/>
  <c r="AB303" i="57" a="1"/>
  <c r="AB303" i="57" s="1"/>
  <c r="AB298" i="57" a="1"/>
  <c r="AB298" i="57" s="1"/>
  <c r="P294" i="57"/>
  <c r="AB289" i="57" a="1"/>
  <c r="AB289" i="57" s="1"/>
  <c r="AB284" i="57" a="1"/>
  <c r="AB284" i="57" s="1"/>
  <c r="I280" i="57"/>
  <c r="AA280" i="57" s="1" a="1"/>
  <c r="AA280" i="57" s="1"/>
  <c r="P275" i="57"/>
  <c r="P270" i="57"/>
  <c r="K266" i="57"/>
  <c r="O266" i="57" s="1"/>
  <c r="P261" i="57"/>
  <c r="P256" i="57"/>
  <c r="I252" i="57"/>
  <c r="AA252" i="57" s="1" a="1"/>
  <c r="AA252" i="57" s="1"/>
  <c r="P247" i="57"/>
  <c r="X242" i="57" a="1"/>
  <c r="X242" i="57" s="1"/>
  <c r="K239" i="57"/>
  <c r="I236" i="57"/>
  <c r="AA236" i="57" s="1" a="1"/>
  <c r="AA236" i="57" s="1"/>
  <c r="P232" i="57"/>
  <c r="K229" i="57"/>
  <c r="O229" i="57" s="1"/>
  <c r="I226" i="57"/>
  <c r="AA226" i="57" s="1" a="1"/>
  <c r="AA226" i="57" s="1"/>
  <c r="I223" i="57"/>
  <c r="I220" i="57"/>
  <c r="AA220" i="57" s="1" a="1"/>
  <c r="AA220" i="57" s="1"/>
  <c r="AB216" i="57" a="1"/>
  <c r="AB216" i="57" s="1"/>
  <c r="AB213" i="57" a="1"/>
  <c r="AB213" i="57" s="1"/>
  <c r="H211" i="57"/>
  <c r="H208" i="57"/>
  <c r="I205" i="57"/>
  <c r="AA205" i="57" s="1" a="1"/>
  <c r="AA205" i="57" s="1"/>
  <c r="K202" i="57"/>
  <c r="P199" i="57"/>
  <c r="X196" i="57" a="1"/>
  <c r="X196" i="57" s="1"/>
  <c r="AB193" i="57" a="1"/>
  <c r="AB193" i="57" s="1"/>
  <c r="H191" i="57"/>
  <c r="H188" i="57"/>
  <c r="K185" i="57"/>
  <c r="AB182" i="57" a="1"/>
  <c r="AB182" i="57" s="1"/>
  <c r="I180" i="57"/>
  <c r="AA180" i="57" s="1" a="1"/>
  <c r="AA180" i="57" s="1"/>
  <c r="P177" i="57"/>
  <c r="AB174" i="57" a="1"/>
  <c r="AB174" i="57" s="1"/>
  <c r="I172" i="57"/>
  <c r="AA172" i="57" s="1" a="1"/>
  <c r="AA172" i="57" s="1"/>
  <c r="P169" i="57"/>
  <c r="H167" i="57"/>
  <c r="K164" i="57"/>
  <c r="T164" i="57" s="1"/>
  <c r="X161" i="57" a="1"/>
  <c r="X161" i="57" s="1"/>
  <c r="X528" i="57" a="1"/>
  <c r="X528" i="57" s="1"/>
  <c r="X520" i="57" a="1"/>
  <c r="X520" i="57" s="1"/>
  <c r="H511" i="57"/>
  <c r="H504" i="57"/>
  <c r="J504" i="57" s="1"/>
  <c r="H495" i="57"/>
  <c r="I488" i="57"/>
  <c r="AA488" i="57" s="1" a="1"/>
  <c r="AA488" i="57" s="1"/>
  <c r="K480" i="57"/>
  <c r="P473" i="57"/>
  <c r="K467" i="57"/>
  <c r="H459" i="57"/>
  <c r="I452" i="57"/>
  <c r="H444" i="57"/>
  <c r="AB437" i="57" a="1"/>
  <c r="AB437" i="57" s="1"/>
  <c r="H430" i="57"/>
  <c r="AB422" i="57" a="1"/>
  <c r="AB422" i="57" s="1"/>
  <c r="AB414" i="57" a="1"/>
  <c r="AB414" i="57" s="1"/>
  <c r="P407" i="57"/>
  <c r="K400" i="57"/>
  <c r="O400" i="57" s="1"/>
  <c r="H393" i="57"/>
  <c r="AB385" i="57" a="1"/>
  <c r="AB385" i="57" s="1"/>
  <c r="H378" i="57"/>
  <c r="I372" i="57"/>
  <c r="AA372" i="57" s="1" a="1"/>
  <c r="AA372" i="57" s="1"/>
  <c r="I364" i="57"/>
  <c r="AA364" i="57" s="1" a="1"/>
  <c r="AA364" i="57" s="1"/>
  <c r="P358" i="57"/>
  <c r="P350" i="57"/>
  <c r="P337" i="57"/>
  <c r="X331" i="57" a="1"/>
  <c r="X331" i="57" s="1"/>
  <c r="I325" i="57"/>
  <c r="AA325" i="57" s="1" a="1"/>
  <c r="AA325" i="57" s="1"/>
  <c r="H319" i="57"/>
  <c r="P313" i="57"/>
  <c r="X308" i="57" a="1"/>
  <c r="X308" i="57" s="1"/>
  <c r="P303" i="57"/>
  <c r="X298" i="57" a="1"/>
  <c r="X298" i="57" s="1"/>
  <c r="K294" i="57"/>
  <c r="T294" i="57" s="1"/>
  <c r="I289" i="57"/>
  <c r="X284" i="57" a="1"/>
  <c r="X284" i="57" s="1"/>
  <c r="H280" i="57"/>
  <c r="AB274" i="57" a="1"/>
  <c r="AB274" i="57" s="1"/>
  <c r="K270" i="57"/>
  <c r="I266" i="57"/>
  <c r="I261" i="57"/>
  <c r="AA261" i="57" s="1" a="1"/>
  <c r="AA261" i="57" s="1"/>
  <c r="K256" i="57"/>
  <c r="H252" i="57"/>
  <c r="AB246" i="57" a="1"/>
  <c r="AB246" i="57" s="1"/>
  <c r="P242" i="57"/>
  <c r="I239" i="57"/>
  <c r="X235" i="57" a="1"/>
  <c r="X235" i="57" s="1"/>
  <c r="K232" i="57"/>
  <c r="I229" i="57"/>
  <c r="H226" i="57"/>
  <c r="H223" i="57"/>
  <c r="X219" i="57" a="1"/>
  <c r="X219" i="57" s="1"/>
  <c r="X216" i="57" a="1"/>
  <c r="X216" i="57" s="1"/>
  <c r="AB210" i="57" a="1"/>
  <c r="AB210" i="57" s="1"/>
  <c r="AB207" i="57" a="1"/>
  <c r="AB207" i="57" s="1"/>
  <c r="H205" i="57"/>
  <c r="I202" i="57"/>
  <c r="AA202" i="57" s="1" a="1"/>
  <c r="AA202" i="57" s="1"/>
  <c r="K199" i="57"/>
  <c r="P196" i="57"/>
  <c r="X193" i="57" a="1"/>
  <c r="X193" i="57" s="1"/>
  <c r="X190" i="57" a="1"/>
  <c r="X190" i="57" s="1"/>
  <c r="AB187" i="57" a="1"/>
  <c r="AB187" i="57" s="1"/>
  <c r="I185" i="57"/>
  <c r="X182" i="57" a="1"/>
  <c r="X182" i="57" s="1"/>
  <c r="H180" i="57"/>
  <c r="K177" i="57"/>
  <c r="X174" i="57" a="1"/>
  <c r="X174" i="57" s="1"/>
  <c r="H172" i="57"/>
  <c r="K169" i="57"/>
  <c r="AB166" i="57" a="1"/>
  <c r="AB166" i="57" s="1"/>
  <c r="I164" i="57"/>
  <c r="H528" i="57"/>
  <c r="I518" i="57"/>
  <c r="AA518" i="57" s="1" a="1"/>
  <c r="AA518" i="57" s="1"/>
  <c r="K510" i="57"/>
  <c r="X502" i="57" a="1"/>
  <c r="X502" i="57" s="1"/>
  <c r="K494" i="57"/>
  <c r="V494" i="57" s="1"/>
  <c r="H487" i="57"/>
  <c r="H479" i="57"/>
  <c r="X472" i="57" a="1"/>
  <c r="X472" i="57" s="1"/>
  <c r="P464" i="57"/>
  <c r="P457" i="57"/>
  <c r="P449" i="57"/>
  <c r="H443" i="57"/>
  <c r="I435" i="57"/>
  <c r="AA435" i="57" s="1" a="1"/>
  <c r="AA435" i="57" s="1"/>
  <c r="K428" i="57"/>
  <c r="S428" i="57" s="1"/>
  <c r="I422" i="57"/>
  <c r="AB413" i="57" a="1"/>
  <c r="AB413" i="57" s="1"/>
  <c r="H407" i="57"/>
  <c r="X398" i="57" a="1"/>
  <c r="X398" i="57" s="1"/>
  <c r="P392" i="57"/>
  <c r="P384" i="57"/>
  <c r="P377" i="57"/>
  <c r="H370" i="57"/>
  <c r="X363" i="57" a="1"/>
  <c r="X363" i="57" s="1"/>
  <c r="K356" i="57"/>
  <c r="H350" i="57"/>
  <c r="K343" i="57"/>
  <c r="AB335" i="57" a="1"/>
  <c r="AB335" i="57" s="1"/>
  <c r="I330" i="57"/>
  <c r="AA330" i="57" s="1" a="1"/>
  <c r="AA330" i="57" s="1"/>
  <c r="K324" i="57"/>
  <c r="T324" i="57" s="1"/>
  <c r="K318" i="57"/>
  <c r="K312" i="57"/>
  <c r="V312" i="57" s="1"/>
  <c r="P307" i="57"/>
  <c r="P302" i="57"/>
  <c r="I298" i="57"/>
  <c r="AA298" i="57" s="1" a="1"/>
  <c r="AA298" i="57" s="1"/>
  <c r="I293" i="57"/>
  <c r="I288" i="57"/>
  <c r="AB283" i="57" a="1"/>
  <c r="AB283" i="57" s="1"/>
  <c r="I279" i="57"/>
  <c r="AA279" i="57" s="1" a="1"/>
  <c r="AA279" i="57" s="1"/>
  <c r="I274" i="57"/>
  <c r="AA274" i="57" s="1" a="1"/>
  <c r="AA274" i="57" s="1"/>
  <c r="P269" i="57"/>
  <c r="I265" i="57"/>
  <c r="I260" i="57"/>
  <c r="AB255" i="57" a="1"/>
  <c r="AB255" i="57" s="1"/>
  <c r="AB250" i="57" a="1"/>
  <c r="AB250" i="57" s="1"/>
  <c r="H246" i="57"/>
  <c r="H242" i="57"/>
  <c r="K238" i="57"/>
  <c r="H235" i="57"/>
  <c r="AB231" i="57" a="1"/>
  <c r="AB231" i="57" s="1"/>
  <c r="X228" i="57" a="1"/>
  <c r="X228" i="57" s="1"/>
  <c r="P225" i="57"/>
  <c r="I222" i="57"/>
  <c r="I219" i="57"/>
  <c r="AA219" i="57" s="1" a="1"/>
  <c r="AA219" i="57" s="1"/>
  <c r="I216" i="57"/>
  <c r="K213" i="57"/>
  <c r="K210" i="57"/>
  <c r="K207" i="57"/>
  <c r="V207" i="57" s="1"/>
  <c r="P204" i="57"/>
  <c r="X201" i="57" a="1"/>
  <c r="X201" i="57" s="1"/>
  <c r="X198" i="57" a="1"/>
  <c r="X198" i="57" s="1"/>
  <c r="AB195" i="57" a="1"/>
  <c r="AB195" i="57" s="1"/>
  <c r="H193" i="57"/>
  <c r="I190" i="57"/>
  <c r="AA190" i="57" s="1" a="1"/>
  <c r="AA190" i="57" s="1"/>
  <c r="K187" i="57"/>
  <c r="S187" i="57" s="1"/>
  <c r="X184" i="57" a="1"/>
  <c r="X184" i="57" s="1"/>
  <c r="I182" i="57"/>
  <c r="P179" i="57"/>
  <c r="AB176" i="57" a="1"/>
  <c r="AB176" i="57" s="1"/>
  <c r="I174" i="57"/>
  <c r="AA174" i="57" s="1" a="1"/>
  <c r="AA174" i="57" s="1"/>
  <c r="P171" i="57"/>
  <c r="AB168" i="57" a="1"/>
  <c r="AB168" i="57" s="1"/>
  <c r="K166" i="57"/>
  <c r="X163" i="57" a="1"/>
  <c r="X163" i="57" s="1"/>
  <c r="H161" i="57"/>
  <c r="J161" i="57" s="1"/>
  <c r="K158" i="57"/>
  <c r="S158" i="57" s="1"/>
  <c r="X155" i="57" a="1"/>
  <c r="X155" i="57" s="1"/>
  <c r="H153" i="57"/>
  <c r="K150" i="57"/>
  <c r="X147" i="57" a="1"/>
  <c r="X147" i="57" s="1"/>
  <c r="H145" i="57"/>
  <c r="K142" i="57"/>
  <c r="R142" i="57" s="1"/>
  <c r="X139" i="57" a="1"/>
  <c r="X139" i="57" s="1"/>
  <c r="H137" i="57"/>
  <c r="K134" i="57"/>
  <c r="R134" i="57" s="1"/>
  <c r="AB131" i="57" a="1"/>
  <c r="AB131" i="57" s="1"/>
  <c r="I129" i="57"/>
  <c r="AA129" i="57" s="1" a="1"/>
  <c r="AA129" i="57" s="1"/>
  <c r="P126" i="57"/>
  <c r="AB123" i="57" a="1"/>
  <c r="AB123" i="57" s="1"/>
  <c r="K121" i="57"/>
  <c r="X118" i="57" a="1"/>
  <c r="X118" i="57" s="1"/>
  <c r="K528" i="57"/>
  <c r="S528" i="57" s="1"/>
  <c r="I516" i="57"/>
  <c r="I505" i="57"/>
  <c r="AA505" i="57" s="1" a="1"/>
  <c r="AA505" i="57" s="1"/>
  <c r="P493" i="57"/>
  <c r="K483" i="57"/>
  <c r="K472" i="57"/>
  <c r="K462" i="57"/>
  <c r="S462" i="57" s="1"/>
  <c r="I449" i="57"/>
  <c r="K440" i="57"/>
  <c r="V440" i="57" s="1"/>
  <c r="P428" i="57"/>
  <c r="I419" i="57"/>
  <c r="K407" i="57"/>
  <c r="AB396" i="57" a="1"/>
  <c r="AB396" i="57" s="1"/>
  <c r="H388" i="57"/>
  <c r="H377" i="57"/>
  <c r="I367" i="57"/>
  <c r="AB355" i="57" a="1"/>
  <c r="AB355" i="57" s="1"/>
  <c r="I346" i="57"/>
  <c r="AA346" i="57" s="1" a="1"/>
  <c r="AA346" i="57" s="1"/>
  <c r="X335" i="57" a="1"/>
  <c r="X335" i="57" s="1"/>
  <c r="X327" i="57" a="1"/>
  <c r="X327" i="57" s="1"/>
  <c r="P318" i="57"/>
  <c r="P310" i="57"/>
  <c r="K303" i="57"/>
  <c r="V303" i="57" s="1"/>
  <c r="AB296" i="57" a="1"/>
  <c r="AB296" i="57" s="1"/>
  <c r="X290" i="57" a="1"/>
  <c r="X290" i="57" s="1"/>
  <c r="H283" i="57"/>
  <c r="AB276" i="57" a="1"/>
  <c r="AB276" i="57" s="1"/>
  <c r="I269" i="57"/>
  <c r="AA269" i="57" s="1" a="1"/>
  <c r="AA269" i="57" s="1"/>
  <c r="K263" i="57"/>
  <c r="O263" i="57" s="1"/>
  <c r="X255" i="57" a="1"/>
  <c r="X255" i="57" s="1"/>
  <c r="I249" i="57"/>
  <c r="I242" i="57"/>
  <c r="AA242" i="57" s="1" a="1"/>
  <c r="AA242" i="57" s="1"/>
  <c r="K237" i="57"/>
  <c r="I232" i="57"/>
  <c r="X227" i="57" a="1"/>
  <c r="X227" i="57" s="1"/>
  <c r="X223" i="57" a="1"/>
  <c r="X223" i="57" s="1"/>
  <c r="X218" i="57" a="1"/>
  <c r="X218" i="57" s="1"/>
  <c r="AB214" i="57" a="1"/>
  <c r="AB214" i="57" s="1"/>
  <c r="H210" i="57"/>
  <c r="H206" i="57"/>
  <c r="K201" i="57"/>
  <c r="S201" i="57" s="1"/>
  <c r="X197" i="57" a="1"/>
  <c r="X197" i="57" s="1"/>
  <c r="I193" i="57"/>
  <c r="K189" i="57"/>
  <c r="H185" i="57"/>
  <c r="P181" i="57"/>
  <c r="H178" i="57"/>
  <c r="X173" i="57" a="1"/>
  <c r="X173" i="57" s="1"/>
  <c r="I170" i="57"/>
  <c r="H166" i="57"/>
  <c r="P162" i="57"/>
  <c r="AB158" i="57" a="1"/>
  <c r="AB158" i="57" s="1"/>
  <c r="P155" i="57"/>
  <c r="K152" i="57"/>
  <c r="S152" i="57" s="1"/>
  <c r="I149" i="57"/>
  <c r="AA149" i="57" s="1" a="1"/>
  <c r="AA149" i="57" s="1"/>
  <c r="X145" i="57" a="1"/>
  <c r="X145" i="57" s="1"/>
  <c r="P142" i="57"/>
  <c r="I139" i="57"/>
  <c r="AA139" i="57" s="1" a="1"/>
  <c r="AA139" i="57" s="1"/>
  <c r="H136" i="57"/>
  <c r="AB132" i="57" a="1"/>
  <c r="AB132" i="57" s="1"/>
  <c r="X129" i="57" a="1"/>
  <c r="X129" i="57" s="1"/>
  <c r="X126" i="57" a="1"/>
  <c r="X126" i="57" s="1"/>
  <c r="P123" i="57"/>
  <c r="X120" i="57" a="1"/>
  <c r="X120" i="57" s="1"/>
  <c r="X117" i="57" a="1"/>
  <c r="X117" i="57" s="1"/>
  <c r="H115" i="57"/>
  <c r="I112" i="57"/>
  <c r="AA112" i="57" s="1" a="1"/>
  <c r="AA112" i="57" s="1"/>
  <c r="K109" i="57"/>
  <c r="L109" i="57" s="1"/>
  <c r="K106" i="57"/>
  <c r="P103" i="57"/>
  <c r="AB100" i="57" a="1"/>
  <c r="AB100" i="57" s="1"/>
  <c r="I98" i="57"/>
  <c r="AA98" i="57" s="1" a="1"/>
  <c r="AA98" i="57" s="1"/>
  <c r="P95" i="57"/>
  <c r="AB92" i="57" a="1"/>
  <c r="AB92" i="57" s="1"/>
  <c r="I90" i="57"/>
  <c r="AA90" i="57" s="1" a="1"/>
  <c r="AA90" i="57" s="1"/>
  <c r="P87" i="57"/>
  <c r="AB84" i="57" a="1"/>
  <c r="AB84" i="57" s="1"/>
  <c r="I82" i="57"/>
  <c r="P79" i="57"/>
  <c r="K76" i="57"/>
  <c r="AB75" i="57" a="1"/>
  <c r="AB75" i="57" s="1"/>
  <c r="AB72" i="57" a="1"/>
  <c r="AB72" i="57" s="1"/>
  <c r="P69" i="57"/>
  <c r="H64" i="57"/>
  <c r="P63" i="57"/>
  <c r="I60" i="57"/>
  <c r="AB58" i="57" a="1"/>
  <c r="AB58" i="57" s="1"/>
  <c r="AB56" i="57" a="1"/>
  <c r="AB56" i="57" s="1"/>
  <c r="I54" i="57"/>
  <c r="X53" i="57" a="1"/>
  <c r="X53" i="57" s="1"/>
  <c r="K51" i="57"/>
  <c r="V51" i="57" s="1"/>
  <c r="K48" i="57"/>
  <c r="S48" i="57" s="1"/>
  <c r="AB47" i="57" a="1"/>
  <c r="AB47" i="57" s="1"/>
  <c r="H43" i="57"/>
  <c r="P42" i="57"/>
  <c r="I528" i="57"/>
  <c r="H516" i="57"/>
  <c r="H503" i="57"/>
  <c r="K492" i="57"/>
  <c r="U492" i="57" s="1" a="1"/>
  <c r="U492" i="57" s="1"/>
  <c r="I483" i="57"/>
  <c r="AA483" i="57" s="1" a="1"/>
  <c r="AA483" i="57" s="1"/>
  <c r="K470" i="57"/>
  <c r="AB461" i="57" a="1"/>
  <c r="AB461" i="57" s="1"/>
  <c r="H449" i="57"/>
  <c r="AB438" i="57" a="1"/>
  <c r="AB438" i="57" s="1"/>
  <c r="AB427" i="57" a="1"/>
  <c r="AB427" i="57" s="1"/>
  <c r="I418" i="57"/>
  <c r="AA418" i="57" s="1" a="1"/>
  <c r="AA418" i="57" s="1"/>
  <c r="I407" i="57"/>
  <c r="J407" i="57" s="1"/>
  <c r="X396" i="57" a="1"/>
  <c r="X396" i="57" s="1"/>
  <c r="H385" i="57"/>
  <c r="AB374" i="57" a="1"/>
  <c r="AB374" i="57" s="1"/>
  <c r="H367" i="57"/>
  <c r="K355" i="57"/>
  <c r="U355" i="57" s="1" a="1"/>
  <c r="U355" i="57" s="1"/>
  <c r="AB345" i="57" a="1"/>
  <c r="AB345" i="57" s="1"/>
  <c r="P335" i="57"/>
  <c r="K327" i="57"/>
  <c r="I318" i="57"/>
  <c r="AA318" i="57" s="1" a="1"/>
  <c r="AA318" i="57" s="1"/>
  <c r="K310" i="57"/>
  <c r="S310" i="57" s="1"/>
  <c r="H303" i="57"/>
  <c r="I296" i="57"/>
  <c r="H289" i="57"/>
  <c r="P282" i="57"/>
  <c r="X276" i="57" a="1"/>
  <c r="X276" i="57" s="1"/>
  <c r="H269" i="57"/>
  <c r="AB262" i="57" a="1"/>
  <c r="AB262" i="57" s="1"/>
  <c r="P255" i="57"/>
  <c r="X248" i="57" a="1"/>
  <c r="X248" i="57" s="1"/>
  <c r="AB241" i="57" a="1"/>
  <c r="AB241" i="57" s="1"/>
  <c r="I237" i="57"/>
  <c r="H232" i="57"/>
  <c r="K227" i="57"/>
  <c r="V227" i="57" s="1"/>
  <c r="AB222" i="57" a="1"/>
  <c r="AB222" i="57" s="1"/>
  <c r="P218" i="57"/>
  <c r="K214" i="57"/>
  <c r="AB209" i="57" a="1"/>
  <c r="AB209" i="57" s="1"/>
  <c r="AB205" i="57" a="1"/>
  <c r="AB205" i="57" s="1"/>
  <c r="I201" i="57"/>
  <c r="AA201" i="57" s="1" a="1"/>
  <c r="AA201" i="57" s="1"/>
  <c r="P197" i="57"/>
  <c r="AB192" i="57" a="1"/>
  <c r="AB192" i="57" s="1"/>
  <c r="I189" i="57"/>
  <c r="AA189" i="57" s="1" a="1"/>
  <c r="AA189" i="57" s="1"/>
  <c r="AB184" i="57" a="1"/>
  <c r="AB184" i="57" s="1"/>
  <c r="K181" i="57"/>
  <c r="V181" i="57" s="1"/>
  <c r="I177" i="57"/>
  <c r="AA177" i="57" s="1" a="1"/>
  <c r="AA177" i="57" s="1"/>
  <c r="P173" i="57"/>
  <c r="H170" i="57"/>
  <c r="AB165" i="57" a="1"/>
  <c r="AB165" i="57" s="1"/>
  <c r="K162" i="57"/>
  <c r="R162" i="57" s="1"/>
  <c r="X158" i="57" a="1"/>
  <c r="X158" i="57" s="1"/>
  <c r="K155" i="57"/>
  <c r="O155" i="57" s="1"/>
  <c r="I152" i="57"/>
  <c r="AA152" i="57" s="1" a="1"/>
  <c r="AA152" i="57" s="1"/>
  <c r="H149" i="57"/>
  <c r="P145" i="57"/>
  <c r="I142" i="57"/>
  <c r="AA142" i="57" s="1" a="1"/>
  <c r="AA142" i="57" s="1"/>
  <c r="H139" i="57"/>
  <c r="AB135" i="57" a="1"/>
  <c r="AB135" i="57" s="1"/>
  <c r="K132" i="57"/>
  <c r="V132" i="57" s="1"/>
  <c r="P129" i="57"/>
  <c r="K126" i="57"/>
  <c r="S126" i="57" s="1"/>
  <c r="K123" i="57"/>
  <c r="U123" i="57" s="1" a="1"/>
  <c r="U123" i="57" s="1"/>
  <c r="P120" i="57"/>
  <c r="P117" i="57"/>
  <c r="AB114" i="57" a="1"/>
  <c r="AB114" i="57" s="1"/>
  <c r="H112" i="57"/>
  <c r="H109" i="57"/>
  <c r="J109" i="57" s="1"/>
  <c r="I106" i="57"/>
  <c r="AA106" i="57" s="1" a="1"/>
  <c r="AA106" i="57" s="1"/>
  <c r="K103" i="57"/>
  <c r="S103" i="57" s="1"/>
  <c r="X100" i="57" a="1"/>
  <c r="X100" i="57" s="1"/>
  <c r="H98" i="57"/>
  <c r="K95" i="57"/>
  <c r="O95" i="57" s="1"/>
  <c r="X92" i="57" a="1"/>
  <c r="X92" i="57" s="1"/>
  <c r="H90" i="57"/>
  <c r="K87" i="57"/>
  <c r="X84" i="57" a="1"/>
  <c r="X84" i="57" s="1"/>
  <c r="H82" i="57"/>
  <c r="K79" i="57"/>
  <c r="O79" i="57" s="1"/>
  <c r="I76" i="57"/>
  <c r="AA76" i="57" s="1" a="1"/>
  <c r="AA76" i="57" s="1"/>
  <c r="X75" i="57" a="1"/>
  <c r="X75" i="57" s="1"/>
  <c r="X72" i="57" a="1"/>
  <c r="X72" i="57" s="1"/>
  <c r="K69" i="57"/>
  <c r="K63" i="57"/>
  <c r="U63" i="57" s="1" a="1"/>
  <c r="U63" i="57" s="1"/>
  <c r="P526" i="57"/>
  <c r="AB515" i="57" a="1"/>
  <c r="AB515" i="57" s="1"/>
  <c r="AB502" i="57" a="1"/>
  <c r="AB502" i="57" s="1"/>
  <c r="I492" i="57"/>
  <c r="AA492" i="57" s="1" a="1"/>
  <c r="AA492" i="57" s="1"/>
  <c r="I480" i="57"/>
  <c r="AA480" i="57" s="1" a="1"/>
  <c r="AA480" i="57" s="1"/>
  <c r="I470" i="57"/>
  <c r="AA470" i="57" s="1" a="1"/>
  <c r="AA470" i="57" s="1"/>
  <c r="I460" i="57"/>
  <c r="AA460" i="57" s="1" a="1"/>
  <c r="AA460" i="57" s="1"/>
  <c r="AB448" i="57" a="1"/>
  <c r="AB448" i="57" s="1"/>
  <c r="X438" i="57" a="1"/>
  <c r="X438" i="57" s="1"/>
  <c r="X427" i="57" a="1"/>
  <c r="X427" i="57" s="1"/>
  <c r="H418" i="57"/>
  <c r="AB406" i="57" a="1"/>
  <c r="AB406" i="57" s="1"/>
  <c r="P396" i="57"/>
  <c r="AB384" i="57" a="1"/>
  <c r="AB384" i="57" s="1"/>
  <c r="X374" i="57" a="1"/>
  <c r="X374" i="57" s="1"/>
  <c r="H364" i="57"/>
  <c r="I355" i="57"/>
  <c r="AA355" i="57" s="1" a="1"/>
  <c r="AA355" i="57" s="1"/>
  <c r="X345" i="57" a="1"/>
  <c r="X345" i="57" s="1"/>
  <c r="K335" i="57"/>
  <c r="T335" i="57" s="1"/>
  <c r="AB326" i="57" a="1"/>
  <c r="AB326" i="57" s="1"/>
  <c r="X317" i="57" a="1"/>
  <c r="X317" i="57" s="1"/>
  <c r="X309" i="57" a="1"/>
  <c r="X309" i="57" s="1"/>
  <c r="K302" i="57"/>
  <c r="O302" i="57" s="1"/>
  <c r="H296" i="57"/>
  <c r="K288" i="57"/>
  <c r="O288" i="57" s="1"/>
  <c r="I282" i="57"/>
  <c r="AA282" i="57" s="1" a="1"/>
  <c r="AA282" i="57" s="1"/>
  <c r="X274" i="57" a="1"/>
  <c r="X274" i="57" s="1"/>
  <c r="P268" i="57"/>
  <c r="X262" i="57" a="1"/>
  <c r="X262" i="57" s="1"/>
  <c r="K255" i="57"/>
  <c r="P248" i="57"/>
  <c r="X241" i="57" a="1"/>
  <c r="X241" i="57" s="1"/>
  <c r="H237" i="57"/>
  <c r="X231" i="57" a="1"/>
  <c r="X231" i="57" s="1"/>
  <c r="I227" i="57"/>
  <c r="AA227" i="57" s="1" a="1"/>
  <c r="AA227" i="57" s="1"/>
  <c r="K222" i="57"/>
  <c r="O222" i="57" s="1"/>
  <c r="K218" i="57"/>
  <c r="T218" i="57" s="1"/>
  <c r="X213" i="57" a="1"/>
  <c r="X213" i="57" s="1"/>
  <c r="X209" i="57" a="1"/>
  <c r="X209" i="57" s="1"/>
  <c r="X205" i="57" a="1"/>
  <c r="X205" i="57" s="1"/>
  <c r="H201" i="57"/>
  <c r="K197" i="57"/>
  <c r="X192" i="57" a="1"/>
  <c r="X192" i="57" s="1"/>
  <c r="H189" i="57"/>
  <c r="P184" i="57"/>
  <c r="I181" i="57"/>
  <c r="H177" i="57"/>
  <c r="K173" i="57"/>
  <c r="I169" i="57"/>
  <c r="AA169" i="57" s="1" a="1"/>
  <c r="AA169" i="57" s="1"/>
  <c r="X165" i="57" a="1"/>
  <c r="X165" i="57" s="1"/>
  <c r="I162" i="57"/>
  <c r="AA162" i="57" s="1" a="1"/>
  <c r="AA162" i="57" s="1"/>
  <c r="P158" i="57"/>
  <c r="I155" i="57"/>
  <c r="H152" i="57"/>
  <c r="AB148" i="57" a="1"/>
  <c r="AB148" i="57" s="1"/>
  <c r="K145" i="57"/>
  <c r="T145" i="57" s="1"/>
  <c r="H142" i="57"/>
  <c r="AB138" i="57" a="1"/>
  <c r="AB138" i="57" s="1"/>
  <c r="X135" i="57" a="1"/>
  <c r="X135" i="57" s="1"/>
  <c r="I132" i="57"/>
  <c r="K129" i="57"/>
  <c r="S129" i="57" s="1"/>
  <c r="I126" i="57"/>
  <c r="I123" i="57"/>
  <c r="AA123" i="57" s="1" a="1"/>
  <c r="AA123" i="57" s="1"/>
  <c r="K120" i="57"/>
  <c r="K117" i="57"/>
  <c r="U117" i="57" s="1" a="1"/>
  <c r="U117" i="57" s="1"/>
  <c r="X114" i="57" a="1"/>
  <c r="X114" i="57" s="1"/>
  <c r="X111" i="57" a="1"/>
  <c r="X111" i="57" s="1"/>
  <c r="AB108" i="57" a="1"/>
  <c r="AB108" i="57" s="1"/>
  <c r="H106" i="57"/>
  <c r="I103" i="57"/>
  <c r="AA103" i="57" s="1" a="1"/>
  <c r="AA103" i="57" s="1"/>
  <c r="P100" i="57"/>
  <c r="AB97" i="57" a="1"/>
  <c r="AB97" i="57" s="1"/>
  <c r="I95" i="57"/>
  <c r="AA95" i="57" s="1" a="1"/>
  <c r="AA95" i="57" s="1"/>
  <c r="P92" i="57"/>
  <c r="AB89" i="57" a="1"/>
  <c r="AB89" i="57" s="1"/>
  <c r="I87" i="57"/>
  <c r="P84" i="57"/>
  <c r="AB81" i="57" a="1"/>
  <c r="AB81" i="57" s="1"/>
  <c r="I79" i="57"/>
  <c r="AA79" i="57" s="1" a="1"/>
  <c r="AA79" i="57" s="1"/>
  <c r="H76" i="57"/>
  <c r="P75" i="57"/>
  <c r="P72" i="57"/>
  <c r="I69" i="57"/>
  <c r="AA69" i="57" s="1" a="1"/>
  <c r="AA69" i="57" s="1"/>
  <c r="AB67" i="57" a="1"/>
  <c r="AB67" i="57" s="1"/>
  <c r="I63" i="57"/>
  <c r="AA63" i="57" s="1" a="1"/>
  <c r="AA63" i="57" s="1"/>
  <c r="K526" i="57"/>
  <c r="S526" i="57" s="1"/>
  <c r="K515" i="57"/>
  <c r="S515" i="57" s="1"/>
  <c r="P501" i="57"/>
  <c r="X491" i="57" a="1"/>
  <c r="X491" i="57" s="1"/>
  <c r="AB479" i="57" a="1"/>
  <c r="AB479" i="57" s="1"/>
  <c r="P469" i="57"/>
  <c r="AB458" i="57" a="1"/>
  <c r="AB458" i="57" s="1"/>
  <c r="P438" i="57"/>
  <c r="P427" i="57"/>
  <c r="P417" i="57"/>
  <c r="X404" i="57" a="1"/>
  <c r="X404" i="57" s="1"/>
  <c r="K396" i="57"/>
  <c r="V396" i="57" s="1"/>
  <c r="K383" i="57"/>
  <c r="R383" i="57" s="1"/>
  <c r="K374" i="57"/>
  <c r="S374" i="57" s="1"/>
  <c r="AB363" i="57" a="1"/>
  <c r="AB363" i="57" s="1"/>
  <c r="K354" i="57"/>
  <c r="X344" i="57" a="1"/>
  <c r="X344" i="57" s="1"/>
  <c r="I335" i="57"/>
  <c r="AA335" i="57" s="1" a="1"/>
  <c r="AA335" i="57" s="1"/>
  <c r="K317" i="57"/>
  <c r="P309" i="57"/>
  <c r="I302" i="57"/>
  <c r="X295" i="57" a="1"/>
  <c r="X295" i="57" s="1"/>
  <c r="H288" i="57"/>
  <c r="H282" i="57"/>
  <c r="K274" i="57"/>
  <c r="AB267" i="57" a="1"/>
  <c r="AB267" i="57" s="1"/>
  <c r="H261" i="57"/>
  <c r="P254" i="57"/>
  <c r="K248" i="57"/>
  <c r="T248" i="57" s="1"/>
  <c r="P241" i="57"/>
  <c r="AB236" i="57" a="1"/>
  <c r="AB236" i="57" s="1"/>
  <c r="P231" i="57"/>
  <c r="H227" i="57"/>
  <c r="H222" i="57"/>
  <c r="I218" i="57"/>
  <c r="AA218" i="57" s="1" a="1"/>
  <c r="AA218" i="57" s="1"/>
  <c r="P213" i="57"/>
  <c r="I209" i="57"/>
  <c r="AA209" i="57" s="1" a="1"/>
  <c r="AA209" i="57" s="1"/>
  <c r="AB204" i="57" a="1"/>
  <c r="AB204" i="57" s="1"/>
  <c r="AB200" i="57" a="1"/>
  <c r="AB200" i="57" s="1"/>
  <c r="I197" i="57"/>
  <c r="AA197" i="57" s="1" a="1"/>
  <c r="AA197" i="57" s="1"/>
  <c r="P192" i="57"/>
  <c r="AB188" i="57" a="1"/>
  <c r="AB188" i="57" s="1"/>
  <c r="K184" i="57"/>
  <c r="V184" i="57" s="1"/>
  <c r="H181" i="57"/>
  <c r="X176" i="57" a="1"/>
  <c r="X176" i="57" s="1"/>
  <c r="I173" i="57"/>
  <c r="AA173" i="57" s="1" a="1"/>
  <c r="AA173" i="57" s="1"/>
  <c r="H169" i="57"/>
  <c r="P165" i="57"/>
  <c r="P161" i="57"/>
  <c r="I158" i="57"/>
  <c r="H155" i="57"/>
  <c r="AB151" i="57" a="1"/>
  <c r="AB151" i="57" s="1"/>
  <c r="K148" i="57"/>
  <c r="T148" i="57" s="1"/>
  <c r="I145" i="57"/>
  <c r="AB141" i="57" a="1"/>
  <c r="AB141" i="57" s="1"/>
  <c r="X138" i="57" a="1"/>
  <c r="X138" i="57" s="1"/>
  <c r="P135" i="57"/>
  <c r="H132" i="57"/>
  <c r="H129" i="57"/>
  <c r="H126" i="57"/>
  <c r="H123" i="57"/>
  <c r="I120" i="57"/>
  <c r="AA120" i="57" s="1" a="1"/>
  <c r="AA120" i="57" s="1"/>
  <c r="I117" i="57"/>
  <c r="AA117" i="57" s="1" a="1"/>
  <c r="AA117" i="57" s="1"/>
  <c r="K114" i="57"/>
  <c r="R114" i="57" s="1"/>
  <c r="P111" i="57"/>
  <c r="X108" i="57" a="1"/>
  <c r="X108" i="57" s="1"/>
  <c r="AB105" i="57" a="1"/>
  <c r="AB105" i="57" s="1"/>
  <c r="H103" i="57"/>
  <c r="J103" i="57" s="1"/>
  <c r="K100" i="57"/>
  <c r="X97" i="57" a="1"/>
  <c r="X97" i="57" s="1"/>
  <c r="H95" i="57"/>
  <c r="K92" i="57"/>
  <c r="X89" i="57" a="1"/>
  <c r="X89" i="57" s="1"/>
  <c r="H87" i="57"/>
  <c r="K84" i="57"/>
  <c r="S84" i="57" s="1"/>
  <c r="X81" i="57" a="1"/>
  <c r="X81" i="57" s="1"/>
  <c r="H79" i="57"/>
  <c r="K75" i="57"/>
  <c r="V75" i="57" s="1"/>
  <c r="AB74" i="57" a="1"/>
  <c r="AB74" i="57" s="1"/>
  <c r="K72" i="57"/>
  <c r="O72" i="57" s="1"/>
  <c r="H69" i="57"/>
  <c r="X67" i="57" a="1"/>
  <c r="X67" i="57" s="1"/>
  <c r="H63" i="57"/>
  <c r="X525" i="57" a="1"/>
  <c r="X525" i="57" s="1"/>
  <c r="H515" i="57"/>
  <c r="X499" i="57" a="1"/>
  <c r="X499" i="57" s="1"/>
  <c r="X490" i="57" a="1"/>
  <c r="X490" i="57" s="1"/>
  <c r="X478" i="57" a="1"/>
  <c r="X478" i="57" s="1"/>
  <c r="P468" i="57"/>
  <c r="I457" i="57"/>
  <c r="AA457" i="57" s="1" a="1"/>
  <c r="AA457" i="57" s="1"/>
  <c r="I448" i="57"/>
  <c r="AA448" i="57" s="1" a="1"/>
  <c r="AA448" i="57" s="1"/>
  <c r="P437" i="57"/>
  <c r="I427" i="57"/>
  <c r="AA427" i="57" s="1" a="1"/>
  <c r="AA427" i="57" s="1"/>
  <c r="P414" i="57"/>
  <c r="H404" i="57"/>
  <c r="H524" i="57"/>
  <c r="AB510" i="57" a="1"/>
  <c r="AB510" i="57" s="1"/>
  <c r="P499" i="57"/>
  <c r="X489" i="57" a="1"/>
  <c r="X489" i="57" s="1"/>
  <c r="K478" i="57"/>
  <c r="K468" i="57"/>
  <c r="V468" i="57" s="1"/>
  <c r="H457" i="57"/>
  <c r="K447" i="57"/>
  <c r="H435" i="57"/>
  <c r="I425" i="57"/>
  <c r="H414" i="57"/>
  <c r="AB403" i="57" a="1"/>
  <c r="AB403" i="57" s="1"/>
  <c r="AB392" i="57" a="1"/>
  <c r="AB392" i="57" s="1"/>
  <c r="K382" i="57"/>
  <c r="V382" i="57" s="1"/>
  <c r="AB373" i="57" a="1"/>
  <c r="AB373" i="57" s="1"/>
  <c r="I363" i="57"/>
  <c r="AA363" i="57" s="1" a="1"/>
  <c r="AA363" i="57" s="1"/>
  <c r="P353" i="57"/>
  <c r="K342" i="57"/>
  <c r="R342" i="57" s="1"/>
  <c r="X334" i="57" a="1"/>
  <c r="X334" i="57" s="1"/>
  <c r="X323" i="57" a="1"/>
  <c r="X323" i="57" s="1"/>
  <c r="P316" i="57"/>
  <c r="K308" i="57"/>
  <c r="V308" i="57" s="1"/>
  <c r="K301" i="57"/>
  <c r="I294" i="57"/>
  <c r="P287" i="57"/>
  <c r="H281" i="57"/>
  <c r="X273" i="57" a="1"/>
  <c r="X273" i="57" s="1"/>
  <c r="H267" i="57"/>
  <c r="AB259" i="57" a="1"/>
  <c r="AB259" i="57" s="1"/>
  <c r="K253" i="57"/>
  <c r="O253" i="57" s="1"/>
  <c r="AB245" i="57" a="1"/>
  <c r="AB245" i="57" s="1"/>
  <c r="P240" i="57"/>
  <c r="I235" i="57"/>
  <c r="H231" i="57"/>
  <c r="AB225" i="57" a="1"/>
  <c r="AB225" i="57" s="1"/>
  <c r="P221" i="57"/>
  <c r="X217" i="57" a="1"/>
  <c r="X217" i="57" s="1"/>
  <c r="AB212" i="57" a="1"/>
  <c r="AB212" i="57" s="1"/>
  <c r="X208" i="57" a="1"/>
  <c r="X208" i="57" s="1"/>
  <c r="H204" i="57"/>
  <c r="K200" i="57"/>
  <c r="O200" i="57" s="1"/>
  <c r="X195" i="57" a="1"/>
  <c r="X195" i="57" s="1"/>
  <c r="H192" i="57"/>
  <c r="P187" i="57"/>
  <c r="AB183" i="57" a="1"/>
  <c r="AB183" i="57" s="1"/>
  <c r="AB179" i="57" a="1"/>
  <c r="AB179" i="57" s="1"/>
  <c r="I176" i="57"/>
  <c r="AA176" i="57" s="1" a="1"/>
  <c r="AA176" i="57" s="1"/>
  <c r="X172" i="57" a="1"/>
  <c r="X172" i="57" s="1"/>
  <c r="P168" i="57"/>
  <c r="H165" i="57"/>
  <c r="AB160" i="57" a="1"/>
  <c r="AB160" i="57" s="1"/>
  <c r="X157" i="57" a="1"/>
  <c r="X157" i="57" s="1"/>
  <c r="P154" i="57"/>
  <c r="H151" i="57"/>
  <c r="AB147" i="57" a="1"/>
  <c r="AB147" i="57" s="1"/>
  <c r="P144" i="57"/>
  <c r="K141" i="57"/>
  <c r="V141" i="57" s="1"/>
  <c r="I138" i="57"/>
  <c r="AA138" i="57" s="1" a="1"/>
  <c r="AA138" i="57" s="1"/>
  <c r="X134" i="57" a="1"/>
  <c r="X134" i="57" s="1"/>
  <c r="P131" i="57"/>
  <c r="P128" i="57"/>
  <c r="P125" i="57"/>
  <c r="X122" i="57" a="1"/>
  <c r="X122" i="57" s="1"/>
  <c r="P119" i="57"/>
  <c r="P116" i="57"/>
  <c r="AB113" i="57" a="1"/>
  <c r="AB113" i="57" s="1"/>
  <c r="H111" i="57"/>
  <c r="I108" i="57"/>
  <c r="K105" i="57"/>
  <c r="P102" i="57"/>
  <c r="AB99" i="57" a="1"/>
  <c r="AB99" i="57" s="1"/>
  <c r="I97" i="57"/>
  <c r="P94" i="57"/>
  <c r="AB91" i="57" a="1"/>
  <c r="AB91" i="57" s="1"/>
  <c r="I89" i="57"/>
  <c r="AA89" i="57" s="1" a="1"/>
  <c r="AA89" i="57" s="1"/>
  <c r="P86" i="57"/>
  <c r="AB83" i="57" a="1"/>
  <c r="AB83" i="57" s="1"/>
  <c r="I81" i="57"/>
  <c r="AA81" i="57" s="1" a="1"/>
  <c r="AA81" i="57" s="1"/>
  <c r="P78" i="57"/>
  <c r="K74" i="57"/>
  <c r="V74" i="57" s="1"/>
  <c r="AB73" i="57" a="1"/>
  <c r="AB73" i="57" s="1"/>
  <c r="P70" i="57"/>
  <c r="I67" i="57"/>
  <c r="AA67" i="57" s="1" a="1"/>
  <c r="AA67" i="57" s="1"/>
  <c r="X66" i="57" a="1"/>
  <c r="X66" i="57" s="1"/>
  <c r="I61" i="57"/>
  <c r="AB59" i="57" a="1"/>
  <c r="AB59" i="57" s="1"/>
  <c r="AB55" i="57" a="1"/>
  <c r="AB55" i="57" s="1"/>
  <c r="K52" i="57"/>
  <c r="K46" i="57"/>
  <c r="V46" i="57" s="1"/>
  <c r="AB45" i="57" a="1"/>
  <c r="AB45" i="57" s="1"/>
  <c r="H44" i="57"/>
  <c r="I41" i="57"/>
  <c r="X40" i="57" a="1"/>
  <c r="X40" i="57" s="1"/>
  <c r="I526" i="57"/>
  <c r="AA526" i="57" s="1" a="1"/>
  <c r="AA526" i="57" s="1"/>
  <c r="I508" i="57"/>
  <c r="AA508" i="57" s="1" a="1"/>
  <c r="AA508" i="57" s="1"/>
  <c r="AB487" i="57" a="1"/>
  <c r="AB487" i="57" s="1"/>
  <c r="AB472" i="57" a="1"/>
  <c r="AB472" i="57" s="1"/>
  <c r="I454" i="57"/>
  <c r="AA454" i="57" s="1" a="1"/>
  <c r="AA454" i="57" s="1"/>
  <c r="X437" i="57" a="1"/>
  <c r="X437" i="57" s="1"/>
  <c r="H420" i="57"/>
  <c r="P403" i="57"/>
  <c r="P388" i="57"/>
  <c r="X371" i="57" a="1"/>
  <c r="X371" i="57" s="1"/>
  <c r="P359" i="57"/>
  <c r="P342" i="57"/>
  <c r="H330" i="57"/>
  <c r="AB316" i="57" a="1"/>
  <c r="AB316" i="57" s="1"/>
  <c r="I306" i="57"/>
  <c r="AA306" i="57" s="1" a="1"/>
  <c r="AA306" i="57" s="1"/>
  <c r="X297" i="57" a="1"/>
  <c r="X297" i="57" s="1"/>
  <c r="H287" i="57"/>
  <c r="I277" i="57"/>
  <c r="AA277" i="57" s="1" a="1"/>
  <c r="AA277" i="57" s="1"/>
  <c r="H266" i="57"/>
  <c r="J266" i="57" s="1"/>
  <c r="P257" i="57"/>
  <c r="X245" i="57" a="1"/>
  <c r="X245" i="57" s="1"/>
  <c r="H238" i="57"/>
  <c r="I231" i="57"/>
  <c r="P224" i="57"/>
  <c r="H218" i="57"/>
  <c r="AB211" i="57" a="1"/>
  <c r="AB211" i="57" s="1"/>
  <c r="I206" i="57"/>
  <c r="I199" i="57"/>
  <c r="AA199" i="57" s="1" a="1"/>
  <c r="AA199" i="57" s="1"/>
  <c r="K194" i="57"/>
  <c r="H187" i="57"/>
  <c r="H182" i="57"/>
  <c r="H176" i="57"/>
  <c r="AB170" i="57" a="1"/>
  <c r="AB170" i="57" s="1"/>
  <c r="I165" i="57"/>
  <c r="AA165" i="57" s="1" a="1"/>
  <c r="AA165" i="57" s="1"/>
  <c r="H160" i="57"/>
  <c r="AB154" i="57" a="1"/>
  <c r="AB154" i="57" s="1"/>
  <c r="I150" i="57"/>
  <c r="AA150" i="57" s="1" a="1"/>
  <c r="AA150" i="57" s="1"/>
  <c r="I146" i="57"/>
  <c r="AA146" i="57" s="1" a="1"/>
  <c r="AA146" i="57" s="1"/>
  <c r="AB140" i="57" a="1"/>
  <c r="AB140" i="57" s="1"/>
  <c r="K136" i="57"/>
  <c r="I131" i="57"/>
  <c r="I127" i="57"/>
  <c r="AA127" i="57" s="1" a="1"/>
  <c r="AA127" i="57" s="1"/>
  <c r="P122" i="57"/>
  <c r="K118" i="57"/>
  <c r="V118" i="57" s="1"/>
  <c r="H114" i="57"/>
  <c r="I110" i="57"/>
  <c r="AA110" i="57" s="1" a="1"/>
  <c r="AA110" i="57" s="1"/>
  <c r="X105" i="57" a="1"/>
  <c r="X105" i="57" s="1"/>
  <c r="AB101" i="57" a="1"/>
  <c r="AB101" i="57" s="1"/>
  <c r="K98" i="57"/>
  <c r="O98" i="57" s="1"/>
  <c r="H94" i="57"/>
  <c r="P90" i="57"/>
  <c r="I86" i="57"/>
  <c r="X82" i="57" a="1"/>
  <c r="X82" i="57" s="1"/>
  <c r="K78" i="57"/>
  <c r="H72" i="57"/>
  <c r="X70" i="57" a="1"/>
  <c r="X70" i="57" s="1"/>
  <c r="P68" i="57"/>
  <c r="K64" i="57"/>
  <c r="X63" i="57" a="1"/>
  <c r="X63" i="57" s="1"/>
  <c r="X61" i="57" a="1"/>
  <c r="X61" i="57" s="1"/>
  <c r="K55" i="57"/>
  <c r="K49" i="57"/>
  <c r="O49" i="57" s="1"/>
  <c r="AB48" i="57" a="1"/>
  <c r="AB48" i="57" s="1"/>
  <c r="X44" i="57" a="1"/>
  <c r="X44" i="57" s="1"/>
  <c r="K41" i="57"/>
  <c r="V41" i="57" s="1"/>
  <c r="P40" i="57"/>
  <c r="H38" i="57"/>
  <c r="X36" i="57" a="1"/>
  <c r="X36" i="57" s="1"/>
  <c r="H34" i="57"/>
  <c r="P97" i="57"/>
  <c r="P82" i="57"/>
  <c r="K70" i="57"/>
  <c r="U70" i="57" s="1" a="1"/>
  <c r="U70" i="57" s="1"/>
  <c r="K68" i="57"/>
  <c r="I64" i="57"/>
  <c r="P61" i="57"/>
  <c r="X59" i="57" a="1"/>
  <c r="X59" i="57" s="1"/>
  <c r="I55" i="57"/>
  <c r="AA55" i="57" s="1" a="1"/>
  <c r="AA55" i="57" s="1"/>
  <c r="AB51" i="57" a="1"/>
  <c r="AB51" i="57" s="1"/>
  <c r="I49" i="57"/>
  <c r="AA49" i="57" s="1" a="1"/>
  <c r="AA49" i="57" s="1"/>
  <c r="X48" i="57" a="1"/>
  <c r="X48" i="57" s="1"/>
  <c r="P44" i="57"/>
  <c r="H41" i="57"/>
  <c r="K40" i="57"/>
  <c r="O40" i="57" s="1"/>
  <c r="AB39" i="57" a="1"/>
  <c r="AB39" i="57" s="1"/>
  <c r="G31" i="57"/>
  <c r="X39" i="57" a="1"/>
  <c r="X39" i="57" s="1"/>
  <c r="K36" i="57"/>
  <c r="D6" i="57"/>
  <c r="X505" i="57" a="1"/>
  <c r="X505" i="57" s="1"/>
  <c r="P453" i="57"/>
  <c r="K419" i="57"/>
  <c r="O419" i="57" s="1"/>
  <c r="I383" i="57"/>
  <c r="AA383" i="57" s="1" a="1"/>
  <c r="AA383" i="57" s="1"/>
  <c r="I356" i="57"/>
  <c r="AA356" i="57" s="1" a="1"/>
  <c r="AA356" i="57" s="1"/>
  <c r="AB328" i="57" a="1"/>
  <c r="AB328" i="57" s="1"/>
  <c r="X305" i="57" a="1"/>
  <c r="X305" i="57" s="1"/>
  <c r="P284" i="57"/>
  <c r="K264" i="57"/>
  <c r="O264" i="57" s="1"/>
  <c r="I245" i="57"/>
  <c r="H230" i="57"/>
  <c r="X210" i="57" a="1"/>
  <c r="X210" i="57" s="1"/>
  <c r="K198" i="57"/>
  <c r="O198" i="57" s="1"/>
  <c r="P186" i="57"/>
  <c r="P175" i="57"/>
  <c r="AB163" i="57" a="1"/>
  <c r="AB163" i="57" s="1"/>
  <c r="I154" i="57"/>
  <c r="AA154" i="57" s="1" a="1"/>
  <c r="AA154" i="57" s="1"/>
  <c r="K144" i="57"/>
  <c r="AB134" i="57" a="1"/>
  <c r="AB134" i="57" s="1"/>
  <c r="AB523" i="57" a="1"/>
  <c r="AB523" i="57" s="1"/>
  <c r="AB506" i="57" a="1"/>
  <c r="AB506" i="57" s="1"/>
  <c r="AB486" i="57" a="1"/>
  <c r="AB486" i="57" s="1"/>
  <c r="P472" i="57"/>
  <c r="AB453" i="57" a="1"/>
  <c r="AB453" i="57" s="1"/>
  <c r="H434" i="57"/>
  <c r="AB419" i="57" a="1"/>
  <c r="AB419" i="57" s="1"/>
  <c r="K403" i="57"/>
  <c r="K388" i="57"/>
  <c r="T388" i="57" s="1"/>
  <c r="I370" i="57"/>
  <c r="AA370" i="57" s="1" a="1"/>
  <c r="AA370" i="57" s="1"/>
  <c r="K358" i="57"/>
  <c r="S358" i="57" s="1"/>
  <c r="H342" i="57"/>
  <c r="AB329" i="57" a="1"/>
  <c r="AB329" i="57" s="1"/>
  <c r="X316" i="57" a="1"/>
  <c r="X316" i="57" s="1"/>
  <c r="H306" i="57"/>
  <c r="P295" i="57"/>
  <c r="I286" i="57"/>
  <c r="AA286" i="57" s="1" a="1"/>
  <c r="AA286" i="57" s="1"/>
  <c r="H277" i="57"/>
  <c r="AB265" i="57" a="1"/>
  <c r="AB265" i="57" s="1"/>
  <c r="I256" i="57"/>
  <c r="AA256" i="57" s="1" a="1"/>
  <c r="AA256" i="57" s="1"/>
  <c r="P245" i="57"/>
  <c r="AB237" i="57" a="1"/>
  <c r="AB237" i="57" s="1"/>
  <c r="AB230" i="57" a="1"/>
  <c r="AB230" i="57" s="1"/>
  <c r="K224" i="57"/>
  <c r="AB217" i="57" a="1"/>
  <c r="AB217" i="57" s="1"/>
  <c r="X211" i="57" a="1"/>
  <c r="X211" i="57" s="1"/>
  <c r="X204" i="57" a="1"/>
  <c r="X204" i="57" s="1"/>
  <c r="H199" i="57"/>
  <c r="K193" i="57"/>
  <c r="AB186" i="57" a="1"/>
  <c r="AB186" i="57" s="1"/>
  <c r="AB181" i="57" a="1"/>
  <c r="AB181" i="57" s="1"/>
  <c r="AB175" i="57" a="1"/>
  <c r="AB175" i="57" s="1"/>
  <c r="X170" i="57" a="1"/>
  <c r="X170" i="57" s="1"/>
  <c r="AB164" i="57" a="1"/>
  <c r="AB164" i="57" s="1"/>
  <c r="AB159" i="57" a="1"/>
  <c r="AB159" i="57" s="1"/>
  <c r="X154" i="57" a="1"/>
  <c r="X154" i="57" s="1"/>
  <c r="H150" i="57"/>
  <c r="AB144" i="57" a="1"/>
  <c r="AB144" i="57" s="1"/>
  <c r="K140" i="57"/>
  <c r="R140" i="57" s="1"/>
  <c r="I136" i="57"/>
  <c r="H131" i="57"/>
  <c r="H127" i="57"/>
  <c r="I122" i="57"/>
  <c r="AA122" i="57" s="1" a="1"/>
  <c r="AA122" i="57" s="1"/>
  <c r="I118" i="57"/>
  <c r="X113" i="57" a="1"/>
  <c r="X113" i="57" s="1"/>
  <c r="H110" i="57"/>
  <c r="P105" i="57"/>
  <c r="X101" i="57" a="1"/>
  <c r="X101" i="57" s="1"/>
  <c r="AB93" i="57" a="1"/>
  <c r="AB93" i="57" s="1"/>
  <c r="K90" i="57"/>
  <c r="H86" i="57"/>
  <c r="I78" i="57"/>
  <c r="AA78" i="57" s="1" a="1"/>
  <c r="AA78" i="57" s="1"/>
  <c r="P36" i="57"/>
  <c r="K485" i="57"/>
  <c r="T485" i="57" s="1"/>
  <c r="P523" i="57"/>
  <c r="X506" i="57" a="1"/>
  <c r="X506" i="57" s="1"/>
  <c r="P485" i="57"/>
  <c r="K469" i="57"/>
  <c r="O469" i="57" s="1"/>
  <c r="X453" i="57" a="1"/>
  <c r="X453" i="57" s="1"/>
  <c r="AB433" i="57" a="1"/>
  <c r="AB433" i="57" s="1"/>
  <c r="P419" i="57"/>
  <c r="I402" i="57"/>
  <c r="I388" i="57"/>
  <c r="X369" i="57" a="1"/>
  <c r="X369" i="57" s="1"/>
  <c r="AB357" i="57" a="1"/>
  <c r="AB357" i="57" s="1"/>
  <c r="AB340" i="57" a="1"/>
  <c r="AB340" i="57" s="1"/>
  <c r="K329" i="57"/>
  <c r="R329" i="57" s="1"/>
  <c r="H316" i="57"/>
  <c r="AB305" i="57" a="1"/>
  <c r="AB305" i="57" s="1"/>
  <c r="K295" i="57"/>
  <c r="P285" i="57"/>
  <c r="H274" i="57"/>
  <c r="P264" i="57"/>
  <c r="H256" i="57"/>
  <c r="K245" i="57"/>
  <c r="X237" i="57" a="1"/>
  <c r="X237" i="57" s="1"/>
  <c r="K230" i="57"/>
  <c r="I224" i="57"/>
  <c r="P216" i="57"/>
  <c r="P211" i="57"/>
  <c r="K204" i="57"/>
  <c r="U204" i="57" s="1" a="1"/>
  <c r="U204" i="57" s="1"/>
  <c r="P198" i="57"/>
  <c r="K192" i="57"/>
  <c r="X186" i="57" a="1"/>
  <c r="X186" i="57" s="1"/>
  <c r="X181" i="57" a="1"/>
  <c r="X181" i="57" s="1"/>
  <c r="X175" i="57" a="1"/>
  <c r="X175" i="57" s="1"/>
  <c r="P170" i="57"/>
  <c r="H164" i="57"/>
  <c r="X159" i="57" a="1"/>
  <c r="X159" i="57" s="1"/>
  <c r="K154" i="57"/>
  <c r="V154" i="57" s="1"/>
  <c r="AB149" i="57" a="1"/>
  <c r="AB149" i="57" s="1"/>
  <c r="X144" i="57" a="1"/>
  <c r="X144" i="57" s="1"/>
  <c r="I140" i="57"/>
  <c r="AA140" i="57" s="1" a="1"/>
  <c r="AA140" i="57" s="1"/>
  <c r="H135" i="57"/>
  <c r="AB130" i="57" a="1"/>
  <c r="AB130" i="57" s="1"/>
  <c r="AB126" i="57" a="1"/>
  <c r="AB126" i="57" s="1"/>
  <c r="H122" i="57"/>
  <c r="H118" i="57"/>
  <c r="P113" i="57"/>
  <c r="AB109" i="57" a="1"/>
  <c r="AB109" i="57" s="1"/>
  <c r="I105" i="57"/>
  <c r="AA105" i="57" s="1" a="1"/>
  <c r="AA105" i="57" s="1"/>
  <c r="P101" i="57"/>
  <c r="K97" i="57"/>
  <c r="T97" i="57" s="1"/>
  <c r="X93" i="57" a="1"/>
  <c r="X93" i="57" s="1"/>
  <c r="P89" i="57"/>
  <c r="AB85" i="57" a="1"/>
  <c r="AB85" i="57" s="1"/>
  <c r="K82" i="57"/>
  <c r="U82" i="57" s="1" a="1"/>
  <c r="U82" i="57" s="1"/>
  <c r="H78" i="57"/>
  <c r="I70" i="57"/>
  <c r="I68" i="57"/>
  <c r="AA68" i="57" s="1" a="1"/>
  <c r="AA68" i="57" s="1"/>
  <c r="K61" i="57"/>
  <c r="P59" i="57"/>
  <c r="H55" i="57"/>
  <c r="X51" i="57" a="1"/>
  <c r="X51" i="57" s="1"/>
  <c r="H49" i="57"/>
  <c r="P48" i="57"/>
  <c r="X47" i="57" a="1"/>
  <c r="X47" i="57" s="1"/>
  <c r="K44" i="57"/>
  <c r="T44" i="57" s="1"/>
  <c r="I40" i="57"/>
  <c r="AA40" i="57" s="1" a="1"/>
  <c r="AA40" i="57" s="1"/>
  <c r="F31" i="57"/>
  <c r="X522" i="57" a="1"/>
  <c r="X522" i="57" s="1"/>
  <c r="I468" i="57"/>
  <c r="X433" i="57" a="1"/>
  <c r="X433" i="57" s="1"/>
  <c r="P399" i="57"/>
  <c r="I369" i="57"/>
  <c r="AA369" i="57" s="1" a="1"/>
  <c r="AA369" i="57" s="1"/>
  <c r="X340" i="57" a="1"/>
  <c r="X340" i="57" s="1"/>
  <c r="P315" i="57"/>
  <c r="X293" i="57" a="1"/>
  <c r="X293" i="57" s="1"/>
  <c r="AB273" i="57" a="1"/>
  <c r="AB273" i="57" s="1"/>
  <c r="AB253" i="57" a="1"/>
  <c r="AB253" i="57" s="1"/>
  <c r="P237" i="57"/>
  <c r="K216" i="57"/>
  <c r="O216" i="57" s="1"/>
  <c r="AB203" i="57" a="1"/>
  <c r="AB203" i="57" s="1"/>
  <c r="I192" i="57"/>
  <c r="AA192" i="57" s="1" a="1"/>
  <c r="AA192" i="57" s="1"/>
  <c r="AB180" i="57" a="1"/>
  <c r="AB180" i="57" s="1"/>
  <c r="K170" i="57"/>
  <c r="T170" i="57" s="1"/>
  <c r="P159" i="57"/>
  <c r="X149" i="57" a="1"/>
  <c r="X149" i="57" s="1"/>
  <c r="H140" i="57"/>
  <c r="P522" i="57"/>
  <c r="K501" i="57"/>
  <c r="S501" i="57" s="1"/>
  <c r="H484" i="57"/>
  <c r="J484" i="57" s="1"/>
  <c r="I465" i="57"/>
  <c r="H452" i="57"/>
  <c r="P433" i="57"/>
  <c r="K417" i="57"/>
  <c r="R417" i="57" s="1"/>
  <c r="I399" i="57"/>
  <c r="AA399" i="57" s="1" a="1"/>
  <c r="AA399" i="57" s="1"/>
  <c r="AB382" i="57" a="1"/>
  <c r="AB382" i="57" s="1"/>
  <c r="H369" i="57"/>
  <c r="AB353" i="57" a="1"/>
  <c r="AB353" i="57" s="1"/>
  <c r="P340" i="57"/>
  <c r="AB327" i="57" a="1"/>
  <c r="AB327" i="57" s="1"/>
  <c r="X314" i="57" a="1"/>
  <c r="X314" i="57" s="1"/>
  <c r="I305" i="57"/>
  <c r="AA305" i="57" s="1" a="1"/>
  <c r="AA305" i="57" s="1"/>
  <c r="AB292" i="57" a="1"/>
  <c r="AB292" i="57" s="1"/>
  <c r="K284" i="57"/>
  <c r="R284" i="57" s="1"/>
  <c r="I273" i="57"/>
  <c r="H264" i="57"/>
  <c r="X253" i="57" a="1"/>
  <c r="X253" i="57" s="1"/>
  <c r="H245" i="57"/>
  <c r="X236" i="57" a="1"/>
  <c r="X236" i="57" s="1"/>
  <c r="AB229" i="57" a="1"/>
  <c r="AB229" i="57" s="1"/>
  <c r="AB223" i="57" a="1"/>
  <c r="AB223" i="57" s="1"/>
  <c r="H216" i="57"/>
  <c r="P210" i="57"/>
  <c r="X203" i="57" a="1"/>
  <c r="X203" i="57" s="1"/>
  <c r="I198" i="57"/>
  <c r="AB191" i="57" a="1"/>
  <c r="AB191" i="57" s="1"/>
  <c r="K186" i="57"/>
  <c r="S186" i="57" s="1"/>
  <c r="X180" i="57" a="1"/>
  <c r="X180" i="57" s="1"/>
  <c r="K175" i="57"/>
  <c r="P163" i="57"/>
  <c r="H159" i="57"/>
  <c r="J159" i="57" s="1"/>
  <c r="X153" i="57" a="1"/>
  <c r="X153" i="57" s="1"/>
  <c r="P149" i="57"/>
  <c r="I144" i="57"/>
  <c r="AB139" i="57" a="1"/>
  <c r="AB139" i="57" s="1"/>
  <c r="P134" i="57"/>
  <c r="P130" i="57"/>
  <c r="X125" i="57" a="1"/>
  <c r="X125" i="57" s="1"/>
  <c r="X121" i="57" a="1"/>
  <c r="X121" i="57" s="1"/>
  <c r="AB116" i="57" a="1"/>
  <c r="AB116" i="57" s="1"/>
  <c r="I113" i="57"/>
  <c r="AA113" i="57" s="1" a="1"/>
  <c r="AA113" i="57" s="1"/>
  <c r="P109" i="57"/>
  <c r="AB104" i="57" a="1"/>
  <c r="AB104" i="57" s="1"/>
  <c r="I101" i="57"/>
  <c r="AA101" i="57" s="1" a="1"/>
  <c r="AA101" i="57" s="1"/>
  <c r="AB96" i="57" a="1"/>
  <c r="AB96" i="57" s="1"/>
  <c r="K93" i="57"/>
  <c r="H89" i="57"/>
  <c r="P85" i="57"/>
  <c r="K81" i="57"/>
  <c r="X77" i="57" a="1"/>
  <c r="X77" i="57" s="1"/>
  <c r="I59" i="57"/>
  <c r="AA59" i="57" s="1" a="1"/>
  <c r="AA59" i="57" s="1"/>
  <c r="X57" i="57" a="1"/>
  <c r="X57" i="57" s="1"/>
  <c r="X54" i="57" a="1"/>
  <c r="X54" i="57" s="1"/>
  <c r="I51" i="57"/>
  <c r="AA51" i="57" s="1" a="1"/>
  <c r="AA51" i="57" s="1"/>
  <c r="H48" i="57"/>
  <c r="K47" i="57"/>
  <c r="S47" i="57" s="1"/>
  <c r="AB46" i="57" a="1"/>
  <c r="AB46" i="57" s="1"/>
  <c r="K39" i="57"/>
  <c r="U39" i="57" s="1" a="1"/>
  <c r="U39" i="57" s="1"/>
  <c r="H36" i="57"/>
  <c r="F30" i="57"/>
  <c r="P108" i="57"/>
  <c r="K85" i="57"/>
  <c r="P520" i="57"/>
  <c r="K499" i="57"/>
  <c r="U499" i="57" s="1" a="1"/>
  <c r="U499" i="57" s="1"/>
  <c r="AB483" i="57" a="1"/>
  <c r="AB483" i="57" s="1"/>
  <c r="H465" i="57"/>
  <c r="X449" i="57" a="1"/>
  <c r="X449" i="57" s="1"/>
  <c r="K433" i="57"/>
  <c r="X413" i="57" a="1"/>
  <c r="X413" i="57" s="1"/>
  <c r="P398" i="57"/>
  <c r="I382" i="57"/>
  <c r="AB368" i="57" a="1"/>
  <c r="AB368" i="57" s="1"/>
  <c r="X353" i="57" a="1"/>
  <c r="X353" i="57" s="1"/>
  <c r="H340" i="57"/>
  <c r="H325" i="57"/>
  <c r="K313" i="57"/>
  <c r="U313" i="57" s="1" a="1"/>
  <c r="U313" i="57" s="1"/>
  <c r="H305" i="57"/>
  <c r="X292" i="57" a="1"/>
  <c r="X292" i="57" s="1"/>
  <c r="X283" i="57" a="1"/>
  <c r="X283" i="57" s="1"/>
  <c r="H273" i="57"/>
  <c r="AB263" i="57" a="1"/>
  <c r="AB263" i="57" s="1"/>
  <c r="I253" i="57"/>
  <c r="AA253" i="57" s="1" a="1"/>
  <c r="AA253" i="57" s="1"/>
  <c r="AB244" i="57" a="1"/>
  <c r="AB244" i="57" s="1"/>
  <c r="K235" i="57"/>
  <c r="S235" i="57" s="1"/>
  <c r="H229" i="57"/>
  <c r="AB221" i="57" a="1"/>
  <c r="AB221" i="57" s="1"/>
  <c r="AB215" i="57" a="1"/>
  <c r="AB215" i="57" s="1"/>
  <c r="I210" i="57"/>
  <c r="AA210" i="57" s="1" a="1"/>
  <c r="AA210" i="57" s="1"/>
  <c r="P203" i="57"/>
  <c r="H198" i="57"/>
  <c r="X191" i="57" a="1"/>
  <c r="X191" i="57" s="1"/>
  <c r="I186" i="57"/>
  <c r="X179" i="57" a="1"/>
  <c r="X179" i="57" s="1"/>
  <c r="P174" i="57"/>
  <c r="X168" i="57" a="1"/>
  <c r="X168" i="57" s="1"/>
  <c r="K163" i="57"/>
  <c r="S163" i="57" s="1"/>
  <c r="H158" i="57"/>
  <c r="P153" i="57"/>
  <c r="K149" i="57"/>
  <c r="H144" i="57"/>
  <c r="P139" i="57"/>
  <c r="I134" i="57"/>
  <c r="AA134" i="57" s="1" a="1"/>
  <c r="AA134" i="57" s="1"/>
  <c r="K130" i="57"/>
  <c r="V130" i="57" s="1"/>
  <c r="K125" i="57"/>
  <c r="T125" i="57" s="1"/>
  <c r="P121" i="57"/>
  <c r="X116" i="57" a="1"/>
  <c r="X116" i="57" s="1"/>
  <c r="H113" i="57"/>
  <c r="X104" i="57" a="1"/>
  <c r="X104" i="57" s="1"/>
  <c r="H101" i="57"/>
  <c r="X96" i="57" a="1"/>
  <c r="X96" i="57" s="1"/>
  <c r="I93" i="57"/>
  <c r="AB88" i="57" a="1"/>
  <c r="AB88" i="57" s="1"/>
  <c r="AB533" i="57" a="1"/>
  <c r="AB533" i="57" s="1"/>
  <c r="I517" i="57"/>
  <c r="AA517" i="57" s="1" a="1"/>
  <c r="AA517" i="57" s="1"/>
  <c r="H518" i="57"/>
  <c r="AB490" i="57" a="1"/>
  <c r="AB490" i="57" s="1"/>
  <c r="X462" i="57" a="1"/>
  <c r="X462" i="57" s="1"/>
  <c r="X432" i="57" a="1"/>
  <c r="X432" i="57" s="1"/>
  <c r="X409" i="57" a="1"/>
  <c r="X409" i="57" s="1"/>
  <c r="X381" i="57" a="1"/>
  <c r="X381" i="57" s="1"/>
  <c r="P360" i="57"/>
  <c r="H335" i="57"/>
  <c r="J335" i="57" s="1"/>
  <c r="AB312" i="57" a="1"/>
  <c r="AB312" i="57" s="1"/>
  <c r="P298" i="57"/>
  <c r="I281" i="57"/>
  <c r="I267" i="57"/>
  <c r="K250" i="57"/>
  <c r="O250" i="57" s="1"/>
  <c r="AB234" i="57" a="1"/>
  <c r="AB234" i="57" s="1"/>
  <c r="X225" i="57" a="1"/>
  <c r="X225" i="57" s="1"/>
  <c r="P215" i="57"/>
  <c r="X206" i="57" a="1"/>
  <c r="X206" i="57" s="1"/>
  <c r="P195" i="57"/>
  <c r="I187" i="57"/>
  <c r="P178" i="57"/>
  <c r="I168" i="57"/>
  <c r="AA168" i="57" s="1" a="1"/>
  <c r="AA168" i="57" s="1"/>
  <c r="P160" i="57"/>
  <c r="X152" i="57" a="1"/>
  <c r="X152" i="57" s="1"/>
  <c r="K146" i="57"/>
  <c r="O146" i="57" s="1"/>
  <c r="K137" i="57"/>
  <c r="O137" i="57" s="1"/>
  <c r="H130" i="57"/>
  <c r="I124" i="57"/>
  <c r="AB117" i="57" a="1"/>
  <c r="AB117" i="57" s="1"/>
  <c r="K111" i="57"/>
  <c r="X106" i="57" a="1"/>
  <c r="X106" i="57" s="1"/>
  <c r="P99" i="57"/>
  <c r="K94" i="57"/>
  <c r="K88" i="57"/>
  <c r="I83" i="57"/>
  <c r="AA83" i="57" s="1" a="1"/>
  <c r="AA83" i="57" s="1"/>
  <c r="P77" i="57"/>
  <c r="X74" i="57" a="1"/>
  <c r="X74" i="57" s="1"/>
  <c r="X71" i="57" a="1"/>
  <c r="X71" i="57" s="1"/>
  <c r="X69" i="57" a="1"/>
  <c r="X69" i="57" s="1"/>
  <c r="H66" i="57"/>
  <c r="P65" i="57"/>
  <c r="AB61" i="57" a="1"/>
  <c r="AB61" i="57" s="1"/>
  <c r="H59" i="57"/>
  <c r="K57" i="57"/>
  <c r="P52" i="57"/>
  <c r="K50" i="57"/>
  <c r="U50" i="57" s="1" a="1"/>
  <c r="U50" i="57" s="1"/>
  <c r="AB49" i="57" a="1"/>
  <c r="AB49" i="57" s="1"/>
  <c r="I48" i="57"/>
  <c r="H47" i="57"/>
  <c r="J47" i="57" s="1"/>
  <c r="I46" i="57"/>
  <c r="P45" i="57"/>
  <c r="P43" i="57"/>
  <c r="AB42" i="57" a="1"/>
  <c r="AB42" i="57" s="1"/>
  <c r="P35" i="57"/>
  <c r="K45" i="57"/>
  <c r="U45" i="57" s="1" a="1"/>
  <c r="U45" i="57" s="1"/>
  <c r="X42" i="57" a="1"/>
  <c r="X42" i="57" s="1"/>
  <c r="K35" i="57"/>
  <c r="K353" i="57"/>
  <c r="V353" i="57" s="1"/>
  <c r="I215" i="57"/>
  <c r="AA215" i="57" s="1" a="1"/>
  <c r="AA215" i="57" s="1"/>
  <c r="X151" i="57" a="1"/>
  <c r="X151" i="57" s="1"/>
  <c r="X123" i="57" a="1"/>
  <c r="X123" i="57" s="1"/>
  <c r="I99" i="57"/>
  <c r="I77" i="57"/>
  <c r="H75" i="57"/>
  <c r="K71" i="57"/>
  <c r="X64" i="57" a="1"/>
  <c r="X64" i="57" s="1"/>
  <c r="H50" i="57"/>
  <c r="I43" i="57"/>
  <c r="AA43" i="57" s="1" a="1"/>
  <c r="AA43" i="57" s="1"/>
  <c r="AB41" i="57" a="1"/>
  <c r="AB41" i="57" s="1"/>
  <c r="P39" i="57"/>
  <c r="I35" i="57"/>
  <c r="AA35" i="57" s="1" a="1"/>
  <c r="AA35" i="57" s="1"/>
  <c r="P509" i="57"/>
  <c r="X448" i="57" a="1"/>
  <c r="X448" i="57" s="1"/>
  <c r="K424" i="57"/>
  <c r="O424" i="57" s="1"/>
  <c r="I395" i="57"/>
  <c r="AA395" i="57" s="1" a="1"/>
  <c r="AA395" i="57" s="1"/>
  <c r="I374" i="57"/>
  <c r="H349" i="57"/>
  <c r="AB324" i="57" a="1"/>
  <c r="AB324" i="57" s="1"/>
  <c r="P308" i="57"/>
  <c r="X291" i="57" a="1"/>
  <c r="X291" i="57" s="1"/>
  <c r="P277" i="57"/>
  <c r="H244" i="57"/>
  <c r="AB233" i="57" a="1"/>
  <c r="AB233" i="57" s="1"/>
  <c r="K221" i="57"/>
  <c r="V221" i="57" s="1"/>
  <c r="X212" i="57" a="1"/>
  <c r="X212" i="57" s="1"/>
  <c r="AB202" i="57" a="1"/>
  <c r="AB202" i="57" s="1"/>
  <c r="P194" i="57"/>
  <c r="H174" i="57"/>
  <c r="I157" i="57"/>
  <c r="AA157" i="57" s="1" a="1"/>
  <c r="AA157" i="57" s="1"/>
  <c r="P150" i="57"/>
  <c r="X142" i="57" a="1"/>
  <c r="X142" i="57" s="1"/>
  <c r="AB133" i="57" a="1"/>
  <c r="AB133" i="57" s="1"/>
  <c r="I121" i="57"/>
  <c r="X115" i="57" a="1"/>
  <c r="X115" i="57" s="1"/>
  <c r="X109" i="57" a="1"/>
  <c r="X109" i="57" s="1"/>
  <c r="P98" i="57"/>
  <c r="X91" i="57" a="1"/>
  <c r="X91" i="57" s="1"/>
  <c r="X86" i="57" a="1"/>
  <c r="X86" i="57" s="1"/>
  <c r="AB62" i="57" a="1"/>
  <c r="AB62" i="57" s="1"/>
  <c r="P58" i="57"/>
  <c r="I37" i="57"/>
  <c r="AA37" i="57" s="1" a="1"/>
  <c r="AA37" i="57" s="1"/>
  <c r="P34" i="57"/>
  <c r="K516" i="57"/>
  <c r="S516" i="57" s="1"/>
  <c r="H488" i="57"/>
  <c r="P462" i="57"/>
  <c r="P432" i="57"/>
  <c r="H409" i="57"/>
  <c r="AB379" i="57" a="1"/>
  <c r="AB379" i="57" s="1"/>
  <c r="X359" i="57" a="1"/>
  <c r="X359" i="57" s="1"/>
  <c r="AB334" i="57" a="1"/>
  <c r="AB334" i="57" s="1"/>
  <c r="H312" i="57"/>
  <c r="K298" i="57"/>
  <c r="AB279" i="57" a="1"/>
  <c r="AB279" i="57" s="1"/>
  <c r="AB266" i="57" a="1"/>
  <c r="AB266" i="57" s="1"/>
  <c r="H250" i="57"/>
  <c r="X234" i="57" a="1"/>
  <c r="X234" i="57" s="1"/>
  <c r="H225" i="57"/>
  <c r="J225" i="57" s="1"/>
  <c r="K215" i="57"/>
  <c r="O215" i="57" s="1"/>
  <c r="P206" i="57"/>
  <c r="K195" i="57"/>
  <c r="H186" i="57"/>
  <c r="K178" i="57"/>
  <c r="S178" i="57" s="1"/>
  <c r="H168" i="57"/>
  <c r="K160" i="57"/>
  <c r="T160" i="57" s="1"/>
  <c r="P152" i="57"/>
  <c r="AB143" i="57" a="1"/>
  <c r="AB143" i="57" s="1"/>
  <c r="I137" i="57"/>
  <c r="AB129" i="57" a="1"/>
  <c r="AB129" i="57" s="1"/>
  <c r="H124" i="57"/>
  <c r="K116" i="57"/>
  <c r="O116" i="57" s="1"/>
  <c r="I111" i="57"/>
  <c r="AA111" i="57" s="1" a="1"/>
  <c r="AA111" i="57" s="1"/>
  <c r="H105" i="57"/>
  <c r="K99" i="57"/>
  <c r="O99" i="57" s="1"/>
  <c r="I94" i="57"/>
  <c r="AA94" i="57" s="1" a="1"/>
  <c r="AA94" i="57" s="1"/>
  <c r="I88" i="57"/>
  <c r="H83" i="57"/>
  <c r="K77" i="57"/>
  <c r="S77" i="57" s="1"/>
  <c r="AB76" i="57" a="1"/>
  <c r="AB76" i="57" s="1"/>
  <c r="I75" i="57"/>
  <c r="AA75" i="57" s="1" a="1"/>
  <c r="AA75" i="57" s="1"/>
  <c r="P74" i="57"/>
  <c r="X73" i="57" a="1"/>
  <c r="X73" i="57" s="1"/>
  <c r="P71" i="57"/>
  <c r="K65" i="57"/>
  <c r="AB64" i="57" a="1"/>
  <c r="AB64" i="57" s="1"/>
  <c r="AB63" i="57" a="1"/>
  <c r="AB63" i="57" s="1"/>
  <c r="H61" i="57"/>
  <c r="I57" i="57"/>
  <c r="I52" i="57"/>
  <c r="AA52" i="57" s="1" a="1"/>
  <c r="AA52" i="57" s="1"/>
  <c r="I50" i="57"/>
  <c r="AA50" i="57" s="1" a="1"/>
  <c r="AA50" i="57" s="1"/>
  <c r="X49" i="57" a="1"/>
  <c r="X49" i="57" s="1"/>
  <c r="H46" i="57"/>
  <c r="K43" i="57"/>
  <c r="V43" i="57" s="1"/>
  <c r="I515" i="57"/>
  <c r="X483" i="57" a="1"/>
  <c r="X483" i="57" s="1"/>
  <c r="X457" i="57" a="1"/>
  <c r="X457" i="57" s="1"/>
  <c r="K432" i="57"/>
  <c r="S432" i="57" s="1"/>
  <c r="P404" i="57"/>
  <c r="AB377" i="57" a="1"/>
  <c r="AB377" i="57" s="1"/>
  <c r="I333" i="57"/>
  <c r="AB311" i="57" a="1"/>
  <c r="AB311" i="57" s="1"/>
  <c r="H298" i="57"/>
  <c r="X279" i="57" a="1"/>
  <c r="X279" i="57" s="1"/>
  <c r="X263" i="57" a="1"/>
  <c r="X263" i="57" s="1"/>
  <c r="P249" i="57"/>
  <c r="P234" i="57"/>
  <c r="AB224" i="57" a="1"/>
  <c r="AB224" i="57" s="1"/>
  <c r="K206" i="57"/>
  <c r="O206" i="57" s="1"/>
  <c r="I195" i="57"/>
  <c r="AA195" i="57" s="1" a="1"/>
  <c r="AA195" i="57" s="1"/>
  <c r="AB185" i="57" a="1"/>
  <c r="AB185" i="57" s="1"/>
  <c r="I178" i="57"/>
  <c r="AA178" i="57" s="1" a="1"/>
  <c r="AA178" i="57" s="1"/>
  <c r="AB167" i="57" a="1"/>
  <c r="AB167" i="57" s="1"/>
  <c r="I160" i="57"/>
  <c r="X143" i="57" a="1"/>
  <c r="X143" i="57" s="1"/>
  <c r="AB136" i="57" a="1"/>
  <c r="AB136" i="57" s="1"/>
  <c r="AB128" i="57" a="1"/>
  <c r="AB128" i="57" s="1"/>
  <c r="I116" i="57"/>
  <c r="AB110" i="57" a="1"/>
  <c r="AB110" i="57" s="1"/>
  <c r="P104" i="57"/>
  <c r="P93" i="57"/>
  <c r="H88" i="57"/>
  <c r="AB82" i="57" a="1"/>
  <c r="AB82" i="57" s="1"/>
  <c r="X76" i="57" a="1"/>
  <c r="X76" i="57" s="1"/>
  <c r="I74" i="57"/>
  <c r="AA74" i="57" s="1" a="1"/>
  <c r="AA74" i="57" s="1"/>
  <c r="P73" i="57"/>
  <c r="I65" i="57"/>
  <c r="AA65" i="57" s="1" a="1"/>
  <c r="AA65" i="57" s="1"/>
  <c r="H57" i="57"/>
  <c r="H52" i="57"/>
  <c r="P49" i="57"/>
  <c r="I45" i="57"/>
  <c r="AA45" i="57" s="1" a="1"/>
  <c r="AA45" i="57" s="1"/>
  <c r="K42" i="57"/>
  <c r="AB37" i="57" a="1"/>
  <c r="AB37" i="57" s="1"/>
  <c r="X34" i="57" a="1"/>
  <c r="X34" i="57" s="1"/>
  <c r="K259" i="57"/>
  <c r="O259" i="57" s="1"/>
  <c r="X183" i="57" a="1"/>
  <c r="X183" i="57" s="1"/>
  <c r="H128" i="57"/>
  <c r="X103" i="57" a="1"/>
  <c r="X103" i="57" s="1"/>
  <c r="X80" i="57" a="1"/>
  <c r="X80" i="57" s="1"/>
  <c r="X68" i="57" a="1"/>
  <c r="X68" i="57" s="1"/>
  <c r="AB60" i="57" a="1"/>
  <c r="AB60" i="57" s="1"/>
  <c r="X510" i="57" a="1"/>
  <c r="X510" i="57" s="1"/>
  <c r="P483" i="57"/>
  <c r="AB456" i="57" a="1"/>
  <c r="AB456" i="57" s="1"/>
  <c r="X428" i="57" a="1"/>
  <c r="X428" i="57" s="1"/>
  <c r="X403" i="57" a="1"/>
  <c r="X403" i="57" s="1"/>
  <c r="X377" i="57" a="1"/>
  <c r="X377" i="57" s="1"/>
  <c r="K350" i="57"/>
  <c r="T350" i="57" s="1"/>
  <c r="P332" i="57"/>
  <c r="X311" i="57" a="1"/>
  <c r="X311" i="57" s="1"/>
  <c r="AB297" i="57" a="1"/>
  <c r="AB297" i="57" s="1"/>
  <c r="P278" i="57"/>
  <c r="P263" i="57"/>
  <c r="K249" i="57"/>
  <c r="U249" i="57" s="1" a="1"/>
  <c r="U249" i="57" s="1"/>
  <c r="K234" i="57"/>
  <c r="V234" i="57" s="1"/>
  <c r="X224" i="57" a="1"/>
  <c r="X224" i="57" s="1"/>
  <c r="H215" i="57"/>
  <c r="K203" i="57"/>
  <c r="U203" i="57" s="1" a="1"/>
  <c r="U203" i="57" s="1"/>
  <c r="H195" i="57"/>
  <c r="I184" i="57"/>
  <c r="AA184" i="57" s="1" a="1"/>
  <c r="AA184" i="57" s="1"/>
  <c r="P176" i="57"/>
  <c r="X167" i="57" a="1"/>
  <c r="X167" i="57" s="1"/>
  <c r="AB157" i="57" a="1"/>
  <c r="AB157" i="57" s="1"/>
  <c r="P151" i="57"/>
  <c r="P143" i="57"/>
  <c r="X136" i="57" a="1"/>
  <c r="X136" i="57" s="1"/>
  <c r="X128" i="57" a="1"/>
  <c r="X128" i="57" s="1"/>
  <c r="H116" i="57"/>
  <c r="X110" i="57" a="1"/>
  <c r="X110" i="57" s="1"/>
  <c r="K104" i="57"/>
  <c r="O104" i="57" s="1"/>
  <c r="H99" i="57"/>
  <c r="H93" i="57"/>
  <c r="AB87" i="57" a="1"/>
  <c r="AB87" i="57" s="1"/>
  <c r="P81" i="57"/>
  <c r="H77" i="57"/>
  <c r="P76" i="57"/>
  <c r="H74" i="57"/>
  <c r="K73" i="57"/>
  <c r="O73" i="57" s="1"/>
  <c r="I71" i="57"/>
  <c r="AA71" i="57" s="1" a="1"/>
  <c r="AA71" i="57" s="1"/>
  <c r="H65" i="57"/>
  <c r="P64" i="57"/>
  <c r="X56" i="57" a="1"/>
  <c r="X56" i="57" s="1"/>
  <c r="H45" i="57"/>
  <c r="I42" i="57"/>
  <c r="AB40" i="57" a="1"/>
  <c r="AB40" i="57" s="1"/>
  <c r="I39" i="57"/>
  <c r="AA39" i="57" s="1" a="1"/>
  <c r="AA39" i="57" s="1"/>
  <c r="X37" i="57" a="1"/>
  <c r="X37" i="57" s="1"/>
  <c r="H35" i="57"/>
  <c r="J35" i="57" s="1"/>
  <c r="H42" i="57"/>
  <c r="H40" i="57"/>
  <c r="P37" i="57"/>
  <c r="AB34" i="57" a="1"/>
  <c r="AB34" i="57" s="1"/>
  <c r="K37" i="57"/>
  <c r="I510" i="57"/>
  <c r="AA510" i="57" s="1" a="1"/>
  <c r="AA510" i="57" s="1"/>
  <c r="AB478" i="57" a="1"/>
  <c r="AB478" i="57" s="1"/>
  <c r="H455" i="57"/>
  <c r="J455" i="57" s="1"/>
  <c r="K427" i="57"/>
  <c r="K398" i="57"/>
  <c r="U398" i="57" s="1" a="1"/>
  <c r="U398" i="57" s="1"/>
  <c r="K377" i="57"/>
  <c r="I350" i="57"/>
  <c r="AA350" i="57" s="1" a="1"/>
  <c r="AA350" i="57" s="1"/>
  <c r="P331" i="57"/>
  <c r="I311" i="57"/>
  <c r="AA311" i="57" s="1" a="1"/>
  <c r="AA311" i="57" s="1"/>
  <c r="K292" i="57"/>
  <c r="S292" i="57" s="1"/>
  <c r="K278" i="57"/>
  <c r="R278" i="57" s="1"/>
  <c r="X260" i="57" a="1"/>
  <c r="X260" i="57" s="1"/>
  <c r="I234" i="57"/>
  <c r="AA234" i="57" s="1" a="1"/>
  <c r="AA234" i="57" s="1"/>
  <c r="H224" i="57"/>
  <c r="I213" i="57"/>
  <c r="I203" i="57"/>
  <c r="AB194" i="57" a="1"/>
  <c r="AB194" i="57" s="1"/>
  <c r="H184" i="57"/>
  <c r="K176" i="57"/>
  <c r="P167" i="57"/>
  <c r="P157" i="57"/>
  <c r="AB150" i="57" a="1"/>
  <c r="AB150" i="57" s="1"/>
  <c r="H143" i="57"/>
  <c r="P136" i="57"/>
  <c r="K128" i="57"/>
  <c r="R128" i="57" s="1"/>
  <c r="AB122" i="57" a="1"/>
  <c r="AB122" i="57" s="1"/>
  <c r="P110" i="57"/>
  <c r="I104" i="57"/>
  <c r="AA104" i="57" s="1" a="1"/>
  <c r="AA104" i="57" s="1"/>
  <c r="AB98" i="57" a="1"/>
  <c r="AB98" i="57" s="1"/>
  <c r="I92" i="57"/>
  <c r="X87" i="57" a="1"/>
  <c r="X87" i="57" s="1"/>
  <c r="H81" i="57"/>
  <c r="I73" i="57"/>
  <c r="H71" i="57"/>
  <c r="P56" i="57"/>
  <c r="X41" i="57" a="1"/>
  <c r="X41" i="57" s="1"/>
  <c r="H39" i="57"/>
  <c r="K56" i="57"/>
  <c r="X509" i="57" a="1"/>
  <c r="X509" i="57" s="1"/>
  <c r="AB477" i="57" a="1"/>
  <c r="AB477" i="57" s="1"/>
  <c r="AB454" i="57" a="1"/>
  <c r="AB454" i="57" s="1"/>
  <c r="H425" i="57"/>
  <c r="AB397" i="57" a="1"/>
  <c r="AB397" i="57" s="1"/>
  <c r="I377" i="57"/>
  <c r="AA377" i="57" s="1" a="1"/>
  <c r="AA377" i="57" s="1"/>
  <c r="AB349" i="57" a="1"/>
  <c r="AB349" i="57" s="1"/>
  <c r="K331" i="57"/>
  <c r="R331" i="57" s="1"/>
  <c r="K309" i="57"/>
  <c r="AB291" i="57" a="1"/>
  <c r="AB291" i="57" s="1"/>
  <c r="X277" i="57" a="1"/>
  <c r="X277" i="57" s="1"/>
  <c r="H260" i="57"/>
  <c r="I246" i="57"/>
  <c r="AA246" i="57" s="1" a="1"/>
  <c r="AA246" i="57" s="1"/>
  <c r="H234" i="57"/>
  <c r="X221" i="57" a="1"/>
  <c r="X221" i="57" s="1"/>
  <c r="H213" i="57"/>
  <c r="H203" i="57"/>
  <c r="X194" i="57" a="1"/>
  <c r="X194" i="57" s="1"/>
  <c r="K174" i="57"/>
  <c r="X166" i="57" a="1"/>
  <c r="X166" i="57" s="1"/>
  <c r="K157" i="57"/>
  <c r="O157" i="57" s="1"/>
  <c r="X150" i="57" a="1"/>
  <c r="X150" i="57" s="1"/>
  <c r="AB142" i="57" a="1"/>
  <c r="AB142" i="57" s="1"/>
  <c r="H134" i="57"/>
  <c r="I128" i="57"/>
  <c r="AA128" i="57" s="1" a="1"/>
  <c r="AA128" i="57" s="1"/>
  <c r="AB121" i="57" a="1"/>
  <c r="AB121" i="57" s="1"/>
  <c r="AB115" i="57" a="1"/>
  <c r="AB115" i="57" s="1"/>
  <c r="K110" i="57"/>
  <c r="H104" i="57"/>
  <c r="X98" i="57" a="1"/>
  <c r="X98" i="57" s="1"/>
  <c r="H92" i="57"/>
  <c r="AB86" i="57" a="1"/>
  <c r="AB86" i="57" s="1"/>
  <c r="AB80" i="57" a="1"/>
  <c r="AB80" i="57" s="1"/>
  <c r="H73" i="57"/>
  <c r="AB68" i="57" a="1"/>
  <c r="AB68" i="57" s="1"/>
  <c r="X58" i="57" a="1"/>
  <c r="X58" i="57" s="1"/>
  <c r="P41" i="57"/>
  <c r="P166" i="57"/>
  <c r="X533" i="57" a="1"/>
  <c r="X533" i="57" s="1"/>
  <c r="I499" i="57"/>
  <c r="P476" i="57"/>
  <c r="P446" i="57"/>
  <c r="X422" i="57" a="1"/>
  <c r="X422" i="57" s="1"/>
  <c r="X392" i="57" a="1"/>
  <c r="X392" i="57" s="1"/>
  <c r="K368" i="57"/>
  <c r="O368" i="57" s="1"/>
  <c r="X348" i="57" a="1"/>
  <c r="X348" i="57" s="1"/>
  <c r="K322" i="57"/>
  <c r="U322" i="57" s="1" a="1"/>
  <c r="U322" i="57" s="1"/>
  <c r="X306" i="57" a="1"/>
  <c r="X306" i="57" s="1"/>
  <c r="H291" i="57"/>
  <c r="AB272" i="57" a="1"/>
  <c r="AB272" i="57" s="1"/>
  <c r="H259" i="57"/>
  <c r="K242" i="57"/>
  <c r="O242" i="57" s="1"/>
  <c r="P233" i="57"/>
  <c r="H221" i="57"/>
  <c r="K212" i="57"/>
  <c r="S212" i="57" s="1"/>
  <c r="AB201" i="57" a="1"/>
  <c r="AB201" i="57" s="1"/>
  <c r="P190" i="57"/>
  <c r="K183" i="57"/>
  <c r="V183" i="57" s="1"/>
  <c r="H173" i="57"/>
  <c r="K165" i="57"/>
  <c r="AB156" i="57" a="1"/>
  <c r="AB156" i="57" s="1"/>
  <c r="H148" i="57"/>
  <c r="P141" i="57"/>
  <c r="P133" i="57"/>
  <c r="X127" i="57" a="1"/>
  <c r="X127" i="57" s="1"/>
  <c r="AB120" i="57" a="1"/>
  <c r="AB120" i="57" s="1"/>
  <c r="K115" i="57"/>
  <c r="U115" i="57" s="1" a="1"/>
  <c r="U115" i="57" s="1"/>
  <c r="H108" i="57"/>
  <c r="X102" i="57" a="1"/>
  <c r="X102" i="57" s="1"/>
  <c r="P96" i="57"/>
  <c r="K91" i="57"/>
  <c r="X85" i="57" a="1"/>
  <c r="X85" i="57" s="1"/>
  <c r="K80" i="57"/>
  <c r="P62" i="57"/>
  <c r="P60" i="57"/>
  <c r="I58" i="57"/>
  <c r="AA58" i="57" s="1" a="1"/>
  <c r="AA58" i="57" s="1"/>
  <c r="X55" i="57" a="1"/>
  <c r="X55" i="57" s="1"/>
  <c r="H51" i="57"/>
  <c r="AB44" i="57" a="1"/>
  <c r="AB44" i="57" s="1"/>
  <c r="I34" i="57"/>
  <c r="AA34" i="57" s="1" a="1"/>
  <c r="AA34" i="57" s="1"/>
  <c r="P533" i="57"/>
  <c r="H499" i="57"/>
  <c r="X475" i="57" a="1"/>
  <c r="X475" i="57" s="1"/>
  <c r="AB443" i="57" a="1"/>
  <c r="AB443" i="57" s="1"/>
  <c r="P422" i="57"/>
  <c r="K392" i="57"/>
  <c r="V392" i="57" s="1"/>
  <c r="P367" i="57"/>
  <c r="P348" i="57"/>
  <c r="I322" i="57"/>
  <c r="AA322" i="57" s="1" a="1"/>
  <c r="AA322" i="57" s="1"/>
  <c r="K306" i="57"/>
  <c r="AB290" i="57" a="1"/>
  <c r="AB290" i="57" s="1"/>
  <c r="K272" i="57"/>
  <c r="AB258" i="57" a="1"/>
  <c r="AB258" i="57" s="1"/>
  <c r="H241" i="57"/>
  <c r="K231" i="57"/>
  <c r="AB220" i="57" a="1"/>
  <c r="AB220" i="57" s="1"/>
  <c r="H209" i="57"/>
  <c r="X200" i="57" a="1"/>
  <c r="X200" i="57" s="1"/>
  <c r="K190" i="57"/>
  <c r="V190" i="57" s="1"/>
  <c r="P182" i="57"/>
  <c r="AB172" i="57" a="1"/>
  <c r="AB172" i="57" s="1"/>
  <c r="I163" i="57"/>
  <c r="AA163" i="57" s="1" a="1"/>
  <c r="AA163" i="57" s="1"/>
  <c r="K156" i="57"/>
  <c r="T156" i="57" s="1"/>
  <c r="P147" i="57"/>
  <c r="I141" i="57"/>
  <c r="K133" i="57"/>
  <c r="T133" i="57" s="1"/>
  <c r="K127" i="57"/>
  <c r="H120" i="57"/>
  <c r="J120" i="57" s="1"/>
  <c r="I115" i="57"/>
  <c r="AB107" i="57" a="1"/>
  <c r="AB107" i="57" s="1"/>
  <c r="K102" i="57"/>
  <c r="K96" i="57"/>
  <c r="R96" i="57" s="1"/>
  <c r="I91" i="57"/>
  <c r="AA91" i="57" s="1" a="1"/>
  <c r="AA91" i="57" s="1"/>
  <c r="I85" i="57"/>
  <c r="AA85" i="57" s="1" a="1"/>
  <c r="AA85" i="57" s="1"/>
  <c r="I80" i="57"/>
  <c r="J80" i="57" s="1"/>
  <c r="AB70" i="57" a="1"/>
  <c r="AB70" i="57" s="1"/>
  <c r="K62" i="57"/>
  <c r="O62" i="57" s="1"/>
  <c r="K60" i="57"/>
  <c r="V60" i="57" s="1"/>
  <c r="H58" i="57"/>
  <c r="P55" i="57"/>
  <c r="I44" i="57"/>
  <c r="AA44" i="57" s="1" a="1"/>
  <c r="AA44" i="57" s="1"/>
  <c r="AB38" i="57" a="1"/>
  <c r="AB38" i="57" s="1"/>
  <c r="G30" i="57"/>
  <c r="AB36" i="57" a="1"/>
  <c r="AB36" i="57" s="1"/>
  <c r="K58" i="57"/>
  <c r="I72" i="57"/>
  <c r="AA72" i="57" s="1" a="1"/>
  <c r="AA72" i="57" s="1"/>
  <c r="K83" i="57"/>
  <c r="V83" i="57" s="1"/>
  <c r="P107" i="57"/>
  <c r="AB119" i="57" a="1"/>
  <c r="AB119" i="57" s="1"/>
  <c r="K171" i="57"/>
  <c r="V171" i="57" s="1"/>
  <c r="AB239" i="57" a="1"/>
  <c r="AB239" i="57" s="1"/>
  <c r="H53" i="57"/>
  <c r="J53" i="57" s="1"/>
  <c r="H96" i="57"/>
  <c r="AB155" i="57" a="1"/>
  <c r="AB155" i="57" s="1"/>
  <c r="H219" i="57"/>
  <c r="K277" i="57"/>
  <c r="O277" i="57" s="1"/>
  <c r="K363" i="57"/>
  <c r="H494" i="57"/>
  <c r="J494" i="57" s="1"/>
  <c r="H84" i="57"/>
  <c r="K112" i="57"/>
  <c r="O112" i="57" s="1"/>
  <c r="K124" i="57"/>
  <c r="V124" i="57" s="1"/>
  <c r="K138" i="57"/>
  <c r="V138" i="57" s="1"/>
  <c r="H156" i="57"/>
  <c r="AB52" i="57" a="1"/>
  <c r="AB52" i="57" s="1"/>
  <c r="I156" i="57"/>
  <c r="AA156" i="57" s="1" a="1"/>
  <c r="AA156" i="57" s="1"/>
  <c r="X43" i="57" a="1"/>
  <c r="X43" i="57" s="1"/>
  <c r="P50" i="57"/>
  <c r="AB53" i="57" a="1"/>
  <c r="AB53" i="57" s="1"/>
  <c r="P54" i="57"/>
  <c r="X62" i="57" a="1"/>
  <c r="X62" i="57" s="1"/>
  <c r="AB65" i="57" a="1"/>
  <c r="AB65" i="57" s="1"/>
  <c r="P66" i="57"/>
  <c r="K67" i="57"/>
  <c r="T67" i="57" s="1"/>
  <c r="H70" i="57"/>
  <c r="K86" i="57"/>
  <c r="H100" i="57"/>
  <c r="AB112" i="57" a="1"/>
  <c r="AB112" i="57" s="1"/>
  <c r="H125" i="57"/>
  <c r="H141" i="57"/>
  <c r="X160" i="57" a="1"/>
  <c r="X160" i="57" s="1"/>
  <c r="H179" i="57"/>
  <c r="I200" i="57"/>
  <c r="AA200" i="57" s="1" a="1"/>
  <c r="AA200" i="57" s="1"/>
  <c r="I221" i="57"/>
  <c r="AA221" i="57" s="1" a="1"/>
  <c r="AA221" i="57" s="1"/>
  <c r="K251" i="57"/>
  <c r="S251" i="57" s="1"/>
  <c r="K287" i="57"/>
  <c r="O287" i="57" s="1"/>
  <c r="H322" i="57"/>
  <c r="AB381" i="57" a="1"/>
  <c r="AB381" i="57" s="1"/>
  <c r="AB441" i="57" a="1"/>
  <c r="AB441" i="57" s="1"/>
  <c r="X498" i="57" a="1"/>
  <c r="X498" i="57" s="1"/>
  <c r="AB507" i="57" a="1"/>
  <c r="AB507" i="57" s="1"/>
  <c r="H512" i="57"/>
  <c r="P515" i="57"/>
  <c r="H519" i="57"/>
  <c r="I523" i="57"/>
  <c r="AA523" i="57" s="1" a="1"/>
  <c r="AA523" i="57" s="1"/>
  <c r="X526" i="57" a="1"/>
  <c r="X526" i="57" s="1"/>
  <c r="AB530" i="57" a="1"/>
  <c r="AB530" i="57" s="1"/>
  <c r="K493" i="57"/>
  <c r="T493" i="57" s="1"/>
  <c r="AB496" i="57" a="1"/>
  <c r="AB496" i="57" s="1"/>
  <c r="K500" i="57"/>
  <c r="O500" i="57" s="1"/>
  <c r="P504" i="57"/>
  <c r="H508" i="57"/>
  <c r="I512" i="57"/>
  <c r="AA512" i="57" s="1" a="1"/>
  <c r="AA512" i="57" s="1"/>
  <c r="X515" i="57" a="1"/>
  <c r="X515" i="57" s="1"/>
  <c r="AB519" i="57" a="1"/>
  <c r="AB519" i="57" s="1"/>
  <c r="K523" i="57"/>
  <c r="AB526" i="57" a="1"/>
  <c r="AB526" i="57" s="1"/>
  <c r="C6" i="58"/>
  <c r="D6" i="59" s="1"/>
  <c r="D4" i="57"/>
  <c r="H533" i="57"/>
  <c r="K530" i="57"/>
  <c r="X527" i="57" a="1"/>
  <c r="X527" i="57" s="1"/>
  <c r="H525" i="57"/>
  <c r="K522" i="57"/>
  <c r="X519" i="57" a="1"/>
  <c r="X519" i="57" s="1"/>
  <c r="H517" i="57"/>
  <c r="K514" i="57"/>
  <c r="R514" i="57" s="1"/>
  <c r="X511" i="57" a="1"/>
  <c r="X511" i="57" s="1"/>
  <c r="H509" i="57"/>
  <c r="K506" i="57"/>
  <c r="R506" i="57" s="1"/>
  <c r="X503" i="57" a="1"/>
  <c r="X503" i="57" s="1"/>
  <c r="H501" i="57"/>
  <c r="K498" i="57"/>
  <c r="T498" i="57" s="1"/>
  <c r="X495" i="57" a="1"/>
  <c r="X495" i="57" s="1"/>
  <c r="H493" i="57"/>
  <c r="K490" i="57"/>
  <c r="S490" i="57" s="1"/>
  <c r="X487" i="57" a="1"/>
  <c r="X487" i="57" s="1"/>
  <c r="H485" i="57"/>
  <c r="K482" i="57"/>
  <c r="X479" i="57" a="1"/>
  <c r="X479" i="57" s="1"/>
  <c r="I477" i="57"/>
  <c r="AA477" i="57" s="1" a="1"/>
  <c r="AA477" i="57" s="1"/>
  <c r="P474" i="57"/>
  <c r="AB471" i="57" a="1"/>
  <c r="AB471" i="57" s="1"/>
  <c r="I469" i="57"/>
  <c r="AA469" i="57" s="1" a="1"/>
  <c r="AA469" i="57" s="1"/>
  <c r="P466" i="57"/>
  <c r="AB463" i="57" a="1"/>
  <c r="AB463" i="57" s="1"/>
  <c r="I461" i="57"/>
  <c r="P458" i="57"/>
  <c r="AB455" i="57" a="1"/>
  <c r="AB455" i="57" s="1"/>
  <c r="I453" i="57"/>
  <c r="AA453" i="57" s="1" a="1"/>
  <c r="AA453" i="57" s="1"/>
  <c r="P450" i="57"/>
  <c r="H448" i="57"/>
  <c r="K445" i="57"/>
  <c r="X442" i="57" a="1"/>
  <c r="X442" i="57" s="1"/>
  <c r="H440" i="57"/>
  <c r="K437" i="57"/>
  <c r="O437" i="57" s="1"/>
  <c r="X434" i="57" a="1"/>
  <c r="X434" i="57" s="1"/>
  <c r="H432" i="57"/>
  <c r="P429" i="57"/>
  <c r="AB426" i="57" a="1"/>
  <c r="AB426" i="57" s="1"/>
  <c r="I424" i="57"/>
  <c r="P421" i="57"/>
  <c r="AB418" i="57" a="1"/>
  <c r="AB418" i="57" s="1"/>
  <c r="I416" i="57"/>
  <c r="P413" i="57"/>
  <c r="AB410" i="57" a="1"/>
  <c r="AB410" i="57" s="1"/>
  <c r="I408" i="57"/>
  <c r="P405" i="57"/>
  <c r="AB402" i="57" a="1"/>
  <c r="AB402" i="57" s="1"/>
  <c r="I400" i="57"/>
  <c r="AA400" i="57" s="1" a="1"/>
  <c r="AA400" i="57" s="1"/>
  <c r="P397" i="57"/>
  <c r="AB394" i="57" a="1"/>
  <c r="AB394" i="57" s="1"/>
  <c r="I392" i="57"/>
  <c r="AA392" i="57" s="1" a="1"/>
  <c r="AA392" i="57" s="1"/>
  <c r="P389" i="57"/>
  <c r="AB386" i="57" a="1"/>
  <c r="AB386" i="57" s="1"/>
  <c r="I384" i="57"/>
  <c r="AA384" i="57" s="1" a="1"/>
  <c r="AA384" i="57" s="1"/>
  <c r="P381" i="57"/>
  <c r="AB378" i="57" a="1"/>
  <c r="AB378" i="57" s="1"/>
  <c r="I376" i="57"/>
  <c r="P373" i="57"/>
  <c r="AB370" i="57" a="1"/>
  <c r="AB370" i="57" s="1"/>
  <c r="I368" i="57"/>
  <c r="P365" i="57"/>
  <c r="AB362" i="57" a="1"/>
  <c r="AB362" i="57" s="1"/>
  <c r="K360" i="57"/>
  <c r="S360" i="57" s="1"/>
  <c r="X357" i="57" a="1"/>
  <c r="X357" i="57" s="1"/>
  <c r="H355" i="57"/>
  <c r="K352" i="57"/>
  <c r="U352" i="57" s="1" a="1"/>
  <c r="U352" i="57" s="1"/>
  <c r="X349" i="57" a="1"/>
  <c r="X349" i="57" s="1"/>
  <c r="H347" i="57"/>
  <c r="J347" i="57" s="1"/>
  <c r="P344" i="57"/>
  <c r="AB341" i="57" a="1"/>
  <c r="AB341" i="57" s="1"/>
  <c r="I339" i="57"/>
  <c r="P336" i="57"/>
  <c r="AB333" i="57" a="1"/>
  <c r="AB333" i="57" s="1"/>
  <c r="I331" i="57"/>
  <c r="P328" i="57"/>
  <c r="H326" i="57"/>
  <c r="K323" i="57"/>
  <c r="V323" i="57" s="1"/>
  <c r="X320" i="57" a="1"/>
  <c r="X320" i="57" s="1"/>
  <c r="H318" i="57"/>
  <c r="K315" i="57"/>
  <c r="O315" i="57" s="1"/>
  <c r="X312" i="57" a="1"/>
  <c r="X312" i="57" s="1"/>
  <c r="D5" i="57"/>
  <c r="AB532" i="57" a="1"/>
  <c r="AB532" i="57" s="1"/>
  <c r="I530" i="57"/>
  <c r="AA530" i="57" s="1" a="1"/>
  <c r="AA530" i="57" s="1"/>
  <c r="P527" i="57"/>
  <c r="AB524" i="57" a="1"/>
  <c r="AB524" i="57" s="1"/>
  <c r="I522" i="57"/>
  <c r="P519" i="57"/>
  <c r="AB516" i="57" a="1"/>
  <c r="AB516" i="57" s="1"/>
  <c r="I514" i="57"/>
  <c r="P511" i="57"/>
  <c r="AB508" i="57" a="1"/>
  <c r="AB508" i="57" s="1"/>
  <c r="I506" i="57"/>
  <c r="AA506" i="57" s="1" a="1"/>
  <c r="AA506" i="57" s="1"/>
  <c r="P503" i="57"/>
  <c r="AB500" i="57" a="1"/>
  <c r="AB500" i="57" s="1"/>
  <c r="I498" i="57"/>
  <c r="P495" i="57"/>
  <c r="AB492" i="57" a="1"/>
  <c r="AB492" i="57" s="1"/>
  <c r="I490" i="57"/>
  <c r="AA490" i="57" s="1" a="1"/>
  <c r="AA490" i="57" s="1"/>
  <c r="P487" i="57"/>
  <c r="AB484" i="57" a="1"/>
  <c r="AB484" i="57" s="1"/>
  <c r="I482" i="57"/>
  <c r="AA482" i="57" s="1" a="1"/>
  <c r="AA482" i="57" s="1"/>
  <c r="P479" i="57"/>
  <c r="H477" i="57"/>
  <c r="K474" i="57"/>
  <c r="V474" i="57" s="1"/>
  <c r="X471" i="57" a="1"/>
  <c r="X471" i="57" s="1"/>
  <c r="H469" i="57"/>
  <c r="K466" i="57"/>
  <c r="U466" i="57" s="1" a="1"/>
  <c r="U466" i="57" s="1"/>
  <c r="X463" i="57" a="1"/>
  <c r="X463" i="57" s="1"/>
  <c r="H461" i="57"/>
  <c r="K458" i="57"/>
  <c r="X455" i="57" a="1"/>
  <c r="X455" i="57" s="1"/>
  <c r="H453" i="57"/>
  <c r="K450" i="57"/>
  <c r="R450" i="57" s="1"/>
  <c r="AB447" i="57" a="1"/>
  <c r="AB447" i="57" s="1"/>
  <c r="I445" i="57"/>
  <c r="AA445" i="57" s="1" a="1"/>
  <c r="AA445" i="57" s="1"/>
  <c r="P442" i="57"/>
  <c r="AB439" i="57" a="1"/>
  <c r="AB439" i="57" s="1"/>
  <c r="I437" i="57"/>
  <c r="P434" i="57"/>
  <c r="AB431" i="57" a="1"/>
  <c r="AB431" i="57" s="1"/>
  <c r="K429" i="57"/>
  <c r="U429" i="57" s="1" a="1"/>
  <c r="U429" i="57" s="1"/>
  <c r="X426" i="57" a="1"/>
  <c r="X426" i="57" s="1"/>
  <c r="H424" i="57"/>
  <c r="K421" i="57"/>
  <c r="X418" i="57" a="1"/>
  <c r="X418" i="57" s="1"/>
  <c r="H416" i="57"/>
  <c r="K413" i="57"/>
  <c r="U413" i="57" s="1" a="1"/>
  <c r="U413" i="57" s="1"/>
  <c r="X410" i="57" a="1"/>
  <c r="X410" i="57" s="1"/>
  <c r="H408" i="57"/>
  <c r="K405" i="57"/>
  <c r="O405" i="57" s="1"/>
  <c r="X402" i="57" a="1"/>
  <c r="X402" i="57" s="1"/>
  <c r="H400" i="57"/>
  <c r="K397" i="57"/>
  <c r="V397" i="57" s="1"/>
  <c r="X394" i="57" a="1"/>
  <c r="X394" i="57" s="1"/>
  <c r="H392" i="57"/>
  <c r="K389" i="57"/>
  <c r="U389" i="57" s="1" a="1"/>
  <c r="U389" i="57" s="1"/>
  <c r="X386" i="57" a="1"/>
  <c r="X386" i="57" s="1"/>
  <c r="H384" i="57"/>
  <c r="K381" i="57"/>
  <c r="V381" i="57" s="1"/>
  <c r="X378" i="57" a="1"/>
  <c r="X378" i="57" s="1"/>
  <c r="H376" i="57"/>
  <c r="K373" i="57"/>
  <c r="X370" i="57" a="1"/>
  <c r="X370" i="57" s="1"/>
  <c r="H368" i="57"/>
  <c r="K365" i="57"/>
  <c r="V365" i="57" s="1"/>
  <c r="X362" i="57" a="1"/>
  <c r="X362" i="57" s="1"/>
  <c r="I360" i="57"/>
  <c r="AA360" i="57" s="1" a="1"/>
  <c r="AA360" i="57" s="1"/>
  <c r="P357" i="57"/>
  <c r="AB354" i="57" a="1"/>
  <c r="AB354" i="57" s="1"/>
  <c r="I352" i="57"/>
  <c r="AA352" i="57" s="1" a="1"/>
  <c r="AA352" i="57" s="1"/>
  <c r="P349" i="57"/>
  <c r="AB346" i="57" a="1"/>
  <c r="AB346" i="57" s="1"/>
  <c r="K344" i="57"/>
  <c r="X341" i="57" a="1"/>
  <c r="X341" i="57" s="1"/>
  <c r="H339" i="57"/>
  <c r="K336" i="57"/>
  <c r="X333" i="57" a="1"/>
  <c r="X333" i="57" s="1"/>
  <c r="H331" i="57"/>
  <c r="K328" i="57"/>
  <c r="S328" i="57" s="1"/>
  <c r="AB325" i="57" a="1"/>
  <c r="AB325" i="57" s="1"/>
  <c r="I323" i="57"/>
  <c r="AA323" i="57" s="1" a="1"/>
  <c r="AA323" i="57" s="1"/>
  <c r="P320" i="57"/>
  <c r="AB317" i="57" a="1"/>
  <c r="AB317" i="57" s="1"/>
  <c r="I315" i="57"/>
  <c r="AA315" i="57" s="1" a="1"/>
  <c r="AA315" i="57" s="1"/>
  <c r="P312" i="57"/>
  <c r="X532" i="57" a="1"/>
  <c r="X532" i="57" s="1"/>
  <c r="H530" i="57"/>
  <c r="K527" i="57"/>
  <c r="X524" i="57" a="1"/>
  <c r="X524" i="57" s="1"/>
  <c r="H522" i="57"/>
  <c r="K519" i="57"/>
  <c r="O519" i="57" s="1"/>
  <c r="X516" i="57" a="1"/>
  <c r="X516" i="57" s="1"/>
  <c r="H514" i="57"/>
  <c r="K511" i="57"/>
  <c r="X508" i="57" a="1"/>
  <c r="X508" i="57" s="1"/>
  <c r="H506" i="57"/>
  <c r="K503" i="57"/>
  <c r="T503" i="57" s="1"/>
  <c r="X500" i="57" a="1"/>
  <c r="X500" i="57" s="1"/>
  <c r="H498" i="57"/>
  <c r="K495" i="57"/>
  <c r="O495" i="57" s="1"/>
  <c r="X492" i="57" a="1"/>
  <c r="X492" i="57" s="1"/>
  <c r="H490" i="57"/>
  <c r="K487" i="57"/>
  <c r="X484" i="57" a="1"/>
  <c r="X484" i="57" s="1"/>
  <c r="H482" i="57"/>
  <c r="K479" i="57"/>
  <c r="R479" i="57" s="1"/>
  <c r="AB476" i="57" a="1"/>
  <c r="AB476" i="57" s="1"/>
  <c r="I474" i="57"/>
  <c r="P471" i="57"/>
  <c r="AB468" i="57" a="1"/>
  <c r="AB468" i="57" s="1"/>
  <c r="I466" i="57"/>
  <c r="AA466" i="57" s="1" a="1"/>
  <c r="AA466" i="57" s="1"/>
  <c r="P463" i="57"/>
  <c r="AB460" i="57" a="1"/>
  <c r="AB460" i="57" s="1"/>
  <c r="I458" i="57"/>
  <c r="AA458" i="57" s="1" a="1"/>
  <c r="AA458" i="57" s="1"/>
  <c r="P455" i="57"/>
  <c r="AB452" i="57" a="1"/>
  <c r="AB452" i="57" s="1"/>
  <c r="I450" i="57"/>
  <c r="X447" i="57" a="1"/>
  <c r="X447" i="57" s="1"/>
  <c r="H445" i="57"/>
  <c r="K442" i="57"/>
  <c r="U442" i="57" s="1" a="1"/>
  <c r="U442" i="57" s="1"/>
  <c r="X439" i="57" a="1"/>
  <c r="X439" i="57" s="1"/>
  <c r="H437" i="57"/>
  <c r="K434" i="57"/>
  <c r="U434" i="57" s="1" a="1"/>
  <c r="U434" i="57" s="1"/>
  <c r="X431" i="57" a="1"/>
  <c r="X431" i="57" s="1"/>
  <c r="I429" i="57"/>
  <c r="AA429" i="57" s="1" a="1"/>
  <c r="AA429" i="57" s="1"/>
  <c r="P426" i="57"/>
  <c r="AB423" i="57" a="1"/>
  <c r="AB423" i="57" s="1"/>
  <c r="I421" i="57"/>
  <c r="AA421" i="57" s="1" a="1"/>
  <c r="AA421" i="57" s="1"/>
  <c r="P418" i="57"/>
  <c r="AB415" i="57" a="1"/>
  <c r="AB415" i="57" s="1"/>
  <c r="I413" i="57"/>
  <c r="AA413" i="57" s="1" a="1"/>
  <c r="AA413" i="57" s="1"/>
  <c r="P410" i="57"/>
  <c r="AB407" i="57" a="1"/>
  <c r="AB407" i="57" s="1"/>
  <c r="I405" i="57"/>
  <c r="AA405" i="57" s="1" a="1"/>
  <c r="AA405" i="57" s="1"/>
  <c r="P402" i="57"/>
  <c r="AB399" i="57" a="1"/>
  <c r="AB399" i="57" s="1"/>
  <c r="I397" i="57"/>
  <c r="AA397" i="57" s="1" a="1"/>
  <c r="AA397" i="57" s="1"/>
  <c r="P394" i="57"/>
  <c r="AB391" i="57" a="1"/>
  <c r="AB391" i="57" s="1"/>
  <c r="I389" i="57"/>
  <c r="AA389" i="57" s="1" a="1"/>
  <c r="AA389" i="57" s="1"/>
  <c r="P386" i="57"/>
  <c r="AB383" i="57" a="1"/>
  <c r="AB383" i="57" s="1"/>
  <c r="I381" i="57"/>
  <c r="P378" i="57"/>
  <c r="AB375" i="57" a="1"/>
  <c r="AB375" i="57" s="1"/>
  <c r="I373" i="57"/>
  <c r="AA373" i="57" s="1" a="1"/>
  <c r="AA373" i="57" s="1"/>
  <c r="P370" i="57"/>
  <c r="AB367" i="57" a="1"/>
  <c r="AB367" i="57" s="1"/>
  <c r="I365" i="57"/>
  <c r="AA365" i="57" s="1" a="1"/>
  <c r="AA365" i="57" s="1"/>
  <c r="P362" i="57"/>
  <c r="H360" i="57"/>
  <c r="K357" i="57"/>
  <c r="R357" i="57" s="1"/>
  <c r="X354" i="57" a="1"/>
  <c r="X354" i="57" s="1"/>
  <c r="H352" i="57"/>
  <c r="K349" i="57"/>
  <c r="V349" i="57" s="1"/>
  <c r="X346" i="57" a="1"/>
  <c r="X346" i="57" s="1"/>
  <c r="I344" i="57"/>
  <c r="AA344" i="57" s="1" a="1"/>
  <c r="AA344" i="57" s="1"/>
  <c r="P341" i="57"/>
  <c r="AB338" i="57" a="1"/>
  <c r="AB338" i="57" s="1"/>
  <c r="I336" i="57"/>
  <c r="AA336" i="57" s="1" a="1"/>
  <c r="AA336" i="57" s="1"/>
  <c r="P333" i="57"/>
  <c r="AB330" i="57" a="1"/>
  <c r="AB330" i="57" s="1"/>
  <c r="I328" i="57"/>
  <c r="AA328" i="57" s="1" a="1"/>
  <c r="AA328" i="57" s="1"/>
  <c r="X325" i="57" a="1"/>
  <c r="X325" i="57" s="1"/>
  <c r="P532" i="57"/>
  <c r="AB529" i="57" a="1"/>
  <c r="AB529" i="57" s="1"/>
  <c r="I527" i="57"/>
  <c r="P524" i="57"/>
  <c r="AB521" i="57" a="1"/>
  <c r="AB521" i="57" s="1"/>
  <c r="I519" i="57"/>
  <c r="AA519" i="57" s="1" a="1"/>
  <c r="AA519" i="57" s="1"/>
  <c r="P516" i="57"/>
  <c r="AB513" i="57" a="1"/>
  <c r="AB513" i="57" s="1"/>
  <c r="I511" i="57"/>
  <c r="AA511" i="57" s="1" a="1"/>
  <c r="AA511" i="57" s="1"/>
  <c r="P508" i="57"/>
  <c r="AB505" i="57" a="1"/>
  <c r="AB505" i="57" s="1"/>
  <c r="I503" i="57"/>
  <c r="P500" i="57"/>
  <c r="AB497" i="57" a="1"/>
  <c r="AB497" i="57" s="1"/>
  <c r="I495" i="57"/>
  <c r="AA495" i="57" s="1" a="1"/>
  <c r="AA495" i="57" s="1"/>
  <c r="P492" i="57"/>
  <c r="AB489" i="57" a="1"/>
  <c r="AB489" i="57" s="1"/>
  <c r="I487" i="57"/>
  <c r="P484" i="57"/>
  <c r="AB481" i="57" a="1"/>
  <c r="AB481" i="57" s="1"/>
  <c r="I479" i="57"/>
  <c r="AA479" i="57" s="1" a="1"/>
  <c r="AA479" i="57" s="1"/>
  <c r="X476" i="57" a="1"/>
  <c r="X476" i="57" s="1"/>
  <c r="H474" i="57"/>
  <c r="K471" i="57"/>
  <c r="X468" i="57" a="1"/>
  <c r="X468" i="57" s="1"/>
  <c r="H466" i="57"/>
  <c r="K463" i="57"/>
  <c r="X460" i="57" a="1"/>
  <c r="X460" i="57" s="1"/>
  <c r="H458" i="57"/>
  <c r="K455" i="57"/>
  <c r="V455" i="57" s="1"/>
  <c r="X452" i="57" a="1"/>
  <c r="X452" i="57" s="1"/>
  <c r="H450" i="57"/>
  <c r="P447" i="57"/>
  <c r="AB444" i="57" a="1"/>
  <c r="AB444" i="57" s="1"/>
  <c r="I442" i="57"/>
  <c r="P439" i="57"/>
  <c r="AB436" i="57" a="1"/>
  <c r="AB436" i="57" s="1"/>
  <c r="I434" i="57"/>
  <c r="AA434" i="57" s="1" a="1"/>
  <c r="AA434" i="57" s="1"/>
  <c r="P431" i="57"/>
  <c r="H429" i="57"/>
  <c r="K426" i="57"/>
  <c r="T426" i="57" s="1"/>
  <c r="X423" i="57" a="1"/>
  <c r="X423" i="57" s="1"/>
  <c r="H421" i="57"/>
  <c r="K418" i="57"/>
  <c r="X415" i="57" a="1"/>
  <c r="X415" i="57" s="1"/>
  <c r="H413" i="57"/>
  <c r="K410" i="57"/>
  <c r="R410" i="57" s="1"/>
  <c r="X407" i="57" a="1"/>
  <c r="X407" i="57" s="1"/>
  <c r="H405" i="57"/>
  <c r="K402" i="57"/>
  <c r="V402" i="57" s="1"/>
  <c r="X399" i="57" a="1"/>
  <c r="X399" i="57" s="1"/>
  <c r="H397" i="57"/>
  <c r="K394" i="57"/>
  <c r="S394" i="57" s="1"/>
  <c r="X391" i="57" a="1"/>
  <c r="X391" i="57" s="1"/>
  <c r="H389" i="57"/>
  <c r="K386" i="57"/>
  <c r="V386" i="57" s="1"/>
  <c r="X383" i="57" a="1"/>
  <c r="X383" i="57" s="1"/>
  <c r="H381" i="57"/>
  <c r="K378" i="57"/>
  <c r="R378" i="57" s="1"/>
  <c r="X375" i="57" a="1"/>
  <c r="X375" i="57" s="1"/>
  <c r="H373" i="57"/>
  <c r="K370" i="57"/>
  <c r="T370" i="57" s="1"/>
  <c r="X367" i="57" a="1"/>
  <c r="X367" i="57" s="1"/>
  <c r="H365" i="57"/>
  <c r="K362" i="57"/>
  <c r="U362" i="57" s="1" a="1"/>
  <c r="U362" i="57" s="1"/>
  <c r="AB359" i="57" a="1"/>
  <c r="AB359" i="57" s="1"/>
  <c r="I357" i="57"/>
  <c r="P354" i="57"/>
  <c r="AB351" i="57" a="1"/>
  <c r="AB351" i="57" s="1"/>
  <c r="I349" i="57"/>
  <c r="AA349" i="57" s="1" a="1"/>
  <c r="AA349" i="57" s="1"/>
  <c r="P346" i="57"/>
  <c r="H344" i="57"/>
  <c r="K341" i="57"/>
  <c r="X338" i="57" a="1"/>
  <c r="X338" i="57" s="1"/>
  <c r="H336" i="57"/>
  <c r="K333" i="57"/>
  <c r="R333" i="57" s="1"/>
  <c r="X330" i="57" a="1"/>
  <c r="X330" i="57" s="1"/>
  <c r="H328" i="57"/>
  <c r="P325" i="57"/>
  <c r="AB322" i="57" a="1"/>
  <c r="AB322" i="57" s="1"/>
  <c r="I320" i="57"/>
  <c r="AA320" i="57" s="1" a="1"/>
  <c r="AA320" i="57" s="1"/>
  <c r="P317" i="57"/>
  <c r="AB314" i="57" a="1"/>
  <c r="AB314" i="57" s="1"/>
  <c r="I312" i="57"/>
  <c r="H383" i="57"/>
  <c r="H387" i="57"/>
  <c r="J387" i="57" s="1"/>
  <c r="K390" i="57"/>
  <c r="X393" i="57" a="1"/>
  <c r="X393" i="57" s="1"/>
  <c r="X397" i="57" a="1"/>
  <c r="X397" i="57" s="1"/>
  <c r="H401" i="57"/>
  <c r="K404" i="57"/>
  <c r="S404" i="57" s="1"/>
  <c r="K408" i="57"/>
  <c r="R408" i="57" s="1"/>
  <c r="X411" i="57" a="1"/>
  <c r="X411" i="57" s="1"/>
  <c r="H415" i="57"/>
  <c r="H419" i="57"/>
  <c r="K422" i="57"/>
  <c r="X425" i="57" a="1"/>
  <c r="X425" i="57" s="1"/>
  <c r="X429" i="57" a="1"/>
  <c r="X429" i="57" s="1"/>
  <c r="AB432" i="57" a="1"/>
  <c r="AB432" i="57" s="1"/>
  <c r="I436" i="57"/>
  <c r="AA436" i="57" s="1" a="1"/>
  <c r="AA436" i="57" s="1"/>
  <c r="I440" i="57"/>
  <c r="AA440" i="57" s="1" a="1"/>
  <c r="AA440" i="57" s="1"/>
  <c r="P443" i="57"/>
  <c r="AB446" i="57" a="1"/>
  <c r="AB446" i="57" s="1"/>
  <c r="X450" i="57" a="1"/>
  <c r="X450" i="57" s="1"/>
  <c r="H454" i="57"/>
  <c r="J454" i="57" s="1"/>
  <c r="K457" i="57"/>
  <c r="U457" i="57" s="1" a="1"/>
  <c r="U457" i="57" s="1"/>
  <c r="K461" i="57"/>
  <c r="X464" i="57" a="1"/>
  <c r="X464" i="57" s="1"/>
  <c r="H468" i="57"/>
  <c r="J468" i="57" s="1"/>
  <c r="H472" i="57"/>
  <c r="J472" i="57" s="1"/>
  <c r="K475" i="57"/>
  <c r="R475" i="57" s="1"/>
  <c r="P478" i="57"/>
  <c r="P482" i="57"/>
  <c r="AB485" i="57" a="1"/>
  <c r="AB485" i="57" s="1"/>
  <c r="I489" i="57"/>
  <c r="I493" i="57"/>
  <c r="P496" i="57"/>
  <c r="AB499" i="57" a="1"/>
  <c r="AB499" i="57" s="1"/>
  <c r="AB503" i="57" a="1"/>
  <c r="AB503" i="57" s="1"/>
  <c r="I507" i="57"/>
  <c r="P510" i="57"/>
  <c r="P514" i="57"/>
  <c r="AB517" i="57" a="1"/>
  <c r="AB517" i="57" s="1"/>
  <c r="I521" i="57"/>
  <c r="AA521" i="57" s="1" a="1"/>
  <c r="AA521" i="57" s="1"/>
  <c r="I525" i="57"/>
  <c r="AA525" i="57" s="1" a="1"/>
  <c r="AA525" i="57" s="1"/>
  <c r="P528" i="57"/>
  <c r="AB531" i="57" a="1"/>
  <c r="AB531" i="57" s="1"/>
  <c r="AA47" i="57" a="1"/>
  <c r="AA47" i="57" s="1"/>
  <c r="AA214" i="57" a="1"/>
  <c r="AA214" i="57" s="1"/>
  <c r="AA264" i="57" a="1"/>
  <c r="AA264" i="57" s="1"/>
  <c r="J307" i="57"/>
  <c r="J56" i="57"/>
  <c r="J258" i="57"/>
  <c r="BG40" i="57" a="1"/>
  <c r="BG40" i="57" s="1"/>
  <c r="BG39" i="57" a="1"/>
  <c r="BG39" i="57" s="1"/>
  <c r="BG48" i="57" a="1"/>
  <c r="BG48" i="57" s="1"/>
  <c r="BJ46" i="57" a="1"/>
  <c r="BJ46" i="57" s="1"/>
  <c r="BH64" i="57" a="1"/>
  <c r="BH64" i="57" s="1"/>
  <c r="BJ74" i="57" a="1"/>
  <c r="BJ74" i="57" s="1"/>
  <c r="BI53" i="57"/>
  <c r="BI52" i="57"/>
  <c r="BI46" i="57" a="1"/>
  <c r="BI46" i="57" s="1"/>
  <c r="BJ42" i="57" a="1"/>
  <c r="BJ42" i="57" s="1"/>
  <c r="BJ47" i="57" a="1"/>
  <c r="BJ47" i="57" s="1"/>
  <c r="BJ52" i="57"/>
  <c r="BI48" i="57" a="1"/>
  <c r="BI48" i="57" s="1"/>
  <c r="BH49" i="57" a="1"/>
  <c r="BH49" i="57" s="1"/>
  <c r="BJ75" i="57" a="1"/>
  <c r="BJ75" i="57" s="1"/>
  <c r="BI49" i="57" a="1"/>
  <c r="BI49" i="57" s="1"/>
  <c r="BH47" i="57" a="1"/>
  <c r="BH47" i="57" s="1"/>
  <c r="BJ66" i="57" a="1"/>
  <c r="BJ66" i="57" s="1"/>
  <c r="BG41" i="57" a="1"/>
  <c r="BG41" i="57" s="1"/>
  <c r="BH39" i="57" a="1"/>
  <c r="BH39" i="57" s="1"/>
  <c r="BJ45" i="57" a="1"/>
  <c r="BJ45" i="57" s="1"/>
  <c r="T330" i="57"/>
  <c r="U330" i="57" a="1"/>
  <c r="U330" i="57" s="1"/>
  <c r="J107" i="57"/>
  <c r="AA307" i="57" a="1"/>
  <c r="AA307" i="57" s="1"/>
  <c r="J301" i="57"/>
  <c r="U435" i="57" a="1"/>
  <c r="U435" i="57" s="1"/>
  <c r="R435" i="57"/>
  <c r="AA509" i="57" a="1"/>
  <c r="AA509" i="57" s="1"/>
  <c r="J509" i="57"/>
  <c r="AA455" i="57" a="1"/>
  <c r="AA455" i="57" s="1"/>
  <c r="O330" i="57"/>
  <c r="V330" i="57"/>
  <c r="R330" i="57"/>
  <c r="O351" i="57"/>
  <c r="T351" i="57"/>
  <c r="J460" i="57"/>
  <c r="AA266" i="57" a="1"/>
  <c r="AA266" i="57" s="1"/>
  <c r="AA54" i="57" a="1"/>
  <c r="AA54" i="57" s="1"/>
  <c r="AA527" i="57" a="1"/>
  <c r="AA527" i="57" s="1"/>
  <c r="O153" i="57"/>
  <c r="T276" i="57"/>
  <c r="O303" i="57"/>
  <c r="R153" i="57"/>
  <c r="U153" i="57" a="1"/>
  <c r="U153" i="57" s="1"/>
  <c r="R351" i="57"/>
  <c r="R518" i="57"/>
  <c r="V518" i="57"/>
  <c r="V281" i="57"/>
  <c r="T205" i="57"/>
  <c r="T122" i="57"/>
  <c r="R225" i="57"/>
  <c r="O347" i="57"/>
  <c r="S431" i="57"/>
  <c r="T59" i="57"/>
  <c r="U122" i="57" a="1"/>
  <c r="U122" i="57" s="1"/>
  <c r="T225" i="57"/>
  <c r="T293" i="57"/>
  <c r="O122" i="57"/>
  <c r="O448" i="57"/>
  <c r="V347" i="57"/>
  <c r="S107" i="57"/>
  <c r="R119" i="57"/>
  <c r="T303" i="57"/>
  <c r="R448" i="57"/>
  <c r="R507" i="57"/>
  <c r="T525" i="57"/>
  <c r="O507" i="57"/>
  <c r="O134" i="57"/>
  <c r="U198" i="57" a="1"/>
  <c r="U198" i="57" s="1"/>
  <c r="U60" i="57" a="1"/>
  <c r="U60" i="57" s="1"/>
  <c r="T107" i="57"/>
  <c r="S119" i="57"/>
  <c r="T134" i="57"/>
  <c r="U206" i="57" a="1"/>
  <c r="U206" i="57" s="1"/>
  <c r="U441" i="57" a="1"/>
  <c r="U441" i="57" s="1"/>
  <c r="S448" i="57"/>
  <c r="S507" i="57"/>
  <c r="U107" i="57" a="1"/>
  <c r="U107" i="57" s="1"/>
  <c r="T448" i="57"/>
  <c r="T507" i="57"/>
  <c r="U448" i="57" a="1"/>
  <c r="U448" i="57" s="1"/>
  <c r="U507" i="57" a="1"/>
  <c r="U507" i="57" s="1"/>
  <c r="U119" i="57" a="1"/>
  <c r="U119" i="57" s="1"/>
  <c r="R281" i="57"/>
  <c r="O225" i="57"/>
  <c r="V351" i="57"/>
  <c r="O45" i="57"/>
  <c r="T45" i="57"/>
  <c r="S45" i="57"/>
  <c r="U101" i="57" a="1"/>
  <c r="U101" i="57" s="1"/>
  <c r="T101" i="57"/>
  <c r="R101" i="57"/>
  <c r="T35" i="57"/>
  <c r="S35" i="57"/>
  <c r="V45" i="57"/>
  <c r="V168" i="57"/>
  <c r="U179" i="57" a="1"/>
  <c r="U179" i="57" s="1"/>
  <c r="R179" i="57"/>
  <c r="V113" i="57"/>
  <c r="U113" i="57" a="1"/>
  <c r="U113" i="57" s="1"/>
  <c r="S113" i="57"/>
  <c r="O113" i="57"/>
  <c r="U300" i="57" a="1"/>
  <c r="U300" i="57" s="1"/>
  <c r="R300" i="57"/>
  <c r="V300" i="57"/>
  <c r="T300" i="57"/>
  <c r="S300" i="57"/>
  <c r="O300" i="57"/>
  <c r="V222" i="57"/>
  <c r="S222" i="57"/>
  <c r="U222" i="57" a="1"/>
  <c r="U222" i="57" s="1"/>
  <c r="T222" i="57"/>
  <c r="R402" i="57"/>
  <c r="U132" i="57" a="1"/>
  <c r="U132" i="57" s="1"/>
  <c r="T346" i="57"/>
  <c r="S75" i="57"/>
  <c r="T75" i="57"/>
  <c r="U34" i="57" a="1"/>
  <c r="U34" i="57" s="1"/>
  <c r="T34" i="57"/>
  <c r="S34" i="57"/>
  <c r="R34" i="57"/>
  <c r="V59" i="57"/>
  <c r="V229" i="57"/>
  <c r="S229" i="57"/>
  <c r="S282" i="57"/>
  <c r="V361" i="57"/>
  <c r="T361" i="57"/>
  <c r="V228" i="57"/>
  <c r="V395" i="57"/>
  <c r="U395" i="57" a="1"/>
  <c r="U395" i="57" s="1"/>
  <c r="S411" i="57"/>
  <c r="V411" i="57"/>
  <c r="U411" i="57" a="1"/>
  <c r="U411" i="57" s="1"/>
  <c r="U515" i="57" a="1"/>
  <c r="U515" i="57" s="1"/>
  <c r="T515" i="57"/>
  <c r="O515" i="57"/>
  <c r="V515" i="57"/>
  <c r="R515" i="57"/>
  <c r="O142" i="57"/>
  <c r="T186" i="57"/>
  <c r="V293" i="57"/>
  <c r="U293" i="57" a="1"/>
  <c r="U293" i="57" s="1"/>
  <c r="S293" i="57"/>
  <c r="R293" i="57"/>
  <c r="S182" i="57"/>
  <c r="O186" i="57"/>
  <c r="R198" i="57"/>
  <c r="T413" i="57"/>
  <c r="S477" i="57"/>
  <c r="R477" i="57"/>
  <c r="O477" i="57"/>
  <c r="T198" i="57"/>
  <c r="V510" i="57"/>
  <c r="R510" i="57"/>
  <c r="U409" i="57" a="1"/>
  <c r="U409" i="57" s="1"/>
  <c r="S380" i="57"/>
  <c r="R380" i="57"/>
  <c r="U380" i="57" a="1"/>
  <c r="U380" i="57" s="1"/>
  <c r="U533" i="57" a="1"/>
  <c r="U533" i="57" s="1"/>
  <c r="T533" i="57"/>
  <c r="V533" i="57"/>
  <c r="S533" i="57"/>
  <c r="R533" i="57"/>
  <c r="R321" i="57"/>
  <c r="O321" i="57"/>
  <c r="T281" i="57"/>
  <c r="O299" i="57"/>
  <c r="U299" i="57" a="1"/>
  <c r="U299" i="57" s="1"/>
  <c r="S299" i="57"/>
  <c r="V225" i="57"/>
  <c r="S225" i="57"/>
  <c r="S321" i="57"/>
  <c r="U331" i="57" a="1"/>
  <c r="U331" i="57" s="1"/>
  <c r="U347" i="57" a="1"/>
  <c r="U347" i="57" s="1"/>
  <c r="T347" i="57"/>
  <c r="V469" i="57"/>
  <c r="V369" i="57"/>
  <c r="S369" i="57"/>
  <c r="V505" i="57"/>
  <c r="S505" i="57"/>
  <c r="O532" i="57"/>
  <c r="T518" i="57"/>
  <c r="V532" i="57"/>
  <c r="AA88" i="57" a="1"/>
  <c r="AA88" i="57" s="1"/>
  <c r="V125" i="57"/>
  <c r="S125" i="57"/>
  <c r="O125" i="57"/>
  <c r="V201" i="57"/>
  <c r="R201" i="57"/>
  <c r="O201" i="57"/>
  <c r="U201" i="57" a="1"/>
  <c r="U201" i="57" s="1"/>
  <c r="T201" i="57"/>
  <c r="T108" i="57"/>
  <c r="V108" i="57"/>
  <c r="R108" i="57"/>
  <c r="O108" i="57"/>
  <c r="S108" i="57"/>
  <c r="U78" i="57" a="1"/>
  <c r="U78" i="57" s="1"/>
  <c r="S54" i="57"/>
  <c r="U54" i="57" a="1"/>
  <c r="U54" i="57" s="1"/>
  <c r="AA151" i="57" a="1"/>
  <c r="AA151" i="57" s="1"/>
  <c r="T72" i="57"/>
  <c r="R72" i="57"/>
  <c r="R78" i="57"/>
  <c r="V97" i="57"/>
  <c r="U97" i="57" a="1"/>
  <c r="U97" i="57" s="1"/>
  <c r="U154" i="57" a="1"/>
  <c r="U154" i="57" s="1"/>
  <c r="T154" i="57"/>
  <c r="S154" i="57"/>
  <c r="R154" i="57"/>
  <c r="O154" i="57"/>
  <c r="O47" i="57"/>
  <c r="V47" i="57"/>
  <c r="T47" i="57"/>
  <c r="R47" i="57"/>
  <c r="U35" i="57" a="1"/>
  <c r="U35" i="57" s="1"/>
  <c r="V44" i="57"/>
  <c r="R54" i="57"/>
  <c r="V103" i="57"/>
  <c r="T103" i="57"/>
  <c r="U217" i="57" a="1"/>
  <c r="U217" i="57" s="1"/>
  <c r="S217" i="57"/>
  <c r="V217" i="57"/>
  <c r="T217" i="57"/>
  <c r="R217" i="57"/>
  <c r="O217" i="57"/>
  <c r="U243" i="57" a="1"/>
  <c r="U243" i="57" s="1"/>
  <c r="V243" i="57"/>
  <c r="S243" i="57"/>
  <c r="AA188" i="57" a="1"/>
  <c r="AA188" i="57" s="1"/>
  <c r="O353" i="57"/>
  <c r="R353" i="57"/>
  <c r="AA119" i="57" a="1"/>
  <c r="AA119" i="57" s="1"/>
  <c r="V137" i="57"/>
  <c r="S137" i="57"/>
  <c r="T140" i="57"/>
  <c r="AC140" i="57" s="1"/>
  <c r="AG140" i="57" s="1"/>
  <c r="AA288" i="57" a="1"/>
  <c r="AA288" i="57" s="1"/>
  <c r="T288" i="57"/>
  <c r="U140" i="57" a="1"/>
  <c r="U140" i="57" s="1"/>
  <c r="O75" i="57"/>
  <c r="V140" i="57"/>
  <c r="U199" i="57" a="1"/>
  <c r="U199" i="57" s="1"/>
  <c r="S199" i="57"/>
  <c r="R199" i="57"/>
  <c r="V199" i="57"/>
  <c r="T199" i="57"/>
  <c r="O199" i="57"/>
  <c r="U137" i="57" a="1"/>
  <c r="U137" i="57" s="1"/>
  <c r="AA186" i="57" a="1"/>
  <c r="AA186" i="57" s="1"/>
  <c r="AA296" i="57" a="1"/>
  <c r="AA296" i="57" s="1"/>
  <c r="R245" i="57"/>
  <c r="O34" i="57"/>
  <c r="V151" i="57"/>
  <c r="V101" i="57"/>
  <c r="S101" i="57"/>
  <c r="O101" i="57"/>
  <c r="V107" i="57"/>
  <c r="T68" i="57"/>
  <c r="O107" i="57"/>
  <c r="AA235" i="57" a="1"/>
  <c r="AA235" i="57" s="1"/>
  <c r="AA419" i="57" a="1"/>
  <c r="AA419" i="57" s="1"/>
  <c r="U159" i="57" a="1"/>
  <c r="U159" i="57" s="1"/>
  <c r="U218" i="57" a="1"/>
  <c r="U218" i="57" s="1"/>
  <c r="O295" i="57"/>
  <c r="U147" i="57" a="1"/>
  <c r="U147" i="57" s="1"/>
  <c r="T147" i="57"/>
  <c r="R147" i="57"/>
  <c r="U178" i="57" a="1"/>
  <c r="U178" i="57" s="1"/>
  <c r="O189" i="57"/>
  <c r="J195" i="57"/>
  <c r="R206" i="57"/>
  <c r="V206" i="57"/>
  <c r="AA255" i="57" a="1"/>
  <c r="AA255" i="57" s="1"/>
  <c r="U267" i="57" a="1"/>
  <c r="U267" i="57" s="1"/>
  <c r="S267" i="57"/>
  <c r="O267" i="57"/>
  <c r="V267" i="57"/>
  <c r="T267" i="57"/>
  <c r="U254" i="57" a="1"/>
  <c r="U254" i="57" s="1"/>
  <c r="R254" i="57"/>
  <c r="V254" i="57"/>
  <c r="S254" i="57"/>
  <c r="O254" i="57"/>
  <c r="O147" i="57"/>
  <c r="S252" i="57"/>
  <c r="V252" i="57"/>
  <c r="U252" i="57" a="1"/>
  <c r="U252" i="57" s="1"/>
  <c r="V256" i="57"/>
  <c r="T256" i="57"/>
  <c r="S256" i="57"/>
  <c r="U256" i="57" a="1"/>
  <c r="U256" i="57" s="1"/>
  <c r="O256" i="57"/>
  <c r="S122" i="57"/>
  <c r="R131" i="57"/>
  <c r="V159" i="57"/>
  <c r="AA198" i="57" a="1"/>
  <c r="AA198" i="57" s="1"/>
  <c r="O208" i="57"/>
  <c r="T208" i="57"/>
  <c r="S208" i="57"/>
  <c r="R208" i="57"/>
  <c r="T210" i="57"/>
  <c r="S196" i="57"/>
  <c r="R106" i="57"/>
  <c r="T131" i="57"/>
  <c r="V178" i="57"/>
  <c r="T211" i="57"/>
  <c r="S211" i="57"/>
  <c r="R211" i="57"/>
  <c r="R256" i="57"/>
  <c r="S131" i="57"/>
  <c r="O119" i="57"/>
  <c r="S134" i="57"/>
  <c r="T153" i="57"/>
  <c r="S153" i="57"/>
  <c r="AA158" i="57" a="1"/>
  <c r="AA158" i="57" s="1"/>
  <c r="T206" i="57"/>
  <c r="U208" i="57" a="1"/>
  <c r="U208" i="57" s="1"/>
  <c r="AA223" i="57" a="1"/>
  <c r="AA223" i="57" s="1"/>
  <c r="T254" i="57"/>
  <c r="T289" i="57"/>
  <c r="R289" i="57"/>
  <c r="S289" i="57"/>
  <c r="V289" i="57"/>
  <c r="U289" i="57" a="1"/>
  <c r="U289" i="57" s="1"/>
  <c r="AA334" i="57" a="1"/>
  <c r="AA334" i="57" s="1"/>
  <c r="S440" i="57"/>
  <c r="R440" i="57"/>
  <c r="T440" i="57"/>
  <c r="U440" i="57" a="1"/>
  <c r="U440" i="57" s="1"/>
  <c r="O440" i="57"/>
  <c r="O337" i="57"/>
  <c r="S337" i="57"/>
  <c r="R337" i="57"/>
  <c r="V337" i="57"/>
  <c r="T337" i="57"/>
  <c r="U337" i="57" a="1"/>
  <c r="U337" i="57" s="1"/>
  <c r="O436" i="57"/>
  <c r="S436" i="57"/>
  <c r="V436" i="57"/>
  <c r="S283" i="57"/>
  <c r="U283" i="57" a="1"/>
  <c r="U283" i="57" s="1"/>
  <c r="R307" i="57"/>
  <c r="O307" i="57"/>
  <c r="O399" i="57"/>
  <c r="T399" i="57"/>
  <c r="R399" i="57"/>
  <c r="V399" i="57"/>
  <c r="U399" i="57" a="1"/>
  <c r="U399" i="57" s="1"/>
  <c r="S399" i="57"/>
  <c r="V526" i="57"/>
  <c r="U526" i="57" a="1"/>
  <c r="U526" i="57" s="1"/>
  <c r="R526" i="57"/>
  <c r="O526" i="57"/>
  <c r="T526" i="57"/>
  <c r="S366" i="57"/>
  <c r="O366" i="57"/>
  <c r="V366" i="57"/>
  <c r="R366" i="57"/>
  <c r="T366" i="57"/>
  <c r="U366" i="57" a="1"/>
  <c r="U366" i="57" s="1"/>
  <c r="AA406" i="57" a="1"/>
  <c r="AA406" i="57" s="1"/>
  <c r="T494" i="57"/>
  <c r="R494" i="57"/>
  <c r="O494" i="57"/>
  <c r="J240" i="57"/>
  <c r="AA240" i="57" a="1"/>
  <c r="AA240" i="57" s="1"/>
  <c r="U286" i="57" a="1"/>
  <c r="U286" i="57" s="1"/>
  <c r="R286" i="57"/>
  <c r="S453" i="57"/>
  <c r="AA353" i="57" a="1"/>
  <c r="AA353" i="57" s="1"/>
  <c r="U424" i="57" a="1"/>
  <c r="U424" i="57" s="1"/>
  <c r="R424" i="57"/>
  <c r="T424" i="57"/>
  <c r="S424" i="57"/>
  <c r="T438" i="57"/>
  <c r="V271" i="57"/>
  <c r="S271" i="57"/>
  <c r="R271" i="57"/>
  <c r="V334" i="57"/>
  <c r="U334" i="57" a="1"/>
  <c r="U334" i="57" s="1"/>
  <c r="T334" i="57"/>
  <c r="U451" i="57" a="1"/>
  <c r="U451" i="57" s="1"/>
  <c r="R451" i="57"/>
  <c r="S451" i="57"/>
  <c r="T451" i="57"/>
  <c r="O451" i="57"/>
  <c r="V451" i="57"/>
  <c r="O345" i="57"/>
  <c r="AA396" i="57" a="1"/>
  <c r="AA396" i="57" s="1"/>
  <c r="AA193" i="57" a="1"/>
  <c r="AA193" i="57" s="1"/>
  <c r="S291" i="57"/>
  <c r="R334" i="57"/>
  <c r="AA245" i="57" a="1"/>
  <c r="AA245" i="57" s="1"/>
  <c r="U276" i="57" a="1"/>
  <c r="U276" i="57" s="1"/>
  <c r="R276" i="57"/>
  <c r="O276" i="57"/>
  <c r="J317" i="57"/>
  <c r="S334" i="57"/>
  <c r="AA329" i="57" a="1"/>
  <c r="AA329" i="57" s="1"/>
  <c r="S406" i="57"/>
  <c r="R406" i="57"/>
  <c r="T406" i="57"/>
  <c r="O406" i="57"/>
  <c r="U406" i="57" a="1"/>
  <c r="U406" i="57" s="1"/>
  <c r="V401" i="57"/>
  <c r="T401" i="57"/>
  <c r="S401" i="57"/>
  <c r="U401" i="57" a="1"/>
  <c r="U401" i="57" s="1"/>
  <c r="R401" i="57"/>
  <c r="U229" i="57" a="1"/>
  <c r="U229" i="57" s="1"/>
  <c r="R229" i="57"/>
  <c r="S273" i="57"/>
  <c r="V273" i="57"/>
  <c r="R339" i="57"/>
  <c r="T299" i="57"/>
  <c r="R299" i="57"/>
  <c r="AA468" i="57" a="1"/>
  <c r="AA468" i="57" s="1"/>
  <c r="V416" i="57"/>
  <c r="S416" i="57"/>
  <c r="O416" i="57"/>
  <c r="V414" i="57"/>
  <c r="AA293" i="57" a="1"/>
  <c r="AA293" i="57" s="1"/>
  <c r="O296" i="57"/>
  <c r="S296" i="57"/>
  <c r="O313" i="57"/>
  <c r="U314" i="57" a="1"/>
  <c r="U314" i="57" s="1"/>
  <c r="S303" i="57"/>
  <c r="U303" i="57" a="1"/>
  <c r="U303" i="57" s="1"/>
  <c r="J449" i="57"/>
  <c r="AA449" i="57" a="1"/>
  <c r="AA449" i="57" s="1"/>
  <c r="AA462" i="57" a="1"/>
  <c r="AA462" i="57" s="1"/>
  <c r="V342" i="57"/>
  <c r="T342" i="57"/>
  <c r="S342" i="57"/>
  <c r="O342" i="57"/>
  <c r="O395" i="57"/>
  <c r="R395" i="57"/>
  <c r="T441" i="57"/>
  <c r="S441" i="57"/>
  <c r="R441" i="57"/>
  <c r="O441" i="57"/>
  <c r="V420" i="57"/>
  <c r="S420" i="57"/>
  <c r="O420" i="57"/>
  <c r="U420" i="57" a="1"/>
  <c r="U420" i="57" s="1"/>
  <c r="T420" i="57"/>
  <c r="U423" i="57" a="1"/>
  <c r="U423" i="57" s="1"/>
  <c r="T431" i="57"/>
  <c r="AA379" i="57" a="1"/>
  <c r="AA379" i="57" s="1"/>
  <c r="V383" i="57"/>
  <c r="U383" i="57" a="1"/>
  <c r="U383" i="57" s="1"/>
  <c r="T383" i="57"/>
  <c r="S460" i="57"/>
  <c r="R485" i="57"/>
  <c r="J391" i="57"/>
  <c r="V409" i="57"/>
  <c r="S409" i="57"/>
  <c r="V431" i="57"/>
  <c r="U431" i="57" a="1"/>
  <c r="U431" i="57" s="1"/>
  <c r="R431" i="57"/>
  <c r="AA447" i="57" a="1"/>
  <c r="AA447" i="57" s="1"/>
  <c r="O506" i="57"/>
  <c r="T380" i="57"/>
  <c r="V380" i="57"/>
  <c r="O409" i="57"/>
  <c r="O412" i="57"/>
  <c r="J446" i="57"/>
  <c r="AA446" i="57" a="1"/>
  <c r="AA446" i="57" s="1"/>
  <c r="T513" i="57"/>
  <c r="V513" i="57"/>
  <c r="U473" i="57" a="1"/>
  <c r="U473" i="57" s="1"/>
  <c r="S473" i="57"/>
  <c r="T473" i="57"/>
  <c r="V473" i="57"/>
  <c r="U520" i="57" a="1"/>
  <c r="U520" i="57" s="1"/>
  <c r="T520" i="57"/>
  <c r="R520" i="57"/>
  <c r="S520" i="57"/>
  <c r="O520" i="57"/>
  <c r="V520" i="57"/>
  <c r="U361" i="57" a="1"/>
  <c r="U361" i="57" s="1"/>
  <c r="O473" i="57"/>
  <c r="R473" i="57"/>
  <c r="O486" i="57"/>
  <c r="S486" i="57"/>
  <c r="R486" i="57"/>
  <c r="O346" i="57"/>
  <c r="J497" i="57"/>
  <c r="AA497" i="57" a="1"/>
  <c r="AA497" i="57" s="1"/>
  <c r="J520" i="57"/>
  <c r="T510" i="57"/>
  <c r="S510" i="57"/>
  <c r="U510" i="57" a="1"/>
  <c r="U510" i="57" s="1"/>
  <c r="O510" i="57"/>
  <c r="J433" i="57"/>
  <c r="AA433" i="57" a="1"/>
  <c r="AA433" i="57" s="1"/>
  <c r="O505" i="57"/>
  <c r="O497" i="57"/>
  <c r="U497" i="57" a="1"/>
  <c r="U497" i="57" s="1"/>
  <c r="V516" i="57"/>
  <c r="T516" i="57"/>
  <c r="R516" i="57"/>
  <c r="U502" i="57" a="1"/>
  <c r="U502" i="57" s="1"/>
  <c r="O516" i="57"/>
  <c r="O474" i="57"/>
  <c r="T477" i="57"/>
  <c r="U477" i="57" a="1"/>
  <c r="U477" i="57" s="1"/>
  <c r="O525" i="57"/>
  <c r="R525" i="57"/>
  <c r="R493" i="57"/>
  <c r="R495" i="57"/>
  <c r="S525" i="57"/>
  <c r="T532" i="57"/>
  <c r="S532" i="57"/>
  <c r="R532" i="57"/>
  <c r="O462" i="57"/>
  <c r="U469" i="57" a="1"/>
  <c r="U469" i="57" s="1"/>
  <c r="S469" i="57"/>
  <c r="U518" i="57" a="1"/>
  <c r="U518" i="57" s="1"/>
  <c r="S518" i="57"/>
  <c r="V525" i="57"/>
  <c r="AA533" i="57" a="1"/>
  <c r="AA533" i="57" s="1"/>
  <c r="BG65" i="57" a="1"/>
  <c r="BG65" i="57" s="1"/>
  <c r="BH65" i="57" a="1"/>
  <c r="BH65" i="57" s="1"/>
  <c r="BI73" i="57" a="1"/>
  <c r="BI73" i="57" s="1"/>
  <c r="BJ73" i="57" a="1"/>
  <c r="BJ73" i="57" s="1"/>
  <c r="BH52" i="57"/>
  <c r="BH53" i="57"/>
  <c r="BI75" i="57" a="1"/>
  <c r="BI75" i="57" s="1"/>
  <c r="BJ76" i="57" a="1"/>
  <c r="BJ76" i="57" s="1"/>
  <c r="BJ41" i="57" a="1"/>
  <c r="BJ41" i="57" s="1"/>
  <c r="BI41" i="57" a="1"/>
  <c r="BI41" i="57" s="1"/>
  <c r="BI39" i="57" a="1"/>
  <c r="BI39" i="57" s="1"/>
  <c r="BG49" i="57" a="1"/>
  <c r="BG49" i="57" s="1"/>
  <c r="BJ40" i="57" a="1"/>
  <c r="BJ40" i="57" s="1"/>
  <c r="BH40" i="57" a="1"/>
  <c r="BH40" i="57" s="1"/>
  <c r="BI40" i="57" a="1"/>
  <c r="BI40" i="57" s="1"/>
  <c r="BI76" i="57" a="1"/>
  <c r="BI76" i="57" s="1"/>
  <c r="BI47" i="57" a="1"/>
  <c r="BI47" i="57" s="1"/>
  <c r="BG66" i="57" a="1"/>
  <c r="BG66" i="57" s="1"/>
  <c r="BH74" i="57" a="1"/>
  <c r="BH74" i="57" s="1"/>
  <c r="BG42" i="57" a="1"/>
  <c r="BG42" i="57" s="1"/>
  <c r="BG47" i="57" a="1"/>
  <c r="BG47" i="57" s="1"/>
  <c r="BJ64" i="57" a="1"/>
  <c r="BJ64" i="57" s="1"/>
  <c r="BG64" i="57" a="1"/>
  <c r="BG64" i="57" s="1"/>
  <c r="BG74" i="57" a="1"/>
  <c r="BG74" i="57" s="1"/>
  <c r="BJ48" i="57" a="1"/>
  <c r="BJ48" i="57" s="1"/>
  <c r="BI42" i="57" a="1"/>
  <c r="BI42" i="57" s="1"/>
  <c r="BH42" i="57" a="1"/>
  <c r="BH42" i="57" s="1"/>
  <c r="BH46" i="57" a="1"/>
  <c r="BH46" i="57" s="1"/>
  <c r="BI66" i="57" a="1"/>
  <c r="BI66" i="57" s="1"/>
  <c r="BG75" i="57" a="1"/>
  <c r="BG75" i="57" s="1"/>
  <c r="BJ49" i="57" a="1"/>
  <c r="BJ49" i="57" s="1"/>
  <c r="BH66" i="57" a="1"/>
  <c r="BH66" i="57" s="1"/>
  <c r="BG45" i="57" a="1"/>
  <c r="BG45" i="57" s="1"/>
  <c r="BG46" i="57" a="1"/>
  <c r="BG46" i="57" s="1"/>
  <c r="BI74" i="57" a="1"/>
  <c r="BI74" i="57" s="1"/>
  <c r="BH48" i="57" a="1"/>
  <c r="BH48" i="57" s="1"/>
  <c r="BJ63" i="57" a="1"/>
  <c r="BJ63" i="57" s="1"/>
  <c r="BI63" i="57" a="1"/>
  <c r="BI63" i="57" s="1"/>
  <c r="BG63" i="57" a="1"/>
  <c r="BG63" i="57" s="1"/>
  <c r="BJ39" i="57" a="1"/>
  <c r="BJ39" i="57" s="1"/>
  <c r="BI65" i="57" a="1"/>
  <c r="BI65" i="57" s="1"/>
  <c r="BG52" i="57"/>
  <c r="BG53" i="57"/>
  <c r="BH63" i="57" a="1"/>
  <c r="BH63" i="57" s="1"/>
  <c r="BH73" i="57" a="1"/>
  <c r="BH73" i="57" s="1"/>
  <c r="BG73" i="57" a="1"/>
  <c r="BG73" i="57" s="1"/>
  <c r="BH75" i="57" a="1"/>
  <c r="BH75" i="57" s="1"/>
  <c r="BH41" i="57" a="1"/>
  <c r="BH41" i="57" s="1"/>
  <c r="BI45" i="57" a="1"/>
  <c r="BI45" i="57" s="1"/>
  <c r="BH45" i="57" a="1"/>
  <c r="BH45" i="57" s="1"/>
  <c r="BI64" i="57" a="1"/>
  <c r="BI64" i="57" s="1"/>
  <c r="BG76" i="57" a="1"/>
  <c r="BG76" i="57" s="1"/>
  <c r="BH76" i="57" a="1"/>
  <c r="BH76" i="57" s="1"/>
  <c r="BJ65" i="57" a="1"/>
  <c r="BJ65" i="57" s="1"/>
  <c r="F27" i="44"/>
  <c r="F27" i="1"/>
  <c r="M9" i="35"/>
  <c r="F10" i="49"/>
  <c r="F8" i="49"/>
  <c r="R388" i="57" l="1"/>
  <c r="S167" i="57"/>
  <c r="V114" i="57"/>
  <c r="R371" i="57"/>
  <c r="AA332" i="57" a="1"/>
  <c r="AA332" i="57" s="1"/>
  <c r="J276" i="57"/>
  <c r="J214" i="57"/>
  <c r="R247" i="57"/>
  <c r="T142" i="57"/>
  <c r="T359" i="57"/>
  <c r="S388" i="57"/>
  <c r="S247" i="57"/>
  <c r="R460" i="57"/>
  <c r="J513" i="57"/>
  <c r="O488" i="57"/>
  <c r="V359" i="57"/>
  <c r="T371" i="57"/>
  <c r="U247" i="57" a="1"/>
  <c r="U247" i="57" s="1"/>
  <c r="T488" i="57"/>
  <c r="V460" i="57"/>
  <c r="U371" i="57" a="1"/>
  <c r="U371" i="57" s="1"/>
  <c r="T247" i="57"/>
  <c r="V142" i="57"/>
  <c r="J41" i="57"/>
  <c r="O364" i="57"/>
  <c r="R488" i="57"/>
  <c r="U114" i="57" a="1"/>
  <c r="U114" i="57" s="1"/>
  <c r="U142" i="57" a="1"/>
  <c r="U142" i="57" s="1"/>
  <c r="J44" i="57"/>
  <c r="V488" i="57"/>
  <c r="O388" i="57"/>
  <c r="S371" i="57"/>
  <c r="T481" i="57"/>
  <c r="U488" i="57" a="1"/>
  <c r="U488" i="57" s="1"/>
  <c r="S395" i="57"/>
  <c r="O371" i="57"/>
  <c r="T277" i="57"/>
  <c r="S142" i="57"/>
  <c r="U388" i="57" a="1"/>
  <c r="U388" i="57" s="1"/>
  <c r="O460" i="57"/>
  <c r="U460" i="57" a="1"/>
  <c r="U460" i="57" s="1"/>
  <c r="S114" i="57"/>
  <c r="R385" i="57"/>
  <c r="O425" i="57"/>
  <c r="T416" i="57"/>
  <c r="V188" i="57"/>
  <c r="J243" i="57"/>
  <c r="T283" i="57"/>
  <c r="V389" i="57"/>
  <c r="R338" i="57"/>
  <c r="R347" i="57"/>
  <c r="J533" i="57"/>
  <c r="U491" i="57" a="1"/>
  <c r="U491" i="57" s="1"/>
  <c r="V283" i="57"/>
  <c r="T464" i="57"/>
  <c r="V491" i="57"/>
  <c r="O369" i="57"/>
  <c r="U489" i="57" a="1"/>
  <c r="U489" i="57" s="1"/>
  <c r="S412" i="57"/>
  <c r="T338" i="57"/>
  <c r="R438" i="57"/>
  <c r="O51" i="57"/>
  <c r="O140" i="57"/>
  <c r="V464" i="57"/>
  <c r="S364" i="57"/>
  <c r="R462" i="57"/>
  <c r="J149" i="57"/>
  <c r="J321" i="57"/>
  <c r="J326" i="57"/>
  <c r="J173" i="57"/>
  <c r="J238" i="57"/>
  <c r="J222" i="57"/>
  <c r="T369" i="57"/>
  <c r="T491" i="57"/>
  <c r="R379" i="57"/>
  <c r="U164" i="57" a="1"/>
  <c r="U164" i="57" s="1"/>
  <c r="J65" i="57"/>
  <c r="R412" i="57"/>
  <c r="R369" i="57"/>
  <c r="O489" i="57"/>
  <c r="V412" i="57"/>
  <c r="O338" i="57"/>
  <c r="O283" i="57"/>
  <c r="R84" i="57"/>
  <c r="T123" i="57"/>
  <c r="O97" i="57"/>
  <c r="V462" i="57"/>
  <c r="R416" i="57"/>
  <c r="J459" i="57"/>
  <c r="T489" i="57"/>
  <c r="S338" i="57"/>
  <c r="V266" i="57"/>
  <c r="O151" i="57"/>
  <c r="V123" i="57"/>
  <c r="R346" i="57"/>
  <c r="R222" i="57"/>
  <c r="V84" i="57"/>
  <c r="R164" i="57"/>
  <c r="J36" i="57"/>
  <c r="J271" i="57"/>
  <c r="O414" i="57"/>
  <c r="S266" i="57"/>
  <c r="S514" i="57"/>
  <c r="U379" i="57" a="1"/>
  <c r="U379" i="57" s="1"/>
  <c r="R405" i="57"/>
  <c r="U338" i="57" a="1"/>
  <c r="U338" i="57" s="1"/>
  <c r="O282" i="57"/>
  <c r="U96" i="57" a="1"/>
  <c r="U96" i="57" s="1"/>
  <c r="S489" i="57"/>
  <c r="S414" i="57"/>
  <c r="U266" i="57" a="1"/>
  <c r="U266" i="57" s="1"/>
  <c r="R277" i="57"/>
  <c r="U514" i="57" a="1"/>
  <c r="U514" i="57" s="1"/>
  <c r="V489" i="57"/>
  <c r="T414" i="57"/>
  <c r="U494" i="57" a="1"/>
  <c r="U494" i="57" s="1"/>
  <c r="O196" i="57"/>
  <c r="S151" i="57"/>
  <c r="R75" i="57"/>
  <c r="T243" i="57"/>
  <c r="U40" i="57" a="1"/>
  <c r="U40" i="57" s="1"/>
  <c r="R66" i="57"/>
  <c r="T282" i="57"/>
  <c r="U346" i="57" a="1"/>
  <c r="U346" i="57" s="1"/>
  <c r="R303" i="57"/>
  <c r="T348" i="57"/>
  <c r="U161" i="57" a="1"/>
  <c r="U161" i="57" s="1"/>
  <c r="R151" i="57"/>
  <c r="U151" i="57" a="1"/>
  <c r="U151" i="57" s="1"/>
  <c r="O243" i="57"/>
  <c r="R282" i="57"/>
  <c r="V514" i="57"/>
  <c r="U414" i="57" a="1"/>
  <c r="U414" i="57" s="1"/>
  <c r="S276" i="57"/>
  <c r="S259" i="57"/>
  <c r="O161" i="57"/>
  <c r="U75" i="57" a="1"/>
  <c r="U75" i="57" s="1"/>
  <c r="V282" i="57"/>
  <c r="V346" i="57"/>
  <c r="T412" i="57"/>
  <c r="U462" i="57" a="1"/>
  <c r="U462" i="57" s="1"/>
  <c r="T229" i="57"/>
  <c r="J450" i="57"/>
  <c r="J508" i="57"/>
  <c r="J96" i="57"/>
  <c r="J382" i="57"/>
  <c r="L96" i="57"/>
  <c r="N96" i="57" s="1"/>
  <c r="L269" i="57"/>
  <c r="L164" i="57"/>
  <c r="U278" i="57" a="1"/>
  <c r="U278" i="57" s="1"/>
  <c r="L198" i="57"/>
  <c r="N198" i="57" s="1"/>
  <c r="V287" i="57"/>
  <c r="L229" i="57"/>
  <c r="N229" i="57" s="1"/>
  <c r="T278" i="57"/>
  <c r="L56" i="57"/>
  <c r="J272" i="57"/>
  <c r="J334" i="57"/>
  <c r="J462" i="57"/>
  <c r="AA450" i="57" a="1"/>
  <c r="AA450" i="57" s="1"/>
  <c r="L463" i="57"/>
  <c r="N463" i="57" s="1"/>
  <c r="U495" i="57" a="1"/>
  <c r="U495" i="57" s="1"/>
  <c r="L136" i="57"/>
  <c r="S157" i="57"/>
  <c r="J444" i="57"/>
  <c r="L174" i="57"/>
  <c r="L192" i="57"/>
  <c r="M192" i="57" s="1"/>
  <c r="L450" i="57"/>
  <c r="M450" i="57" s="1"/>
  <c r="S62" i="57"/>
  <c r="S56" i="57"/>
  <c r="L339" i="57"/>
  <c r="N339" i="57" s="1"/>
  <c r="V251" i="57"/>
  <c r="T353" i="57"/>
  <c r="V62" i="57"/>
  <c r="U505" i="57" a="1"/>
  <c r="U505" i="57" s="1"/>
  <c r="V388" i="57"/>
  <c r="S161" i="57"/>
  <c r="J469" i="57"/>
  <c r="V278" i="57"/>
  <c r="L208" i="57"/>
  <c r="M208" i="57" s="1"/>
  <c r="S398" i="57"/>
  <c r="S308" i="57"/>
  <c r="J482" i="57"/>
  <c r="L69" i="57"/>
  <c r="M69" i="57" s="1"/>
  <c r="T56" i="57"/>
  <c r="U408" i="57" a="1"/>
  <c r="U408" i="57" s="1"/>
  <c r="U345" i="57" a="1"/>
  <c r="U345" i="57" s="1"/>
  <c r="L431" i="57"/>
  <c r="M431" i="57" s="1"/>
  <c r="R345" i="57"/>
  <c r="V424" i="57"/>
  <c r="V147" i="57"/>
  <c r="AA222" i="57" a="1"/>
  <c r="AA222" i="57" s="1"/>
  <c r="U328" i="57" a="1"/>
  <c r="U328" i="57" s="1"/>
  <c r="S353" i="57"/>
  <c r="U281" i="57" a="1"/>
  <c r="U281" i="57" s="1"/>
  <c r="T113" i="57"/>
  <c r="J186" i="57"/>
  <c r="J38" i="57"/>
  <c r="J404" i="57"/>
  <c r="V157" i="57"/>
  <c r="T495" i="57"/>
  <c r="R370" i="57"/>
  <c r="R279" i="57"/>
  <c r="S345" i="57"/>
  <c r="R161" i="57"/>
  <c r="O328" i="57"/>
  <c r="J205" i="57"/>
  <c r="S476" i="57"/>
  <c r="U205" i="57" a="1"/>
  <c r="U205" i="57" s="1"/>
  <c r="U381" i="57" a="1"/>
  <c r="U381" i="57" s="1"/>
  <c r="V296" i="57"/>
  <c r="T119" i="57"/>
  <c r="U302" i="57" a="1"/>
  <c r="U302" i="57" s="1"/>
  <c r="J219" i="57"/>
  <c r="S278" i="57"/>
  <c r="L488" i="57"/>
  <c r="N488" i="57" s="1"/>
  <c r="L406" i="57"/>
  <c r="N406" i="57" s="1"/>
  <c r="T345" i="57"/>
  <c r="T161" i="57"/>
  <c r="R296" i="57"/>
  <c r="J322" i="57"/>
  <c r="L532" i="57"/>
  <c r="U450" i="57" a="1"/>
  <c r="U450" i="57" s="1"/>
  <c r="O370" i="57"/>
  <c r="S391" i="57"/>
  <c r="L414" i="57"/>
  <c r="M414" i="57" s="1"/>
  <c r="R352" i="57"/>
  <c r="R216" i="57"/>
  <c r="L440" i="57"/>
  <c r="N440" i="57" s="1"/>
  <c r="R328" i="57"/>
  <c r="L225" i="57"/>
  <c r="N225" i="57" s="1"/>
  <c r="L282" i="57"/>
  <c r="N282" i="57" s="1"/>
  <c r="L473" i="57"/>
  <c r="N473" i="57" s="1"/>
  <c r="L124" i="57"/>
  <c r="M124" i="57" s="1"/>
  <c r="T228" i="57"/>
  <c r="T216" i="57"/>
  <c r="L420" i="57"/>
  <c r="N420" i="57" s="1"/>
  <c r="L106" i="57"/>
  <c r="L238" i="57"/>
  <c r="M238" i="57" s="1"/>
  <c r="L502" i="57"/>
  <c r="L75" i="57"/>
  <c r="N75" i="57" s="1"/>
  <c r="L151" i="57"/>
  <c r="S141" i="57"/>
  <c r="L293" i="57"/>
  <c r="N293" i="57" s="1"/>
  <c r="R56" i="57"/>
  <c r="J466" i="57"/>
  <c r="J318" i="57"/>
  <c r="L231" i="57"/>
  <c r="N231" i="57" s="1"/>
  <c r="J39" i="57"/>
  <c r="V216" i="57"/>
  <c r="L363" i="57"/>
  <c r="M363" i="57" s="1"/>
  <c r="O324" i="57"/>
  <c r="L210" i="57"/>
  <c r="N210" i="57" s="1"/>
  <c r="T249" i="57"/>
  <c r="R509" i="57"/>
  <c r="L286" i="57"/>
  <c r="N286" i="57" s="1"/>
  <c r="L101" i="57"/>
  <c r="N101" i="57" s="1"/>
  <c r="L243" i="57"/>
  <c r="L533" i="57"/>
  <c r="M533" i="57" s="1"/>
  <c r="L273" i="57"/>
  <c r="M273" i="57" s="1"/>
  <c r="L242" i="57"/>
  <c r="N242" i="57" s="1"/>
  <c r="L518" i="57"/>
  <c r="N518" i="57" s="1"/>
  <c r="R396" i="57"/>
  <c r="J532" i="57"/>
  <c r="J448" i="57"/>
  <c r="J306" i="57"/>
  <c r="L232" i="57"/>
  <c r="M232" i="57" s="1"/>
  <c r="J464" i="57"/>
  <c r="L439" i="57"/>
  <c r="M439" i="57" s="1"/>
  <c r="L72" i="57"/>
  <c r="L334" i="57"/>
  <c r="N334" i="57" s="1"/>
  <c r="U216" i="57" a="1"/>
  <c r="U216" i="57" s="1"/>
  <c r="J49" i="57"/>
  <c r="S509" i="57"/>
  <c r="AA41" i="57" a="1"/>
  <c r="AA41" i="57" s="1"/>
  <c r="L464" i="57"/>
  <c r="M464" i="57" s="1"/>
  <c r="L265" i="57"/>
  <c r="N265" i="57" s="1"/>
  <c r="S315" i="57"/>
  <c r="L424" i="57"/>
  <c r="M424" i="57" s="1"/>
  <c r="L266" i="57"/>
  <c r="N266" i="57" s="1"/>
  <c r="L117" i="57"/>
  <c r="N117" i="57" s="1"/>
  <c r="L119" i="57"/>
  <c r="M119" i="57" s="1"/>
  <c r="L330" i="57"/>
  <c r="N330" i="57" s="1"/>
  <c r="L507" i="57"/>
  <c r="N507" i="57" s="1"/>
  <c r="L146" i="57"/>
  <c r="N146" i="57" s="1"/>
  <c r="S162" i="57"/>
  <c r="L191" i="57"/>
  <c r="N191" i="57" s="1"/>
  <c r="J133" i="57"/>
  <c r="L336" i="57"/>
  <c r="M336" i="57" s="1"/>
  <c r="L356" i="57"/>
  <c r="L307" i="57"/>
  <c r="M307" i="57" s="1"/>
  <c r="L165" i="57"/>
  <c r="N165" i="57" s="1"/>
  <c r="L110" i="57"/>
  <c r="N110" i="57" s="1"/>
  <c r="L42" i="57"/>
  <c r="N42" i="57" s="1"/>
  <c r="L193" i="57"/>
  <c r="N193" i="57" s="1"/>
  <c r="L197" i="57"/>
  <c r="M197" i="57" s="1"/>
  <c r="L47" i="57"/>
  <c r="M47" i="57" s="1"/>
  <c r="L351" i="57"/>
  <c r="M351" i="57" s="1"/>
  <c r="L267" i="57"/>
  <c r="M267" i="57" s="1"/>
  <c r="L525" i="57"/>
  <c r="N525" i="57" s="1"/>
  <c r="L300" i="57"/>
  <c r="N300" i="57" s="1"/>
  <c r="S269" i="57"/>
  <c r="J78" i="57"/>
  <c r="L217" i="57"/>
  <c r="N217" i="57" s="1"/>
  <c r="U370" i="57" a="1"/>
  <c r="U370" i="57" s="1"/>
  <c r="U269" i="57" a="1"/>
  <c r="U269" i="57" s="1"/>
  <c r="L497" i="57"/>
  <c r="L244" i="57"/>
  <c r="M244" i="57" s="1"/>
  <c r="L74" i="57"/>
  <c r="N74" i="57" s="1"/>
  <c r="L179" i="57"/>
  <c r="N179" i="57" s="1"/>
  <c r="L510" i="57"/>
  <c r="N510" i="57" s="1"/>
  <c r="L458" i="57"/>
  <c r="M458" i="57" s="1"/>
  <c r="L516" i="57"/>
  <c r="M516" i="57" s="1"/>
  <c r="O316" i="57"/>
  <c r="L443" i="57"/>
  <c r="M443" i="57" s="1"/>
  <c r="J252" i="57"/>
  <c r="L366" i="57"/>
  <c r="M366" i="57" s="1"/>
  <c r="L337" i="57"/>
  <c r="L289" i="57"/>
  <c r="L256" i="57"/>
  <c r="L227" i="57"/>
  <c r="M227" i="57" s="1"/>
  <c r="L203" i="57"/>
  <c r="N203" i="57" s="1"/>
  <c r="L161" i="57"/>
  <c r="L509" i="57"/>
  <c r="N509" i="57" s="1"/>
  <c r="L113" i="57"/>
  <c r="N113" i="57" s="1"/>
  <c r="L416" i="57"/>
  <c r="M416" i="57" s="1"/>
  <c r="L515" i="57"/>
  <c r="N515" i="57" s="1"/>
  <c r="U84" i="57" a="1"/>
  <c r="U84" i="57" s="1"/>
  <c r="L37" i="57"/>
  <c r="M37" i="57" s="1"/>
  <c r="J269" i="57"/>
  <c r="J293" i="57"/>
  <c r="L522" i="57"/>
  <c r="M522" i="57" s="1"/>
  <c r="L342" i="57"/>
  <c r="N342" i="57" s="1"/>
  <c r="L92" i="57"/>
  <c r="N92" i="57" s="1"/>
  <c r="L246" i="57"/>
  <c r="L296" i="57"/>
  <c r="L86" i="57"/>
  <c r="N86" i="57" s="1"/>
  <c r="L401" i="57"/>
  <c r="J106" i="57"/>
  <c r="V522" i="57"/>
  <c r="L184" i="57"/>
  <c r="N184" i="57" s="1"/>
  <c r="L526" i="57"/>
  <c r="N526" i="57" s="1"/>
  <c r="S227" i="57"/>
  <c r="O404" i="57"/>
  <c r="O184" i="57"/>
  <c r="T184" i="57"/>
  <c r="L178" i="57"/>
  <c r="N178" i="57" s="1"/>
  <c r="U155" i="57" a="1"/>
  <c r="U155" i="57" s="1"/>
  <c r="U128" i="57" a="1"/>
  <c r="U128" i="57" s="1"/>
  <c r="L95" i="57"/>
  <c r="L126" i="57"/>
  <c r="L186" i="57"/>
  <c r="N186" i="57" s="1"/>
  <c r="L281" i="57"/>
  <c r="N281" i="57" s="1"/>
  <c r="L228" i="57"/>
  <c r="M228" i="57" s="1"/>
  <c r="L108" i="57"/>
  <c r="M108" i="57" s="1"/>
  <c r="S228" i="57"/>
  <c r="O162" i="57"/>
  <c r="L379" i="57"/>
  <c r="M379" i="57" s="1"/>
  <c r="L276" i="57"/>
  <c r="N276" i="57" s="1"/>
  <c r="L303" i="57"/>
  <c r="N303" i="57" s="1"/>
  <c r="R235" i="57"/>
  <c r="L395" i="57"/>
  <c r="S326" i="57"/>
  <c r="L371" i="57"/>
  <c r="N371" i="57" s="1"/>
  <c r="L115" i="57"/>
  <c r="N115" i="57" s="1"/>
  <c r="L394" i="57"/>
  <c r="L347" i="57"/>
  <c r="N347" i="57" s="1"/>
  <c r="L235" i="57"/>
  <c r="M235" i="57" s="1"/>
  <c r="T504" i="57"/>
  <c r="L441" i="57"/>
  <c r="L396" i="57"/>
  <c r="L83" i="57"/>
  <c r="N83" i="57" s="1"/>
  <c r="U522" i="57" a="1"/>
  <c r="U522" i="57" s="1"/>
  <c r="L287" i="57"/>
  <c r="L122" i="57"/>
  <c r="M122" i="57" s="1"/>
  <c r="L221" i="57"/>
  <c r="N221" i="57" s="1"/>
  <c r="L34" i="57"/>
  <c r="N34" i="57" s="1"/>
  <c r="S99" i="57"/>
  <c r="L66" i="57"/>
  <c r="N66" i="57" s="1"/>
  <c r="R326" i="57"/>
  <c r="L283" i="57"/>
  <c r="N283" i="57" s="1"/>
  <c r="O227" i="57"/>
  <c r="T117" i="57"/>
  <c r="S117" i="57"/>
  <c r="L477" i="57"/>
  <c r="N477" i="57" s="1"/>
  <c r="L505" i="57"/>
  <c r="L369" i="57"/>
  <c r="M369" i="57" s="1"/>
  <c r="S468" i="57"/>
  <c r="T221" i="57"/>
  <c r="T404" i="57"/>
  <c r="U190" i="57" a="1"/>
  <c r="U190" i="57" s="1"/>
  <c r="T227" i="57"/>
  <c r="L107" i="57"/>
  <c r="M107" i="57" s="1"/>
  <c r="R137" i="57"/>
  <c r="L51" i="57"/>
  <c r="M51" i="57" s="1"/>
  <c r="O115" i="57"/>
  <c r="L188" i="57"/>
  <c r="M188" i="57" s="1"/>
  <c r="L462" i="57"/>
  <c r="U72" i="57" a="1"/>
  <c r="U72" i="57" s="1"/>
  <c r="L153" i="57"/>
  <c r="O114" i="57"/>
  <c r="T331" i="57"/>
  <c r="V69" i="57"/>
  <c r="V162" i="57"/>
  <c r="V164" i="57"/>
  <c r="J424" i="57"/>
  <c r="L35" i="57"/>
  <c r="N35" i="57" s="1"/>
  <c r="L39" i="57"/>
  <c r="M39" i="57" s="1"/>
  <c r="J155" i="57"/>
  <c r="J182" i="57"/>
  <c r="L467" i="57"/>
  <c r="M467" i="57" s="1"/>
  <c r="T405" i="57"/>
  <c r="L491" i="57"/>
  <c r="M491" i="57" s="1"/>
  <c r="L321" i="57"/>
  <c r="L520" i="57"/>
  <c r="M520" i="57" s="1"/>
  <c r="L345" i="57"/>
  <c r="T522" i="57"/>
  <c r="L332" i="57"/>
  <c r="N332" i="57" s="1"/>
  <c r="L254" i="57"/>
  <c r="R155" i="57"/>
  <c r="L137" i="57"/>
  <c r="N137" i="57" s="1"/>
  <c r="L154" i="57"/>
  <c r="M154" i="57" s="1"/>
  <c r="L59" i="57"/>
  <c r="L380" i="57"/>
  <c r="N380" i="57" s="1"/>
  <c r="L495" i="57"/>
  <c r="N495" i="57" s="1"/>
  <c r="L523" i="57"/>
  <c r="M523" i="57" s="1"/>
  <c r="V404" i="57"/>
  <c r="L304" i="57"/>
  <c r="N304" i="57" s="1"/>
  <c r="R171" i="57"/>
  <c r="L147" i="57"/>
  <c r="T162" i="57"/>
  <c r="L487" i="57"/>
  <c r="L361" i="57"/>
  <c r="N361" i="57" s="1"/>
  <c r="U468" i="57" a="1"/>
  <c r="U468" i="57" s="1"/>
  <c r="S155" i="57"/>
  <c r="O178" i="57"/>
  <c r="U227" i="57" a="1"/>
  <c r="U227" i="57" s="1"/>
  <c r="R178" i="57"/>
  <c r="L199" i="57"/>
  <c r="L84" i="57"/>
  <c r="M84" i="57" s="1"/>
  <c r="L205" i="57"/>
  <c r="M205" i="57" s="1"/>
  <c r="L142" i="57"/>
  <c r="M142" i="57" s="1"/>
  <c r="L409" i="57"/>
  <c r="M409" i="57" s="1"/>
  <c r="S72" i="57"/>
  <c r="T124" i="57"/>
  <c r="L201" i="57"/>
  <c r="T112" i="57"/>
  <c r="T333" i="57"/>
  <c r="O249" i="57"/>
  <c r="U351" i="57" a="1"/>
  <c r="U351" i="57" s="1"/>
  <c r="L397" i="57"/>
  <c r="N397" i="57" s="1"/>
  <c r="J165" i="57"/>
  <c r="L412" i="57"/>
  <c r="N412" i="57" s="1"/>
  <c r="L453" i="57"/>
  <c r="M453" i="57" s="1"/>
  <c r="L353" i="57"/>
  <c r="L206" i="57"/>
  <c r="N206" i="57" s="1"/>
  <c r="L508" i="57"/>
  <c r="N508" i="57" s="1"/>
  <c r="L388" i="57"/>
  <c r="M388" i="57" s="1"/>
  <c r="L399" i="57"/>
  <c r="N399" i="57" s="1"/>
  <c r="S504" i="57"/>
  <c r="L489" i="57"/>
  <c r="N489" i="57" s="1"/>
  <c r="L413" i="57"/>
  <c r="J34" i="57"/>
  <c r="L302" i="57"/>
  <c r="L448" i="57"/>
  <c r="M448" i="57" s="1"/>
  <c r="L279" i="57"/>
  <c r="L460" i="57"/>
  <c r="V128" i="57"/>
  <c r="V155" i="57"/>
  <c r="S216" i="57"/>
  <c r="R117" i="57"/>
  <c r="R413" i="57"/>
  <c r="J256" i="57"/>
  <c r="L451" i="57"/>
  <c r="N451" i="57" s="1"/>
  <c r="O84" i="57"/>
  <c r="T155" i="57"/>
  <c r="S128" i="57"/>
  <c r="L97" i="57"/>
  <c r="L449" i="57"/>
  <c r="U235" i="57" a="1"/>
  <c r="U235" i="57" s="1"/>
  <c r="L338" i="57"/>
  <c r="M338" i="57" s="1"/>
  <c r="L214" i="57"/>
  <c r="L263" i="57"/>
  <c r="L162" i="57"/>
  <c r="M162" i="57" s="1"/>
  <c r="U162" i="57" a="1"/>
  <c r="U162" i="57" s="1"/>
  <c r="S396" i="57"/>
  <c r="U463" i="57" a="1"/>
  <c r="U463" i="57" s="1"/>
  <c r="L391" i="57"/>
  <c r="N391" i="57" s="1"/>
  <c r="L278" i="57"/>
  <c r="M278" i="57" s="1"/>
  <c r="V352" i="57"/>
  <c r="L474" i="57"/>
  <c r="M474" i="57" s="1"/>
  <c r="J483" i="57"/>
  <c r="L346" i="57"/>
  <c r="N346" i="57" s="1"/>
  <c r="U378" i="57" a="1"/>
  <c r="U378" i="57" s="1"/>
  <c r="O391" i="57"/>
  <c r="L410" i="57"/>
  <c r="O352" i="57"/>
  <c r="L436" i="57"/>
  <c r="R227" i="57"/>
  <c r="T178" i="57"/>
  <c r="U353" i="57" a="1"/>
  <c r="U353" i="57" s="1"/>
  <c r="L168" i="57"/>
  <c r="N168" i="57" s="1"/>
  <c r="L216" i="57"/>
  <c r="N216" i="57" s="1"/>
  <c r="L512" i="57"/>
  <c r="N512" i="57" s="1"/>
  <c r="V72" i="57"/>
  <c r="U124" i="57" a="1"/>
  <c r="U124" i="57" s="1"/>
  <c r="R356" i="57"/>
  <c r="R428" i="57"/>
  <c r="O228" i="57"/>
  <c r="U279" i="57" a="1"/>
  <c r="U279" i="57" s="1"/>
  <c r="R122" i="57"/>
  <c r="L62" i="57"/>
  <c r="L295" i="57"/>
  <c r="N295" i="57" s="1"/>
  <c r="J79" i="57"/>
  <c r="J254" i="57"/>
  <c r="J304" i="57"/>
  <c r="L38" i="57"/>
  <c r="N38" i="57" s="1"/>
  <c r="U213" i="57" a="1"/>
  <c r="U213" i="57" s="1"/>
  <c r="V213" i="57"/>
  <c r="R213" i="57"/>
  <c r="AA239" i="57" a="1"/>
  <c r="AA239" i="57" s="1"/>
  <c r="J239" i="57"/>
  <c r="S438" i="57"/>
  <c r="U438" i="57" a="1"/>
  <c r="U438" i="57" s="1"/>
  <c r="V438" i="57"/>
  <c r="U486" i="57" a="1"/>
  <c r="U486" i="57" s="1"/>
  <c r="T486" i="57"/>
  <c r="L486" i="57"/>
  <c r="V279" i="57"/>
  <c r="S279" i="57"/>
  <c r="T279" i="57"/>
  <c r="T502" i="57"/>
  <c r="S502" i="57"/>
  <c r="R502" i="57"/>
  <c r="U476" i="57" a="1"/>
  <c r="U476" i="57" s="1"/>
  <c r="L476" i="57"/>
  <c r="N476" i="57" s="1"/>
  <c r="R476" i="57"/>
  <c r="V476" i="57"/>
  <c r="T273" i="57"/>
  <c r="U273" i="57" a="1"/>
  <c r="U273" i="57" s="1"/>
  <c r="R273" i="57"/>
  <c r="O273" i="57"/>
  <c r="V179" i="57"/>
  <c r="T179" i="57"/>
  <c r="S179" i="57"/>
  <c r="U85" i="57" a="1"/>
  <c r="U85" i="57" s="1"/>
  <c r="R85" i="57"/>
  <c r="J63" i="57"/>
  <c r="U317" i="57" a="1"/>
  <c r="U317" i="57" s="1"/>
  <c r="L317" i="57"/>
  <c r="N317" i="57" s="1"/>
  <c r="T48" i="57"/>
  <c r="R48" i="57"/>
  <c r="O48" i="57"/>
  <c r="R189" i="57"/>
  <c r="S189" i="57"/>
  <c r="S407" i="57"/>
  <c r="L407" i="57"/>
  <c r="N407" i="57" s="1"/>
  <c r="V407" i="57"/>
  <c r="O407" i="57"/>
  <c r="AA216" i="57" a="1"/>
  <c r="AA216" i="57" s="1"/>
  <c r="J216" i="57"/>
  <c r="L364" i="57"/>
  <c r="R364" i="57"/>
  <c r="V364" i="57"/>
  <c r="T364" i="57"/>
  <c r="S332" i="57"/>
  <c r="V332" i="57"/>
  <c r="O332" i="57"/>
  <c r="S435" i="57"/>
  <c r="T435" i="57"/>
  <c r="L435" i="57"/>
  <c r="N435" i="57" s="1"/>
  <c r="V435" i="57"/>
  <c r="AA473" i="57" a="1"/>
  <c r="AA473" i="57" s="1"/>
  <c r="J473" i="57"/>
  <c r="T320" i="57"/>
  <c r="L320" i="57"/>
  <c r="T497" i="57"/>
  <c r="R497" i="57"/>
  <c r="V497" i="57"/>
  <c r="R59" i="57"/>
  <c r="S59" i="57"/>
  <c r="V321" i="57"/>
  <c r="U321" i="57" a="1"/>
  <c r="U321" i="57" s="1"/>
  <c r="U131" i="57" a="1"/>
  <c r="U131" i="57" s="1"/>
  <c r="O131" i="57"/>
  <c r="V131" i="57"/>
  <c r="T82" i="57"/>
  <c r="R82" i="57"/>
  <c r="U245" i="57" a="1"/>
  <c r="U245" i="57" s="1"/>
  <c r="L245" i="57"/>
  <c r="S245" i="57"/>
  <c r="V78" i="57"/>
  <c r="S78" i="57"/>
  <c r="T87" i="57"/>
  <c r="V87" i="57"/>
  <c r="L87" i="57"/>
  <c r="M87" i="57" s="1"/>
  <c r="S494" i="57"/>
  <c r="L494" i="57"/>
  <c r="N494" i="57" s="1"/>
  <c r="V339" i="57"/>
  <c r="O339" i="57"/>
  <c r="S339" i="57"/>
  <c r="U339" i="57" a="1"/>
  <c r="U339" i="57" s="1"/>
  <c r="T339" i="57"/>
  <c r="R257" i="57"/>
  <c r="O257" i="57"/>
  <c r="T257" i="57"/>
  <c r="AA257" i="57" a="1"/>
  <c r="AA257" i="57" s="1"/>
  <c r="J257" i="57"/>
  <c r="T314" i="57"/>
  <c r="V314" i="57"/>
  <c r="O286" i="57"/>
  <c r="T286" i="57"/>
  <c r="V286" i="57"/>
  <c r="S286" i="57"/>
  <c r="O513" i="57"/>
  <c r="U513" i="57" a="1"/>
  <c r="U513" i="57" s="1"/>
  <c r="L513" i="57"/>
  <c r="M513" i="57" s="1"/>
  <c r="S513" i="57"/>
  <c r="R291" i="57"/>
  <c r="T291" i="57"/>
  <c r="O291" i="57"/>
  <c r="T340" i="57"/>
  <c r="U340" i="57" a="1"/>
  <c r="U340" i="57" s="1"/>
  <c r="L340" i="57"/>
  <c r="T54" i="57"/>
  <c r="V54" i="57"/>
  <c r="O54" i="57"/>
  <c r="T182" i="57"/>
  <c r="O182" i="57"/>
  <c r="O390" i="57"/>
  <c r="T390" i="57"/>
  <c r="L479" i="57"/>
  <c r="M479" i="57" s="1"/>
  <c r="O212" i="57"/>
  <c r="L288" i="57"/>
  <c r="M288" i="57" s="1"/>
  <c r="O35" i="57"/>
  <c r="V82" i="57"/>
  <c r="O467" i="57"/>
  <c r="S402" i="57"/>
  <c r="T132" i="57"/>
  <c r="V77" i="57"/>
  <c r="J325" i="57"/>
  <c r="U407" i="57" a="1"/>
  <c r="U407" i="57" s="1"/>
  <c r="V498" i="57"/>
  <c r="L359" i="57"/>
  <c r="M359" i="57" s="1"/>
  <c r="R212" i="57"/>
  <c r="L189" i="57"/>
  <c r="M189" i="57" s="1"/>
  <c r="S288" i="57"/>
  <c r="R35" i="57"/>
  <c r="L82" i="57"/>
  <c r="N82" i="57" s="1"/>
  <c r="R39" i="57"/>
  <c r="T78" i="57"/>
  <c r="R349" i="57"/>
  <c r="R60" i="57"/>
  <c r="R132" i="57"/>
  <c r="R407" i="57"/>
  <c r="O435" i="57"/>
  <c r="V512" i="57"/>
  <c r="U48" i="57" a="1"/>
  <c r="U48" i="57" s="1"/>
  <c r="R498" i="57"/>
  <c r="AA515" i="57" a="1"/>
  <c r="AA515" i="57" s="1"/>
  <c r="J515" i="57"/>
  <c r="O218" i="57"/>
  <c r="L218" i="57"/>
  <c r="S218" i="57"/>
  <c r="V218" i="57"/>
  <c r="R167" i="57"/>
  <c r="V167" i="57"/>
  <c r="O167" i="57"/>
  <c r="S350" i="57"/>
  <c r="T39" i="57"/>
  <c r="R422" i="57"/>
  <c r="V422" i="57"/>
  <c r="R519" i="57"/>
  <c r="S450" i="57"/>
  <c r="U350" i="57" a="1"/>
  <c r="U350" i="57" s="1"/>
  <c r="T332" i="57"/>
  <c r="O372" i="57"/>
  <c r="S257" i="57"/>
  <c r="L159" i="57"/>
  <c r="N159" i="57" s="1"/>
  <c r="L48" i="57"/>
  <c r="N48" i="57" s="1"/>
  <c r="R314" i="57"/>
  <c r="U170" i="57" a="1"/>
  <c r="U170" i="57" s="1"/>
  <c r="O271" i="57"/>
  <c r="V502" i="57"/>
  <c r="O481" i="57"/>
  <c r="V519" i="57"/>
  <c r="R332" i="57"/>
  <c r="AA426" i="57" a="1"/>
  <c r="AA426" i="57" s="1"/>
  <c r="S372" i="57"/>
  <c r="O132" i="57"/>
  <c r="S159" i="57"/>
  <c r="V257" i="57"/>
  <c r="T51" i="57"/>
  <c r="L182" i="57"/>
  <c r="N182" i="57" s="1"/>
  <c r="L132" i="57"/>
  <c r="M132" i="57" s="1"/>
  <c r="L145" i="57"/>
  <c r="N145" i="57" s="1"/>
  <c r="O145" i="57"/>
  <c r="T321" i="57"/>
  <c r="U59" i="57" a="1"/>
  <c r="U59" i="57" s="1"/>
  <c r="S95" i="57"/>
  <c r="R91" i="57"/>
  <c r="L91" i="57"/>
  <c r="N91" i="57" s="1"/>
  <c r="O192" i="57"/>
  <c r="S192" i="57"/>
  <c r="O224" i="57"/>
  <c r="V224" i="57"/>
  <c r="T224" i="57"/>
  <c r="L224" i="57"/>
  <c r="N224" i="57" s="1"/>
  <c r="U397" i="57" a="1"/>
  <c r="U397" i="57" s="1"/>
  <c r="S397" i="57"/>
  <c r="J296" i="57"/>
  <c r="V432" i="57"/>
  <c r="T189" i="57"/>
  <c r="R340" i="57"/>
  <c r="U291" i="57" a="1"/>
  <c r="U291" i="57" s="1"/>
  <c r="O453" i="57"/>
  <c r="L372" i="57"/>
  <c r="M372" i="57" s="1"/>
  <c r="V320" i="57"/>
  <c r="J117" i="57"/>
  <c r="U257" i="57" a="1"/>
  <c r="U257" i="57" s="1"/>
  <c r="U95" i="57" a="1"/>
  <c r="U95" i="57" s="1"/>
  <c r="AA155" i="57" a="1"/>
  <c r="AA155" i="57" s="1"/>
  <c r="L481" i="57"/>
  <c r="M481" i="57" s="1"/>
  <c r="O78" i="57"/>
  <c r="V145" i="57"/>
  <c r="U512" i="57" a="1"/>
  <c r="U512" i="57" s="1"/>
  <c r="O59" i="57"/>
  <c r="R95" i="57"/>
  <c r="T168" i="57"/>
  <c r="U189" i="57" a="1"/>
  <c r="U189" i="57" s="1"/>
  <c r="T354" i="57"/>
  <c r="O354" i="57"/>
  <c r="L354" i="57"/>
  <c r="M354" i="57" s="1"/>
  <c r="U354" i="57" a="1"/>
  <c r="U354" i="57" s="1"/>
  <c r="U498" i="57" a="1"/>
  <c r="U498" i="57" s="1"/>
  <c r="T512" i="57"/>
  <c r="U372" i="57" a="1"/>
  <c r="U372" i="57" s="1"/>
  <c r="T70" i="57"/>
  <c r="S466" i="57"/>
  <c r="AA424" i="57" a="1"/>
  <c r="AA424" i="57" s="1"/>
  <c r="S481" i="57"/>
  <c r="O466" i="57"/>
  <c r="L422" i="57"/>
  <c r="M422" i="57" s="1"/>
  <c r="V434" i="57"/>
  <c r="V340" i="57"/>
  <c r="V354" i="57"/>
  <c r="V291" i="57"/>
  <c r="U359" i="57" a="1"/>
  <c r="U359" i="57" s="1"/>
  <c r="R453" i="57"/>
  <c r="T372" i="57"/>
  <c r="R320" i="57"/>
  <c r="L131" i="57"/>
  <c r="T91" i="57"/>
  <c r="L271" i="57"/>
  <c r="N271" i="57" s="1"/>
  <c r="L466" i="57"/>
  <c r="M466" i="57" s="1"/>
  <c r="R145" i="57"/>
  <c r="R87" i="57"/>
  <c r="U168" i="57" a="1"/>
  <c r="U168" i="57" s="1"/>
  <c r="V189" i="57"/>
  <c r="T407" i="57"/>
  <c r="L390" i="57"/>
  <c r="N390" i="57" s="1"/>
  <c r="O403" i="57"/>
  <c r="U403" i="57" a="1"/>
  <c r="U403" i="57" s="1"/>
  <c r="R74" i="57"/>
  <c r="U74" i="57" a="1"/>
  <c r="U74" i="57" s="1"/>
  <c r="L257" i="57"/>
  <c r="T95" i="57"/>
  <c r="V95" i="57"/>
  <c r="AA182" i="57" a="1"/>
  <c r="AA182" i="57" s="1"/>
  <c r="S104" i="57"/>
  <c r="U145" i="57" a="1"/>
  <c r="U145" i="57" s="1"/>
  <c r="S87" i="57"/>
  <c r="S497" i="57"/>
  <c r="O340" i="57"/>
  <c r="R182" i="57"/>
  <c r="O168" i="57"/>
  <c r="S51" i="57"/>
  <c r="J90" i="57"/>
  <c r="J261" i="57"/>
  <c r="T77" i="57"/>
  <c r="R77" i="57"/>
  <c r="L77" i="57"/>
  <c r="U146" i="57" a="1"/>
  <c r="U146" i="57" s="1"/>
  <c r="S146" i="57"/>
  <c r="R146" i="57"/>
  <c r="T40" i="57"/>
  <c r="L40" i="57"/>
  <c r="R40" i="57"/>
  <c r="S40" i="57"/>
  <c r="V40" i="57"/>
  <c r="V467" i="57"/>
  <c r="U467" i="57" a="1"/>
  <c r="U467" i="57" s="1"/>
  <c r="T467" i="57"/>
  <c r="R467" i="57"/>
  <c r="S467" i="57"/>
  <c r="R512" i="57"/>
  <c r="O512" i="57"/>
  <c r="O211" i="57"/>
  <c r="L211" i="57"/>
  <c r="U211" i="57" a="1"/>
  <c r="U211" i="57" s="1"/>
  <c r="R218" i="57"/>
  <c r="V288" i="57"/>
  <c r="V35" i="57"/>
  <c r="O362" i="57"/>
  <c r="S362" i="57"/>
  <c r="T287" i="57"/>
  <c r="S287" i="57"/>
  <c r="U332" i="57" a="1"/>
  <c r="U332" i="57" s="1"/>
  <c r="J359" i="57"/>
  <c r="U87" i="57" a="1"/>
  <c r="U87" i="57" s="1"/>
  <c r="S145" i="57"/>
  <c r="U437" i="57" a="1"/>
  <c r="U437" i="57" s="1"/>
  <c r="L437" i="57"/>
  <c r="M437" i="57" s="1"/>
  <c r="T437" i="57"/>
  <c r="S493" i="57"/>
  <c r="L493" i="57"/>
  <c r="R481" i="57"/>
  <c r="R466" i="57"/>
  <c r="O422" i="57"/>
  <c r="R434" i="57"/>
  <c r="O314" i="57"/>
  <c r="R354" i="57"/>
  <c r="L291" i="57"/>
  <c r="M291" i="57" s="1"/>
  <c r="O359" i="57"/>
  <c r="T453" i="57"/>
  <c r="V372" i="57"/>
  <c r="O320" i="57"/>
  <c r="U51" i="57" a="1"/>
  <c r="U51" i="57" s="1"/>
  <c r="R522" i="57"/>
  <c r="L442" i="57"/>
  <c r="V481" i="57"/>
  <c r="O392" i="57"/>
  <c r="S314" i="57"/>
  <c r="S437" i="57"/>
  <c r="T250" i="57"/>
  <c r="R359" i="57"/>
  <c r="U453" i="57" a="1"/>
  <c r="U453" i="57" s="1"/>
  <c r="R287" i="57"/>
  <c r="S320" i="57"/>
  <c r="S224" i="57"/>
  <c r="R159" i="57"/>
  <c r="L60" i="57"/>
  <c r="N60" i="57" s="1"/>
  <c r="L167" i="57"/>
  <c r="M167" i="57" s="1"/>
  <c r="U104" i="57" a="1"/>
  <c r="U104" i="57" s="1"/>
  <c r="U422" i="57" a="1"/>
  <c r="U422" i="57" s="1"/>
  <c r="U182" i="57" a="1"/>
  <c r="U182" i="57" s="1"/>
  <c r="S168" i="57"/>
  <c r="V146" i="57"/>
  <c r="S392" i="57"/>
  <c r="J228" i="57"/>
  <c r="S39" i="57"/>
  <c r="V39" i="57"/>
  <c r="O39" i="57"/>
  <c r="U110" i="57" a="1"/>
  <c r="U110" i="57" s="1"/>
  <c r="R392" i="57"/>
  <c r="R513" i="57"/>
  <c r="L314" i="57"/>
  <c r="M314" i="57" s="1"/>
  <c r="V437" i="57"/>
  <c r="R250" i="57"/>
  <c r="U271" i="57" a="1"/>
  <c r="U271" i="57" s="1"/>
  <c r="S213" i="57"/>
  <c r="U287" i="57" a="1"/>
  <c r="U287" i="57" s="1"/>
  <c r="U320" i="57" a="1"/>
  <c r="U320" i="57" s="1"/>
  <c r="U224" i="57" a="1"/>
  <c r="U224" i="57" s="1"/>
  <c r="R224" i="57"/>
  <c r="T159" i="57"/>
  <c r="T167" i="57"/>
  <c r="T104" i="57"/>
  <c r="L54" i="57"/>
  <c r="M54" i="57" s="1"/>
  <c r="O476" i="57"/>
  <c r="S403" i="57"/>
  <c r="T381" i="57"/>
  <c r="V182" i="57"/>
  <c r="V170" i="57"/>
  <c r="S60" i="57"/>
  <c r="J409" i="57"/>
  <c r="J524" i="57"/>
  <c r="J98" i="57"/>
  <c r="J434" i="57"/>
  <c r="J287" i="57"/>
  <c r="J235" i="57"/>
  <c r="J311" i="57"/>
  <c r="J353" i="57"/>
  <c r="J157" i="57"/>
  <c r="J369" i="57"/>
  <c r="J150" i="57"/>
  <c r="J422" i="57"/>
  <c r="J188" i="57"/>
  <c r="J447" i="57"/>
  <c r="J419" i="57"/>
  <c r="L299" i="57"/>
  <c r="N299" i="57" s="1"/>
  <c r="R157" i="57"/>
  <c r="S140" i="57"/>
  <c r="L140" i="57"/>
  <c r="L222" i="57"/>
  <c r="N222" i="57" s="1"/>
  <c r="L114" i="57"/>
  <c r="T114" i="57"/>
  <c r="T469" i="57"/>
  <c r="V313" i="57"/>
  <c r="V247" i="57"/>
  <c r="J210" i="57"/>
  <c r="V302" i="57"/>
  <c r="J316" i="57"/>
  <c r="J129" i="57"/>
  <c r="J193" i="57"/>
  <c r="J280" i="57"/>
  <c r="J310" i="57"/>
  <c r="J172" i="57"/>
  <c r="J297" i="57"/>
  <c r="J456" i="57"/>
  <c r="J128" i="57"/>
  <c r="J277" i="57"/>
  <c r="J114" i="57"/>
  <c r="J223" i="57"/>
  <c r="J393" i="57"/>
  <c r="J438" i="57"/>
  <c r="J299" i="57"/>
  <c r="J396" i="57"/>
  <c r="J492" i="57"/>
  <c r="R409" i="57"/>
  <c r="S313" i="57"/>
  <c r="S206" i="57"/>
  <c r="T137" i="57"/>
  <c r="J178" i="57"/>
  <c r="U47" i="57" a="1"/>
  <c r="U47" i="57" s="1"/>
  <c r="U342" i="57" a="1"/>
  <c r="U342" i="57" s="1"/>
  <c r="V186" i="57"/>
  <c r="U62" i="57" a="1"/>
  <c r="U62" i="57" s="1"/>
  <c r="T462" i="57"/>
  <c r="S302" i="57"/>
  <c r="J485" i="57"/>
  <c r="J244" i="57"/>
  <c r="J518" i="57"/>
  <c r="J435" i="57"/>
  <c r="J226" i="57"/>
  <c r="J233" i="57"/>
  <c r="J411" i="57"/>
  <c r="J491" i="57"/>
  <c r="J263" i="57"/>
  <c r="J478" i="57"/>
  <c r="J171" i="57"/>
  <c r="J202" i="57"/>
  <c r="J401" i="57"/>
  <c r="J298" i="57"/>
  <c r="J245" i="57"/>
  <c r="J288" i="57"/>
  <c r="J180" i="57"/>
  <c r="J406" i="57"/>
  <c r="J308" i="57"/>
  <c r="J362" i="57"/>
  <c r="J102" i="57"/>
  <c r="J241" i="57"/>
  <c r="J234" i="57"/>
  <c r="J158" i="57"/>
  <c r="J279" i="57"/>
  <c r="J268" i="57"/>
  <c r="J531" i="57"/>
  <c r="R97" i="57"/>
  <c r="L247" i="57"/>
  <c r="M247" i="57" s="1"/>
  <c r="U516" i="57" a="1"/>
  <c r="U516" i="57" s="1"/>
  <c r="J100" i="57"/>
  <c r="J137" i="57"/>
  <c r="J264" i="57"/>
  <c r="J418" i="57"/>
  <c r="J208" i="57"/>
  <c r="U292" i="57" a="1"/>
  <c r="U292" i="57" s="1"/>
  <c r="J415" i="57"/>
  <c r="J403" i="57"/>
  <c r="R215" i="57"/>
  <c r="J168" i="57"/>
  <c r="V485" i="57"/>
  <c r="S370" i="57"/>
  <c r="S405" i="57"/>
  <c r="T410" i="57"/>
  <c r="S410" i="57"/>
  <c r="T259" i="57"/>
  <c r="S215" i="57"/>
  <c r="U295" i="57" a="1"/>
  <c r="U295" i="57" s="1"/>
  <c r="T382" i="57"/>
  <c r="S98" i="57"/>
  <c r="U98" i="57" a="1"/>
  <c r="U98" i="57" s="1"/>
  <c r="J526" i="57"/>
  <c r="R292" i="57"/>
  <c r="J373" i="57"/>
  <c r="J423" i="57"/>
  <c r="J255" i="57"/>
  <c r="S335" i="57"/>
  <c r="T253" i="57"/>
  <c r="J300" i="57"/>
  <c r="J410" i="57"/>
  <c r="V410" i="57"/>
  <c r="V370" i="57"/>
  <c r="U410" i="57" a="1"/>
  <c r="U410" i="57" s="1"/>
  <c r="S408" i="57"/>
  <c r="R259" i="57"/>
  <c r="U215" i="57" a="1"/>
  <c r="U215" i="57" s="1"/>
  <c r="J221" i="57"/>
  <c r="T295" i="57"/>
  <c r="T128" i="57"/>
  <c r="R99" i="57"/>
  <c r="L234" i="57"/>
  <c r="M234" i="57" s="1"/>
  <c r="J37" i="57"/>
  <c r="U335" i="57" a="1"/>
  <c r="U335" i="57" s="1"/>
  <c r="U455" i="57" a="1"/>
  <c r="U455" i="57" s="1"/>
  <c r="O310" i="57"/>
  <c r="R248" i="57"/>
  <c r="R411" i="57"/>
  <c r="V242" i="57"/>
  <c r="U333" i="57" a="1"/>
  <c r="U333" i="57" s="1"/>
  <c r="J112" i="57"/>
  <c r="S138" i="57"/>
  <c r="L99" i="57"/>
  <c r="N99" i="57" s="1"/>
  <c r="J425" i="57"/>
  <c r="J54" i="57"/>
  <c r="S295" i="57"/>
  <c r="T264" i="57"/>
  <c r="O248" i="57"/>
  <c r="O130" i="57"/>
  <c r="V367" i="57"/>
  <c r="O374" i="57"/>
  <c r="J95" i="57"/>
  <c r="J329" i="57"/>
  <c r="J398" i="57"/>
  <c r="J439" i="57"/>
  <c r="L196" i="57"/>
  <c r="M196" i="57" s="1"/>
  <c r="L455" i="57"/>
  <c r="N455" i="57" s="1"/>
  <c r="V295" i="57"/>
  <c r="V335" i="57"/>
  <c r="R264" i="57"/>
  <c r="V408" i="57"/>
  <c r="T99" i="57"/>
  <c r="S41" i="57"/>
  <c r="O41" i="57"/>
  <c r="L204" i="57"/>
  <c r="M204" i="57" s="1"/>
  <c r="J457" i="57"/>
  <c r="R449" i="57"/>
  <c r="R398" i="57"/>
  <c r="T292" i="57"/>
  <c r="T408" i="57"/>
  <c r="O174" i="57"/>
  <c r="U192" i="57" a="1"/>
  <c r="U192" i="57" s="1"/>
  <c r="J192" i="57"/>
  <c r="S200" i="57"/>
  <c r="L98" i="57"/>
  <c r="N98" i="57" s="1"/>
  <c r="L335" i="57"/>
  <c r="N335" i="57" s="1"/>
  <c r="S66" i="57"/>
  <c r="T66" i="57"/>
  <c r="U248" i="57" a="1"/>
  <c r="U248" i="57" s="1"/>
  <c r="S130" i="57"/>
  <c r="O128" i="57"/>
  <c r="J427" i="57"/>
  <c r="AA412" i="57" a="1"/>
  <c r="AA412" i="57" s="1"/>
  <c r="J303" i="57"/>
  <c r="U485" i="57" a="1"/>
  <c r="U485" i="57" s="1"/>
  <c r="S382" i="57"/>
  <c r="V248" i="57"/>
  <c r="O234" i="57"/>
  <c r="T130" i="57"/>
  <c r="V264" i="57"/>
  <c r="J290" i="57"/>
  <c r="O410" i="57"/>
  <c r="L253" i="57"/>
  <c r="N253" i="57" s="1"/>
  <c r="V374" i="57"/>
  <c r="T192" i="57"/>
  <c r="L383" i="57"/>
  <c r="N383" i="57" s="1"/>
  <c r="O449" i="57"/>
  <c r="V443" i="57"/>
  <c r="S423" i="57"/>
  <c r="V398" i="57"/>
  <c r="L292" i="57"/>
  <c r="U66" i="57" a="1"/>
  <c r="U66" i="57" s="1"/>
  <c r="R500" i="57"/>
  <c r="S443" i="57"/>
  <c r="L324" i="57"/>
  <c r="M324" i="57" s="1"/>
  <c r="V174" i="57"/>
  <c r="S174" i="57"/>
  <c r="L141" i="57"/>
  <c r="N141" i="57" s="1"/>
  <c r="L46" i="57"/>
  <c r="M46" i="57" s="1"/>
  <c r="J81" i="57"/>
  <c r="J420" i="57"/>
  <c r="S500" i="57"/>
  <c r="L475" i="57"/>
  <c r="M475" i="57" s="1"/>
  <c r="O367" i="57"/>
  <c r="R425" i="57"/>
  <c r="J342" i="57"/>
  <c r="U174" i="57" a="1"/>
  <c r="U174" i="57" s="1"/>
  <c r="O163" i="57"/>
  <c r="S455" i="57"/>
  <c r="V292" i="57"/>
  <c r="S248" i="57"/>
  <c r="U234" i="57" a="1"/>
  <c r="U234" i="57" s="1"/>
  <c r="T96" i="57"/>
  <c r="S383" i="57"/>
  <c r="J85" i="57"/>
  <c r="R295" i="57"/>
  <c r="T215" i="57"/>
  <c r="R253" i="57"/>
  <c r="V98" i="57"/>
  <c r="V99" i="57"/>
  <c r="R53" i="57"/>
  <c r="L190" i="57"/>
  <c r="N190" i="57" s="1"/>
  <c r="R41" i="57"/>
  <c r="AA80" i="57" a="1"/>
  <c r="AA80" i="57" s="1"/>
  <c r="L500" i="57"/>
  <c r="M500" i="57" s="1"/>
  <c r="L374" i="57"/>
  <c r="N374" i="57" s="1"/>
  <c r="R382" i="57"/>
  <c r="O383" i="57"/>
  <c r="T449" i="57"/>
  <c r="V423" i="57"/>
  <c r="T398" i="57"/>
  <c r="O292" i="57"/>
  <c r="L425" i="57"/>
  <c r="N425" i="57" s="1"/>
  <c r="L128" i="57"/>
  <c r="N128" i="57" s="1"/>
  <c r="L411" i="57"/>
  <c r="M411" i="57" s="1"/>
  <c r="V66" i="57"/>
  <c r="O429" i="57"/>
  <c r="U449" i="57" a="1"/>
  <c r="U449" i="57" s="1"/>
  <c r="T450" i="57"/>
  <c r="T443" i="57"/>
  <c r="L423" i="57"/>
  <c r="M423" i="57" s="1"/>
  <c r="R115" i="57"/>
  <c r="L104" i="57"/>
  <c r="M104" i="57" s="1"/>
  <c r="L367" i="57"/>
  <c r="N367" i="57" s="1"/>
  <c r="O493" i="57"/>
  <c r="T500" i="57"/>
  <c r="U475" i="57" a="1"/>
  <c r="U475" i="57" s="1"/>
  <c r="R429" i="57"/>
  <c r="O335" i="57"/>
  <c r="S449" i="57"/>
  <c r="V450" i="57"/>
  <c r="O443" i="57"/>
  <c r="O423" i="57"/>
  <c r="V425" i="57"/>
  <c r="U324" i="57" a="1"/>
  <c r="U324" i="57" s="1"/>
  <c r="S333" i="57"/>
  <c r="L352" i="57"/>
  <c r="N352" i="57" s="1"/>
  <c r="AA382" i="57" a="1"/>
  <c r="AA382" i="57" s="1"/>
  <c r="R246" i="57"/>
  <c r="L171" i="57"/>
  <c r="M171" i="57" s="1"/>
  <c r="R163" i="57"/>
  <c r="O44" i="57"/>
  <c r="V115" i="57"/>
  <c r="L503" i="57"/>
  <c r="N503" i="57" s="1"/>
  <c r="R191" i="57"/>
  <c r="U77" i="57" a="1"/>
  <c r="U77" i="57" s="1"/>
  <c r="S96" i="57"/>
  <c r="T146" i="57"/>
  <c r="U99" i="57" a="1"/>
  <c r="U99" i="57" s="1"/>
  <c r="J392" i="57"/>
  <c r="J134" i="57"/>
  <c r="J227" i="57"/>
  <c r="J262" i="57"/>
  <c r="J162" i="57"/>
  <c r="O485" i="57"/>
  <c r="L215" i="57"/>
  <c r="N215" i="57" s="1"/>
  <c r="R335" i="57"/>
  <c r="O450" i="57"/>
  <c r="R443" i="57"/>
  <c r="S425" i="57"/>
  <c r="O333" i="57"/>
  <c r="S191" i="57"/>
  <c r="L44" i="57"/>
  <c r="M44" i="57" s="1"/>
  <c r="L41" i="57"/>
  <c r="N41" i="57" s="1"/>
  <c r="L248" i="57"/>
  <c r="N248" i="57" s="1"/>
  <c r="S190" i="57"/>
  <c r="O464" i="57"/>
  <c r="R174" i="57"/>
  <c r="U382" i="57" a="1"/>
  <c r="U382" i="57" s="1"/>
  <c r="S234" i="57"/>
  <c r="O475" i="57"/>
  <c r="T53" i="57"/>
  <c r="S253" i="57"/>
  <c r="J501" i="57"/>
  <c r="U500" i="57" a="1"/>
  <c r="U500" i="57" s="1"/>
  <c r="V475" i="57"/>
  <c r="R423" i="57"/>
  <c r="R324" i="57"/>
  <c r="T352" i="57"/>
  <c r="L118" i="57"/>
  <c r="N118" i="57" s="1"/>
  <c r="R44" i="57"/>
  <c r="S115" i="57"/>
  <c r="T41" i="57"/>
  <c r="V500" i="57"/>
  <c r="T475" i="57"/>
  <c r="R374" i="57"/>
  <c r="V368" i="57"/>
  <c r="S485" i="57"/>
  <c r="J371" i="57"/>
  <c r="U425" i="57" a="1"/>
  <c r="U425" i="57" s="1"/>
  <c r="V324" i="57"/>
  <c r="S352" i="57"/>
  <c r="L212" i="57"/>
  <c r="M212" i="57" s="1"/>
  <c r="O118" i="57"/>
  <c r="S44" i="57"/>
  <c r="T115" i="57"/>
  <c r="U41" i="57" a="1"/>
  <c r="U41" i="57" s="1"/>
  <c r="J69" i="57"/>
  <c r="S264" i="57"/>
  <c r="S164" i="57"/>
  <c r="J463" i="57"/>
  <c r="J323" i="57"/>
  <c r="J314" i="57"/>
  <c r="J174" i="57"/>
  <c r="J230" i="57"/>
  <c r="J480" i="57"/>
  <c r="T242" i="57"/>
  <c r="V215" i="57"/>
  <c r="U264" i="57" a="1"/>
  <c r="U264" i="57" s="1"/>
  <c r="R130" i="57"/>
  <c r="J179" i="57"/>
  <c r="J50" i="57"/>
  <c r="R464" i="57"/>
  <c r="O382" i="57"/>
  <c r="L130" i="57"/>
  <c r="L264" i="57"/>
  <c r="M264" i="57" s="1"/>
  <c r="U374" i="57" a="1"/>
  <c r="U374" i="57" s="1"/>
  <c r="L485" i="57"/>
  <c r="N485" i="57" s="1"/>
  <c r="L370" i="57"/>
  <c r="N370" i="57" s="1"/>
  <c r="U405" i="57" a="1"/>
  <c r="U405" i="57" s="1"/>
  <c r="S324" i="57"/>
  <c r="U436" i="57" a="1"/>
  <c r="U436" i="57" s="1"/>
  <c r="T204" i="57"/>
  <c r="U44" i="57" a="1"/>
  <c r="U44" i="57" s="1"/>
  <c r="L382" i="57"/>
  <c r="N382" i="57" s="1"/>
  <c r="L310" i="57"/>
  <c r="N310" i="57" s="1"/>
  <c r="U464" i="57" a="1"/>
  <c r="U464" i="57" s="1"/>
  <c r="V191" i="57"/>
  <c r="T84" i="57"/>
  <c r="V253" i="57"/>
  <c r="R186" i="57"/>
  <c r="AA60" i="57" a="1"/>
  <c r="AA60" i="57" s="1"/>
  <c r="J60" i="57"/>
  <c r="O472" i="57"/>
  <c r="L472" i="57"/>
  <c r="M472" i="57" s="1"/>
  <c r="V472" i="57"/>
  <c r="U472" i="57" a="1"/>
  <c r="U472" i="57" s="1"/>
  <c r="T472" i="57"/>
  <c r="R472" i="57"/>
  <c r="S472" i="57"/>
  <c r="V172" i="57"/>
  <c r="U172" i="57" a="1"/>
  <c r="U172" i="57" s="1"/>
  <c r="S172" i="57"/>
  <c r="O172" i="57"/>
  <c r="R172" i="57"/>
  <c r="L172" i="57"/>
  <c r="N172" i="57" s="1"/>
  <c r="T172" i="57"/>
  <c r="AA441" i="57" a="1"/>
  <c r="AA441" i="57" s="1"/>
  <c r="J441" i="57"/>
  <c r="T233" i="57"/>
  <c r="L233" i="57"/>
  <c r="M233" i="57" s="1"/>
  <c r="S233" i="57"/>
  <c r="R233" i="57"/>
  <c r="U233" i="57" a="1"/>
  <c r="U233" i="57" s="1"/>
  <c r="O233" i="57"/>
  <c r="V233" i="57"/>
  <c r="O319" i="57"/>
  <c r="R319" i="57"/>
  <c r="L319" i="57"/>
  <c r="M319" i="57" s="1"/>
  <c r="V319" i="57"/>
  <c r="U319" i="57" a="1"/>
  <c r="U319" i="57" s="1"/>
  <c r="S319" i="57"/>
  <c r="T319" i="57"/>
  <c r="AA358" i="57" a="1"/>
  <c r="AA358" i="57" s="1"/>
  <c r="J358" i="57"/>
  <c r="O270" i="57"/>
  <c r="U270" i="57" a="1"/>
  <c r="U270" i="57" s="1"/>
  <c r="V270" i="57"/>
  <c r="T270" i="57"/>
  <c r="R270" i="57"/>
  <c r="S270" i="57"/>
  <c r="L270" i="57"/>
  <c r="N270" i="57" s="1"/>
  <c r="T480" i="57"/>
  <c r="U480" i="57" a="1"/>
  <c r="U480" i="57" s="1"/>
  <c r="V480" i="57"/>
  <c r="S480" i="57"/>
  <c r="R480" i="57"/>
  <c r="L480" i="57"/>
  <c r="N480" i="57" s="1"/>
  <c r="O480" i="57"/>
  <c r="U185" i="57" a="1"/>
  <c r="U185" i="57" s="1"/>
  <c r="O185" i="57"/>
  <c r="L185" i="57"/>
  <c r="N185" i="57" s="1"/>
  <c r="T185" i="57"/>
  <c r="R185" i="57"/>
  <c r="S185" i="57"/>
  <c r="V185" i="57"/>
  <c r="AA337" i="57" a="1"/>
  <c r="AA337" i="57" s="1"/>
  <c r="J337" i="57"/>
  <c r="U465" i="57" a="1"/>
  <c r="U465" i="57" s="1"/>
  <c r="L465" i="57"/>
  <c r="N465" i="57" s="1"/>
  <c r="T465" i="57"/>
  <c r="R465" i="57"/>
  <c r="O465" i="57"/>
  <c r="S465" i="57"/>
  <c r="V465" i="57"/>
  <c r="O524" i="57"/>
  <c r="T524" i="57"/>
  <c r="R524" i="57"/>
  <c r="S524" i="57"/>
  <c r="L524" i="57"/>
  <c r="N524" i="57" s="1"/>
  <c r="V524" i="57"/>
  <c r="U524" i="57" a="1"/>
  <c r="U524" i="57" s="1"/>
  <c r="J375" i="57"/>
  <c r="AA375" i="57" a="1"/>
  <c r="AA375" i="57" s="1"/>
  <c r="U262" i="57" a="1"/>
  <c r="U262" i="57" s="1"/>
  <c r="O262" i="57"/>
  <c r="T262" i="57"/>
  <c r="L262" i="57"/>
  <c r="N262" i="57" s="1"/>
  <c r="V262" i="57"/>
  <c r="R262" i="57"/>
  <c r="S262" i="57"/>
  <c r="S89" i="57"/>
  <c r="V89" i="57"/>
  <c r="L89" i="57"/>
  <c r="N89" i="57" s="1"/>
  <c r="R89" i="57"/>
  <c r="U89" i="57" a="1"/>
  <c r="U89" i="57" s="1"/>
  <c r="T89" i="57"/>
  <c r="O89" i="57"/>
  <c r="O280" i="57"/>
  <c r="U280" i="57" a="1"/>
  <c r="U280" i="57" s="1"/>
  <c r="T280" i="57"/>
  <c r="V280" i="57"/>
  <c r="L280" i="57"/>
  <c r="N280" i="57" s="1"/>
  <c r="S280" i="57"/>
  <c r="R280" i="57"/>
  <c r="R376" i="57"/>
  <c r="O376" i="57"/>
  <c r="T376" i="57"/>
  <c r="U376" i="57" a="1"/>
  <c r="U376" i="57" s="1"/>
  <c r="L376" i="57"/>
  <c r="N376" i="57" s="1"/>
  <c r="V376" i="57"/>
  <c r="S376" i="57"/>
  <c r="O152" i="57"/>
  <c r="V152" i="57"/>
  <c r="L152" i="57"/>
  <c r="N152" i="57" s="1"/>
  <c r="T152" i="57"/>
  <c r="R152" i="57"/>
  <c r="U152" i="57" a="1"/>
  <c r="U152" i="57" s="1"/>
  <c r="U187" i="57" a="1"/>
  <c r="U187" i="57" s="1"/>
  <c r="O187" i="57"/>
  <c r="L187" i="57"/>
  <c r="N187" i="57" s="1"/>
  <c r="R187" i="57"/>
  <c r="T187" i="57"/>
  <c r="V187" i="57"/>
  <c r="J164" i="57"/>
  <c r="AA164" i="57" a="1"/>
  <c r="AA164" i="57" s="1"/>
  <c r="R214" i="57"/>
  <c r="V214" i="57"/>
  <c r="U214" i="57" a="1"/>
  <c r="U214" i="57" s="1"/>
  <c r="S214" i="57"/>
  <c r="O214" i="57"/>
  <c r="O220" i="57"/>
  <c r="R220" i="57"/>
  <c r="U220" i="57" a="1"/>
  <c r="U220" i="57" s="1"/>
  <c r="L220" i="57"/>
  <c r="M220" i="57" s="1"/>
  <c r="T285" i="57"/>
  <c r="S285" i="57"/>
  <c r="O285" i="57"/>
  <c r="S459" i="57"/>
  <c r="L398" i="57"/>
  <c r="N398" i="57" s="1"/>
  <c r="R285" i="57"/>
  <c r="L103" i="57"/>
  <c r="M103" i="57" s="1"/>
  <c r="T214" i="57"/>
  <c r="O348" i="57"/>
  <c r="T138" i="57"/>
  <c r="J525" i="57"/>
  <c r="O365" i="57"/>
  <c r="T365" i="57"/>
  <c r="L365" i="57"/>
  <c r="M365" i="57" s="1"/>
  <c r="J355" i="57"/>
  <c r="V285" i="57"/>
  <c r="U285" i="57" a="1"/>
  <c r="U285" i="57" s="1"/>
  <c r="R138" i="57"/>
  <c r="U138" i="57" a="1"/>
  <c r="U138" i="57" s="1"/>
  <c r="O408" i="57"/>
  <c r="L408" i="57"/>
  <c r="M408" i="57" s="1"/>
  <c r="V333" i="57"/>
  <c r="L333" i="57"/>
  <c r="N333" i="57" s="1"/>
  <c r="R418" i="57"/>
  <c r="S418" i="57"/>
  <c r="L418" i="57"/>
  <c r="N418" i="57" s="1"/>
  <c r="AA503" i="57" a="1"/>
  <c r="AA503" i="57" s="1"/>
  <c r="J503" i="57"/>
  <c r="S482" i="57"/>
  <c r="U482" i="57" a="1"/>
  <c r="U482" i="57" s="1"/>
  <c r="R482" i="57"/>
  <c r="AA57" i="57" a="1"/>
  <c r="AA57" i="57" s="1"/>
  <c r="J57" i="57"/>
  <c r="O433" i="57"/>
  <c r="R433" i="57"/>
  <c r="V433" i="57"/>
  <c r="U433" i="57" a="1"/>
  <c r="U433" i="57" s="1"/>
  <c r="L433" i="57"/>
  <c r="N433" i="57" s="1"/>
  <c r="T433" i="57"/>
  <c r="S433" i="57"/>
  <c r="V192" i="57"/>
  <c r="R192" i="57"/>
  <c r="T329" i="57"/>
  <c r="O329" i="57"/>
  <c r="L285" i="57"/>
  <c r="M285" i="57" s="1"/>
  <c r="R204" i="57"/>
  <c r="V461" i="57"/>
  <c r="L461" i="57"/>
  <c r="N461" i="57" s="1"/>
  <c r="T461" i="57"/>
  <c r="S461" i="57"/>
  <c r="R461" i="57"/>
  <c r="U404" i="57" a="1"/>
  <c r="U404" i="57" s="1"/>
  <c r="L404" i="57"/>
  <c r="M404" i="57" s="1"/>
  <c r="R404" i="57"/>
  <c r="T378" i="57"/>
  <c r="O378" i="57"/>
  <c r="L378" i="57"/>
  <c r="M378" i="57" s="1"/>
  <c r="R463" i="57"/>
  <c r="V463" i="57"/>
  <c r="T463" i="57"/>
  <c r="O463" i="57"/>
  <c r="S463" i="57"/>
  <c r="J381" i="57"/>
  <c r="AA381" i="57" a="1"/>
  <c r="AA381" i="57" s="1"/>
  <c r="T328" i="57"/>
  <c r="L328" i="57"/>
  <c r="M328" i="57" s="1"/>
  <c r="V413" i="57"/>
  <c r="O413" i="57"/>
  <c r="AA498" i="57" a="1"/>
  <c r="AA498" i="57" s="1"/>
  <c r="J498" i="57"/>
  <c r="R315" i="57"/>
  <c r="U315" i="57" a="1"/>
  <c r="U315" i="57" s="1"/>
  <c r="T315" i="57"/>
  <c r="L315" i="57"/>
  <c r="M315" i="57" s="1"/>
  <c r="V315" i="57"/>
  <c r="V56" i="57"/>
  <c r="O56" i="57"/>
  <c r="V483" i="57"/>
  <c r="S483" i="57"/>
  <c r="U483" i="57" a="1"/>
  <c r="U483" i="57" s="1"/>
  <c r="R483" i="57"/>
  <c r="T483" i="57"/>
  <c r="O483" i="57"/>
  <c r="S384" i="57"/>
  <c r="R384" i="57"/>
  <c r="O384" i="57"/>
  <c r="T384" i="57"/>
  <c r="R38" i="57"/>
  <c r="S38" i="57"/>
  <c r="O38" i="57"/>
  <c r="V38" i="57"/>
  <c r="J236" i="57"/>
  <c r="V530" i="57"/>
  <c r="T530" i="57"/>
  <c r="S530" i="57"/>
  <c r="O138" i="57"/>
  <c r="L138" i="57"/>
  <c r="N138" i="57" s="1"/>
  <c r="R102" i="57"/>
  <c r="V102" i="57"/>
  <c r="L102" i="57"/>
  <c r="N102" i="57" s="1"/>
  <c r="S102" i="57"/>
  <c r="V322" i="57"/>
  <c r="S322" i="57"/>
  <c r="T322" i="57"/>
  <c r="O322" i="57"/>
  <c r="V94" i="57"/>
  <c r="L94" i="57"/>
  <c r="M94" i="57" s="1"/>
  <c r="T94" i="57"/>
  <c r="S94" i="57"/>
  <c r="U94" i="57" a="1"/>
  <c r="U94" i="57" s="1"/>
  <c r="R94" i="57"/>
  <c r="J97" i="57"/>
  <c r="J275" i="57"/>
  <c r="AA291" i="57" a="1"/>
  <c r="AA291" i="57" s="1"/>
  <c r="J291" i="57"/>
  <c r="T521" i="57"/>
  <c r="R521" i="57"/>
  <c r="V521" i="57"/>
  <c r="U521" i="57" a="1"/>
  <c r="U521" i="57" s="1"/>
  <c r="L521" i="57"/>
  <c r="M521" i="57" s="1"/>
  <c r="S379" i="57"/>
  <c r="V379" i="57"/>
  <c r="U471" i="57" a="1"/>
  <c r="U471" i="57" s="1"/>
  <c r="S471" i="57"/>
  <c r="U58" i="57" a="1"/>
  <c r="U58" i="57" s="1"/>
  <c r="O58" i="57"/>
  <c r="S61" i="57"/>
  <c r="V61" i="57"/>
  <c r="T144" i="57"/>
  <c r="O144" i="57"/>
  <c r="R301" i="57"/>
  <c r="U301" i="57" a="1"/>
  <c r="U301" i="57" s="1"/>
  <c r="S301" i="57"/>
  <c r="O83" i="57"/>
  <c r="U86" i="57" a="1"/>
  <c r="U86" i="57" s="1"/>
  <c r="O86" i="57"/>
  <c r="V86" i="57"/>
  <c r="V272" i="57"/>
  <c r="T272" i="57"/>
  <c r="L272" i="57"/>
  <c r="M272" i="57" s="1"/>
  <c r="S165" i="57"/>
  <c r="R165" i="57"/>
  <c r="O110" i="57"/>
  <c r="R110" i="57"/>
  <c r="S110" i="57"/>
  <c r="O459" i="57"/>
  <c r="R238" i="57"/>
  <c r="U238" i="57" a="1"/>
  <c r="U238" i="57" s="1"/>
  <c r="T238" i="57"/>
  <c r="S238" i="57"/>
  <c r="O458" i="57"/>
  <c r="S458" i="57"/>
  <c r="R458" i="57"/>
  <c r="R200" i="57"/>
  <c r="L322" i="57"/>
  <c r="M322" i="57" s="1"/>
  <c r="J340" i="57"/>
  <c r="O530" i="57"/>
  <c r="U312" i="57" a="1"/>
  <c r="U312" i="57" s="1"/>
  <c r="AA368" i="57" a="1"/>
  <c r="AA368" i="57" s="1"/>
  <c r="J368" i="57"/>
  <c r="R503" i="57"/>
  <c r="S498" i="57"/>
  <c r="L498" i="57"/>
  <c r="M498" i="57" s="1"/>
  <c r="R127" i="57"/>
  <c r="L127" i="57"/>
  <c r="N127" i="57" s="1"/>
  <c r="U127" i="57" a="1"/>
  <c r="U127" i="57" s="1"/>
  <c r="O445" i="57"/>
  <c r="U445" i="57" a="1"/>
  <c r="U445" i="57" s="1"/>
  <c r="S445" i="57"/>
  <c r="L445" i="57"/>
  <c r="N445" i="57" s="1"/>
  <c r="V445" i="57"/>
  <c r="R445" i="57"/>
  <c r="V204" i="57"/>
  <c r="S83" i="57"/>
  <c r="L483" i="57"/>
  <c r="M483" i="57" s="1"/>
  <c r="AA415" i="57" a="1"/>
  <c r="AA415" i="57" s="1"/>
  <c r="S521" i="57"/>
  <c r="U530" i="57" a="1"/>
  <c r="U530" i="57" s="1"/>
  <c r="T519" i="57"/>
  <c r="U329" i="57" a="1"/>
  <c r="U329" i="57" s="1"/>
  <c r="T220" i="57"/>
  <c r="J383" i="57"/>
  <c r="J199" i="57"/>
  <c r="V36" i="57"/>
  <c r="S36" i="57"/>
  <c r="J72" i="57"/>
  <c r="V444" i="57"/>
  <c r="R444" i="57"/>
  <c r="S444" i="57"/>
  <c r="U444" i="57" a="1"/>
  <c r="U444" i="57" s="1"/>
  <c r="L444" i="57"/>
  <c r="N444" i="57" s="1"/>
  <c r="T310" i="57"/>
  <c r="V310" i="57"/>
  <c r="R310" i="57"/>
  <c r="T470" i="57"/>
  <c r="S470" i="57"/>
  <c r="R470" i="57"/>
  <c r="L470" i="57"/>
  <c r="N470" i="57" s="1"/>
  <c r="U470" i="57" a="1"/>
  <c r="U470" i="57" s="1"/>
  <c r="O470" i="57"/>
  <c r="V470" i="57"/>
  <c r="V106" i="57"/>
  <c r="T106" i="57"/>
  <c r="U106" i="57" a="1"/>
  <c r="U106" i="57" s="1"/>
  <c r="AA175" i="57" a="1"/>
  <c r="AA175" i="57" s="1"/>
  <c r="J175" i="57"/>
  <c r="L373" i="57"/>
  <c r="M373" i="57" s="1"/>
  <c r="R373" i="57"/>
  <c r="V373" i="57"/>
  <c r="U373" i="57" a="1"/>
  <c r="U373" i="57" s="1"/>
  <c r="L259" i="57"/>
  <c r="N259" i="57" s="1"/>
  <c r="V259" i="57"/>
  <c r="V71" i="57"/>
  <c r="O71" i="57"/>
  <c r="S118" i="57"/>
  <c r="U118" i="57" a="1"/>
  <c r="U118" i="57" s="1"/>
  <c r="R118" i="57"/>
  <c r="O92" i="57"/>
  <c r="V92" i="57"/>
  <c r="R92" i="57"/>
  <c r="U92" i="57" a="1"/>
  <c r="U92" i="57" s="1"/>
  <c r="T92" i="57"/>
  <c r="S92" i="57"/>
  <c r="AA251" i="57" a="1"/>
  <c r="AA251" i="57" s="1"/>
  <c r="J251" i="57"/>
  <c r="O204" i="57"/>
  <c r="S46" i="57"/>
  <c r="O124" i="57"/>
  <c r="V384" i="57"/>
  <c r="S204" i="57"/>
  <c r="U83" i="57" a="1"/>
  <c r="U83" i="57" s="1"/>
  <c r="R381" i="57"/>
  <c r="S381" i="57"/>
  <c r="U259" i="57" a="1"/>
  <c r="U259" i="57" s="1"/>
  <c r="S479" i="57"/>
  <c r="V479" i="57"/>
  <c r="O482" i="57"/>
  <c r="L482" i="57"/>
  <c r="M482" i="57" s="1"/>
  <c r="T457" i="57"/>
  <c r="O238" i="57"/>
  <c r="J453" i="57"/>
  <c r="T479" i="57"/>
  <c r="S457" i="57"/>
  <c r="U519" i="57" a="1"/>
  <c r="U519" i="57" s="1"/>
  <c r="T445" i="57"/>
  <c r="L329" i="57"/>
  <c r="N329" i="57" s="1"/>
  <c r="S365" i="57"/>
  <c r="S106" i="57"/>
  <c r="O301" i="57"/>
  <c r="U188" i="57" a="1"/>
  <c r="U188" i="57" s="1"/>
  <c r="AA102" i="57" a="1"/>
  <c r="AA102" i="57" s="1"/>
  <c r="O96" i="57"/>
  <c r="L381" i="57"/>
  <c r="N381" i="57" s="1"/>
  <c r="O165" i="57"/>
  <c r="O235" i="57"/>
  <c r="V511" i="57"/>
  <c r="T511" i="57"/>
  <c r="R231" i="57"/>
  <c r="V231" i="57"/>
  <c r="U231" i="57" a="1"/>
  <c r="U231" i="57" s="1"/>
  <c r="T231" i="57"/>
  <c r="T141" i="57"/>
  <c r="L384" i="57"/>
  <c r="M384" i="57" s="1"/>
  <c r="V220" i="57"/>
  <c r="S202" i="57"/>
  <c r="O202" i="57"/>
  <c r="U202" i="57" a="1"/>
  <c r="U202" i="57" s="1"/>
  <c r="L202" i="57"/>
  <c r="N202" i="57" s="1"/>
  <c r="V348" i="57"/>
  <c r="L348" i="57"/>
  <c r="N348" i="57" s="1"/>
  <c r="V196" i="57"/>
  <c r="U196" i="57" a="1"/>
  <c r="U196" i="57" s="1"/>
  <c r="T196" i="57"/>
  <c r="AA207" i="57" a="1"/>
  <c r="AA207" i="57" s="1"/>
  <c r="J207" i="57"/>
  <c r="L530" i="57"/>
  <c r="AA422" i="57" a="1"/>
  <c r="AA422" i="57" s="1"/>
  <c r="R124" i="57"/>
  <c r="R530" i="57"/>
  <c r="S519" i="57"/>
  <c r="J327" i="57"/>
  <c r="O398" i="57"/>
  <c r="T38" i="57"/>
  <c r="U384" i="57" a="1"/>
  <c r="U384" i="57" s="1"/>
  <c r="AF384" i="57" s="1"/>
  <c r="AE384" i="57" s="1"/>
  <c r="S378" i="57"/>
  <c r="S348" i="57"/>
  <c r="V329" i="57"/>
  <c r="U365" i="57" a="1"/>
  <c r="U365" i="57" s="1"/>
  <c r="O102" i="57"/>
  <c r="V301" i="57"/>
  <c r="V96" i="57"/>
  <c r="T458" i="57"/>
  <c r="U418" i="57" a="1"/>
  <c r="U418" i="57" s="1"/>
  <c r="V165" i="57"/>
  <c r="T235" i="57"/>
  <c r="O444" i="57"/>
  <c r="J91" i="57"/>
  <c r="AA439" i="57" a="1"/>
  <c r="AA439" i="57" s="1"/>
  <c r="V482" i="57"/>
  <c r="J500" i="57"/>
  <c r="V459" i="57"/>
  <c r="L459" i="57"/>
  <c r="M459" i="57" s="1"/>
  <c r="U459" i="57" a="1"/>
  <c r="U459" i="57" s="1"/>
  <c r="R459" i="57"/>
  <c r="V457" i="57"/>
  <c r="O457" i="57"/>
  <c r="T83" i="57"/>
  <c r="R83" i="57"/>
  <c r="AA144" i="57" a="1"/>
  <c r="AA144" i="57" s="1"/>
  <c r="J144" i="57"/>
  <c r="U46" i="57" a="1"/>
  <c r="U46" i="57" s="1"/>
  <c r="O46" i="57"/>
  <c r="T46" i="57"/>
  <c r="R46" i="57"/>
  <c r="U200" i="57" a="1"/>
  <c r="U200" i="57" s="1"/>
  <c r="T200" i="57"/>
  <c r="L200" i="57"/>
  <c r="M200" i="57" s="1"/>
  <c r="V200" i="57"/>
  <c r="J496" i="57"/>
  <c r="V490" i="57"/>
  <c r="R141" i="57"/>
  <c r="T379" i="57"/>
  <c r="U38" i="57" a="1"/>
  <c r="U38" i="57" s="1"/>
  <c r="S390" i="57"/>
  <c r="J421" i="57"/>
  <c r="S220" i="57"/>
  <c r="U310" i="57" a="1"/>
  <c r="U310" i="57" s="1"/>
  <c r="R348" i="57"/>
  <c r="L112" i="57"/>
  <c r="M112" i="57" s="1"/>
  <c r="T466" i="57"/>
  <c r="J440" i="57"/>
  <c r="L519" i="57"/>
  <c r="M519" i="57" s="1"/>
  <c r="J517" i="57"/>
  <c r="V466" i="57"/>
  <c r="V378" i="57"/>
  <c r="S329" i="57"/>
  <c r="R365" i="57"/>
  <c r="V328" i="57"/>
  <c r="O103" i="57"/>
  <c r="L71" i="57"/>
  <c r="M71" i="57" s="1"/>
  <c r="O94" i="57"/>
  <c r="T373" i="57"/>
  <c r="V418" i="57"/>
  <c r="O373" i="57"/>
  <c r="V235" i="57"/>
  <c r="S413" i="57"/>
  <c r="T312" i="57"/>
  <c r="L312" i="57"/>
  <c r="M312" i="57" s="1"/>
  <c r="S312" i="57"/>
  <c r="R312" i="57"/>
  <c r="O312" i="57"/>
  <c r="O106" i="57"/>
  <c r="R103" i="57"/>
  <c r="R71" i="57"/>
  <c r="V360" i="57"/>
  <c r="V238" i="57"/>
  <c r="T118" i="57"/>
  <c r="U103" i="57" a="1"/>
  <c r="U103" i="57" s="1"/>
  <c r="S71" i="57"/>
  <c r="S124" i="57"/>
  <c r="J278" i="57"/>
  <c r="T252" i="57"/>
  <c r="L252" i="57"/>
  <c r="N252" i="57" s="1"/>
  <c r="R252" i="57"/>
  <c r="AP43" i="57" a="1"/>
  <c r="AP43" i="57" s="1"/>
  <c r="Q533" i="57" s="1"/>
  <c r="AP44" i="57" a="1"/>
  <c r="AP44" i="57" s="1"/>
  <c r="U493" i="57" a="1"/>
  <c r="U493" i="57" s="1"/>
  <c r="V493" i="57"/>
  <c r="V104" i="57"/>
  <c r="R104" i="57"/>
  <c r="R249" i="57"/>
  <c r="S249" i="57"/>
  <c r="L249" i="57"/>
  <c r="U221" i="57" a="1"/>
  <c r="U221" i="57" s="1"/>
  <c r="S221" i="57"/>
  <c r="O221" i="57"/>
  <c r="AA187" i="57" a="1"/>
  <c r="AA187" i="57" s="1"/>
  <c r="J187" i="57"/>
  <c r="S184" i="57"/>
  <c r="U184" i="57" a="1"/>
  <c r="U184" i="57" s="1"/>
  <c r="R184" i="57"/>
  <c r="T396" i="57"/>
  <c r="U396" i="57" a="1"/>
  <c r="U396" i="57" s="1"/>
  <c r="V117" i="57"/>
  <c r="O117" i="57"/>
  <c r="V49" i="57"/>
  <c r="L49" i="57"/>
  <c r="M49" i="57" s="1"/>
  <c r="U49" i="57" a="1"/>
  <c r="U49" i="57" s="1"/>
  <c r="J364" i="57"/>
  <c r="O269" i="57"/>
  <c r="T269" i="57"/>
  <c r="V269" i="57"/>
  <c r="R269" i="57"/>
  <c r="O509" i="57"/>
  <c r="V509" i="57"/>
  <c r="U509" i="57" a="1"/>
  <c r="U509" i="57" s="1"/>
  <c r="S90" i="57"/>
  <c r="O90" i="57"/>
  <c r="R69" i="57"/>
  <c r="S69" i="57"/>
  <c r="O69" i="57"/>
  <c r="T69" i="57"/>
  <c r="J166" i="57"/>
  <c r="J521" i="57"/>
  <c r="J372" i="57"/>
  <c r="J399" i="57"/>
  <c r="J523" i="57"/>
  <c r="J89" i="57"/>
  <c r="J110" i="57"/>
  <c r="R437" i="57"/>
  <c r="R221" i="57"/>
  <c r="O252" i="57"/>
  <c r="S171" i="57"/>
  <c r="T49" i="57"/>
  <c r="O396" i="57"/>
  <c r="S49" i="57"/>
  <c r="S307" i="57"/>
  <c r="J282" i="57"/>
  <c r="T171" i="57"/>
  <c r="L258" i="57"/>
  <c r="N258" i="57" s="1"/>
  <c r="U69" i="57" a="1"/>
  <c r="U69" i="57" s="1"/>
  <c r="T307" i="57"/>
  <c r="R436" i="57"/>
  <c r="R446" i="57"/>
  <c r="V249" i="57"/>
  <c r="R49" i="57"/>
  <c r="J156" i="57"/>
  <c r="V362" i="57"/>
  <c r="T362" i="57"/>
  <c r="L362" i="57"/>
  <c r="M362" i="57" s="1"/>
  <c r="O397" i="57"/>
  <c r="T397" i="57"/>
  <c r="O361" i="57"/>
  <c r="U417" i="57" a="1"/>
  <c r="U417" i="57" s="1"/>
  <c r="R361" i="57"/>
  <c r="U307" i="57" a="1"/>
  <c r="U307" i="57" s="1"/>
  <c r="L155" i="57"/>
  <c r="N155" i="57" s="1"/>
  <c r="J123" i="57"/>
  <c r="J400" i="57"/>
  <c r="T514" i="57"/>
  <c r="O514" i="57"/>
  <c r="L514" i="57"/>
  <c r="N514" i="57" s="1"/>
  <c r="T251" i="57"/>
  <c r="O251" i="57"/>
  <c r="R251" i="57"/>
  <c r="J88" i="57"/>
  <c r="J495" i="57"/>
  <c r="J505" i="57"/>
  <c r="J467" i="57"/>
  <c r="J529" i="57"/>
  <c r="J43" i="57"/>
  <c r="J350" i="57"/>
  <c r="J385" i="57"/>
  <c r="J431" i="57"/>
  <c r="L45" i="57"/>
  <c r="M45" i="57" s="1"/>
  <c r="J176" i="57"/>
  <c r="J363" i="57"/>
  <c r="AA431" i="57" a="1"/>
  <c r="AA431" i="57" s="1"/>
  <c r="J74" i="57"/>
  <c r="J52" i="57"/>
  <c r="J215" i="57"/>
  <c r="J130" i="57"/>
  <c r="J111" i="57"/>
  <c r="J142" i="57"/>
  <c r="J201" i="57"/>
  <c r="J167" i="57"/>
  <c r="J211" i="57"/>
  <c r="J197" i="57"/>
  <c r="L438" i="57"/>
  <c r="M438" i="57" s="1"/>
  <c r="J250" i="57"/>
  <c r="J286" i="57"/>
  <c r="R266" i="57"/>
  <c r="U125" i="57" a="1"/>
  <c r="U125" i="57" s="1"/>
  <c r="R170" i="57"/>
  <c r="S475" i="57"/>
  <c r="J527" i="57"/>
  <c r="J530" i="57"/>
  <c r="L392" i="57"/>
  <c r="N392" i="57" s="1"/>
  <c r="R125" i="57"/>
  <c r="U392" i="57" a="1"/>
  <c r="U392" i="57" s="1"/>
  <c r="S97" i="57"/>
  <c r="J40" i="57"/>
  <c r="J198" i="57"/>
  <c r="J86" i="57"/>
  <c r="J83" i="57"/>
  <c r="J488" i="57"/>
  <c r="J169" i="57"/>
  <c r="J152" i="57"/>
  <c r="L125" i="57"/>
  <c r="N125" i="57" s="1"/>
  <c r="T60" i="57"/>
  <c r="F22" i="57"/>
  <c r="AN129" i="57"/>
  <c r="E15" i="57"/>
  <c r="F23" i="57"/>
  <c r="S311" i="57"/>
  <c r="L311" i="57"/>
  <c r="N311" i="57" s="1"/>
  <c r="R311" i="57"/>
  <c r="O311" i="57"/>
  <c r="U311" i="57" a="1"/>
  <c r="U311" i="57" s="1"/>
  <c r="V417" i="57"/>
  <c r="L492" i="57"/>
  <c r="N492" i="57" s="1"/>
  <c r="U428" i="57" a="1"/>
  <c r="U428" i="57" s="1"/>
  <c r="V419" i="57"/>
  <c r="R419" i="57"/>
  <c r="U419" i="57" a="1"/>
  <c r="U419" i="57" s="1"/>
  <c r="L419" i="57"/>
  <c r="M419" i="57" s="1"/>
  <c r="S419" i="57"/>
  <c r="J206" i="57"/>
  <c r="AA206" i="57" a="1"/>
  <c r="AA206" i="57" s="1"/>
  <c r="O52" i="57"/>
  <c r="R52" i="57"/>
  <c r="S52" i="57"/>
  <c r="U52" i="57" a="1"/>
  <c r="U52" i="57" s="1"/>
  <c r="L52" i="57"/>
  <c r="M52" i="57" s="1"/>
  <c r="T52" i="57"/>
  <c r="AA294" i="57" a="1"/>
  <c r="AA294" i="57" s="1"/>
  <c r="J294" i="57"/>
  <c r="L447" i="57"/>
  <c r="N447" i="57" s="1"/>
  <c r="S447" i="57"/>
  <c r="V447" i="57"/>
  <c r="T447" i="57"/>
  <c r="AA126" i="57" a="1"/>
  <c r="AA126" i="57" s="1"/>
  <c r="J126" i="57"/>
  <c r="AA181" i="57" a="1"/>
  <c r="AA181" i="57" s="1"/>
  <c r="J181" i="57"/>
  <c r="O255" i="57"/>
  <c r="R255" i="57"/>
  <c r="V255" i="57"/>
  <c r="U255" i="57" a="1"/>
  <c r="U255" i="57" s="1"/>
  <c r="S255" i="57"/>
  <c r="L255" i="57"/>
  <c r="N255" i="57" s="1"/>
  <c r="T255" i="57"/>
  <c r="AA232" i="57" a="1"/>
  <c r="AA232" i="57" s="1"/>
  <c r="J232" i="57"/>
  <c r="AA516" i="57" a="1"/>
  <c r="AA516" i="57" s="1"/>
  <c r="J516" i="57"/>
  <c r="J511" i="57"/>
  <c r="J356" i="57"/>
  <c r="L268" i="57"/>
  <c r="N268" i="57" s="1"/>
  <c r="U268" i="57" a="1"/>
  <c r="U268" i="57" s="1"/>
  <c r="V268" i="57"/>
  <c r="R268" i="57"/>
  <c r="AA486" i="57" a="1"/>
  <c r="AA486" i="57" s="1"/>
  <c r="J486" i="57"/>
  <c r="AA390" i="57" a="1"/>
  <c r="AA390" i="57" s="1"/>
  <c r="J390" i="57"/>
  <c r="R316" i="57"/>
  <c r="T316" i="57"/>
  <c r="O260" i="57"/>
  <c r="U260" i="57" a="1"/>
  <c r="U260" i="57" s="1"/>
  <c r="L260" i="57"/>
  <c r="M260" i="57" s="1"/>
  <c r="S260" i="57"/>
  <c r="AA148" i="57" a="1"/>
  <c r="AA148" i="57" s="1"/>
  <c r="J148" i="57"/>
  <c r="J519" i="57"/>
  <c r="S239" i="57"/>
  <c r="V239" i="57"/>
  <c r="R239" i="57"/>
  <c r="L239" i="57"/>
  <c r="N239" i="57" s="1"/>
  <c r="O239" i="57"/>
  <c r="AA46" i="57" a="1"/>
  <c r="AA46" i="57" s="1"/>
  <c r="J46" i="57"/>
  <c r="V88" i="57"/>
  <c r="T88" i="57"/>
  <c r="O88" i="57"/>
  <c r="U88" i="57" a="1"/>
  <c r="U88" i="57" s="1"/>
  <c r="S88" i="57"/>
  <c r="R88" i="57"/>
  <c r="V149" i="57"/>
  <c r="O149" i="57"/>
  <c r="R149" i="57"/>
  <c r="L149" i="57"/>
  <c r="M149" i="57" s="1"/>
  <c r="U149" i="57" a="1"/>
  <c r="U149" i="57" s="1"/>
  <c r="O55" i="57"/>
  <c r="T55" i="57"/>
  <c r="S55" i="57"/>
  <c r="L55" i="57"/>
  <c r="M55" i="57" s="1"/>
  <c r="R55" i="57"/>
  <c r="U55" i="57" a="1"/>
  <c r="U55" i="57" s="1"/>
  <c r="V55" i="57"/>
  <c r="L173" i="57"/>
  <c r="M173" i="57" s="1"/>
  <c r="U173" i="57" a="1"/>
  <c r="U173" i="57" s="1"/>
  <c r="T173" i="57"/>
  <c r="S173" i="57"/>
  <c r="R173" i="57"/>
  <c r="O173" i="57"/>
  <c r="O150" i="57"/>
  <c r="V150" i="57"/>
  <c r="U150" i="57" a="1"/>
  <c r="U150" i="57" s="1"/>
  <c r="L150" i="57"/>
  <c r="M150" i="57" s="1"/>
  <c r="T150" i="57"/>
  <c r="S150" i="57"/>
  <c r="R150" i="57"/>
  <c r="T169" i="57"/>
  <c r="L169" i="57"/>
  <c r="M169" i="57" s="1"/>
  <c r="V169" i="57"/>
  <c r="O169" i="57"/>
  <c r="S169" i="57"/>
  <c r="R169" i="57"/>
  <c r="U169" i="57" a="1"/>
  <c r="U169" i="57" s="1"/>
  <c r="R261" i="57"/>
  <c r="O261" i="57"/>
  <c r="V261" i="57"/>
  <c r="L261" i="57"/>
  <c r="N261" i="57" s="1"/>
  <c r="S261" i="57"/>
  <c r="U261" i="57" a="1"/>
  <c r="U261" i="57" s="1"/>
  <c r="S341" i="57"/>
  <c r="R341" i="57"/>
  <c r="U341" i="57" a="1"/>
  <c r="U341" i="57" s="1"/>
  <c r="V341" i="57"/>
  <c r="T341" i="57"/>
  <c r="O341" i="57"/>
  <c r="L341" i="57"/>
  <c r="L426" i="57"/>
  <c r="N426" i="57" s="1"/>
  <c r="S426" i="57"/>
  <c r="R426" i="57"/>
  <c r="V426" i="57"/>
  <c r="U426" i="57" a="1"/>
  <c r="U426" i="57" s="1"/>
  <c r="O427" i="57"/>
  <c r="T427" i="57"/>
  <c r="V427" i="57"/>
  <c r="L427" i="57"/>
  <c r="N427" i="57" s="1"/>
  <c r="U427" i="57" a="1"/>
  <c r="U427" i="57" s="1"/>
  <c r="S427" i="57"/>
  <c r="R427" i="57"/>
  <c r="T298" i="57"/>
  <c r="U298" i="57" a="1"/>
  <c r="U298" i="57" s="1"/>
  <c r="O298" i="57"/>
  <c r="R298" i="57"/>
  <c r="AA48" i="57" a="1"/>
  <c r="AA48" i="57" s="1"/>
  <c r="J48" i="57"/>
  <c r="O426" i="57"/>
  <c r="U239" i="57" a="1"/>
  <c r="U239" i="57" s="1"/>
  <c r="AA425" i="57" a="1"/>
  <c r="AA425" i="57" s="1"/>
  <c r="L298" i="57"/>
  <c r="M298" i="57" s="1"/>
  <c r="O223" i="57"/>
  <c r="J346" i="57"/>
  <c r="J330" i="57"/>
  <c r="O490" i="57"/>
  <c r="U490" i="57" a="1"/>
  <c r="U490" i="57" s="1"/>
  <c r="L490" i="57"/>
  <c r="N490" i="57" s="1"/>
  <c r="R490" i="57"/>
  <c r="T490" i="57"/>
  <c r="J429" i="57"/>
  <c r="S377" i="57"/>
  <c r="U377" i="57" a="1"/>
  <c r="U377" i="57" s="1"/>
  <c r="O377" i="57"/>
  <c r="T377" i="57"/>
  <c r="V377" i="57"/>
  <c r="L377" i="57"/>
  <c r="M377" i="57" s="1"/>
  <c r="J42" i="57"/>
  <c r="AA42" i="57" a="1"/>
  <c r="AA42" i="57" s="1"/>
  <c r="V116" i="57"/>
  <c r="L116" i="57"/>
  <c r="N116" i="57" s="1"/>
  <c r="S116" i="57"/>
  <c r="R116" i="57"/>
  <c r="U116" i="57" a="1"/>
  <c r="U116" i="57" s="1"/>
  <c r="O120" i="57"/>
  <c r="U120" i="57" a="1"/>
  <c r="U120" i="57" s="1"/>
  <c r="V120" i="57"/>
  <c r="L120" i="57"/>
  <c r="N120" i="57" s="1"/>
  <c r="T120" i="57"/>
  <c r="R327" i="57"/>
  <c r="O327" i="57"/>
  <c r="S327" i="57"/>
  <c r="U327" i="57" a="1"/>
  <c r="U327" i="57" s="1"/>
  <c r="O109" i="57"/>
  <c r="R109" i="57"/>
  <c r="V109" i="57"/>
  <c r="U109" i="57" a="1"/>
  <c r="U109" i="57" s="1"/>
  <c r="T109" i="57"/>
  <c r="S109" i="57"/>
  <c r="R387" i="57"/>
  <c r="O387" i="57"/>
  <c r="V387" i="57"/>
  <c r="L387" i="57"/>
  <c r="N387" i="57" s="1"/>
  <c r="S387" i="57"/>
  <c r="S417" i="57"/>
  <c r="T116" i="57"/>
  <c r="V471" i="57"/>
  <c r="L471" i="57"/>
  <c r="M471" i="57" s="1"/>
  <c r="R471" i="57"/>
  <c r="O471" i="57"/>
  <c r="T471" i="57"/>
  <c r="L88" i="57"/>
  <c r="M88" i="57" s="1"/>
  <c r="V298" i="57"/>
  <c r="R120" i="57"/>
  <c r="U447" i="57" a="1"/>
  <c r="U447" i="57" s="1"/>
  <c r="V327" i="57"/>
  <c r="U318" i="57" a="1"/>
  <c r="U318" i="57" s="1"/>
  <c r="L318" i="57"/>
  <c r="M318" i="57" s="1"/>
  <c r="T318" i="57"/>
  <c r="S318" i="57"/>
  <c r="V318" i="57"/>
  <c r="R318" i="57"/>
  <c r="O318" i="57"/>
  <c r="T386" i="57"/>
  <c r="U386" i="57" a="1"/>
  <c r="U386" i="57" s="1"/>
  <c r="O386" i="57"/>
  <c r="V52" i="57"/>
  <c r="T149" i="57"/>
  <c r="T261" i="57"/>
  <c r="L417" i="57"/>
  <c r="M417" i="57" s="1"/>
  <c r="O417" i="57"/>
  <c r="T417" i="57"/>
  <c r="U90" i="57" a="1"/>
  <c r="U90" i="57" s="1"/>
  <c r="V90" i="57"/>
  <c r="L90" i="57"/>
  <c r="M90" i="57" s="1"/>
  <c r="T90" i="57"/>
  <c r="R90" i="57"/>
  <c r="V492" i="57"/>
  <c r="R492" i="57"/>
  <c r="T492" i="57"/>
  <c r="S492" i="57"/>
  <c r="O492" i="57"/>
  <c r="R377" i="57"/>
  <c r="AA116" i="57" a="1"/>
  <c r="AA116" i="57" s="1"/>
  <c r="J116" i="57"/>
  <c r="AA507" i="57" a="1"/>
  <c r="AA507" i="57" s="1"/>
  <c r="J507" i="57"/>
  <c r="R447" i="57"/>
  <c r="T327" i="57"/>
  <c r="L327" i="57"/>
  <c r="N327" i="57" s="1"/>
  <c r="J319" i="57"/>
  <c r="J59" i="57"/>
  <c r="O63" i="57"/>
  <c r="T63" i="57"/>
  <c r="S63" i="57"/>
  <c r="R63" i="57"/>
  <c r="L63" i="57"/>
  <c r="M63" i="57" s="1"/>
  <c r="V63" i="57"/>
  <c r="T428" i="57"/>
  <c r="O428" i="57"/>
  <c r="V428" i="57"/>
  <c r="L428" i="57"/>
  <c r="N428" i="57" s="1"/>
  <c r="L223" i="57"/>
  <c r="N223" i="57" s="1"/>
  <c r="U223" i="57" a="1"/>
  <c r="U223" i="57" s="1"/>
  <c r="R223" i="57"/>
  <c r="V290" i="57"/>
  <c r="O290" i="57"/>
  <c r="T290" i="57"/>
  <c r="U290" i="57" a="1"/>
  <c r="U290" i="57" s="1"/>
  <c r="S290" i="57"/>
  <c r="O135" i="57"/>
  <c r="L135" i="57"/>
  <c r="N135" i="57" s="1"/>
  <c r="R135" i="57"/>
  <c r="V135" i="57"/>
  <c r="S135" i="57"/>
  <c r="U135" i="57" a="1"/>
  <c r="U135" i="57" s="1"/>
  <c r="V81" i="57"/>
  <c r="T81" i="57"/>
  <c r="U81" i="57" a="1"/>
  <c r="U81" i="57" s="1"/>
  <c r="R81" i="57"/>
  <c r="S81" i="57"/>
  <c r="L81" i="57"/>
  <c r="M81" i="57" s="1"/>
  <c r="O81" i="57"/>
  <c r="T419" i="57"/>
  <c r="T239" i="57"/>
  <c r="S298" i="57"/>
  <c r="O447" i="57"/>
  <c r="T223" i="57"/>
  <c r="S120" i="57"/>
  <c r="L386" i="57"/>
  <c r="N386" i="57" s="1"/>
  <c r="S386" i="57"/>
  <c r="S268" i="57"/>
  <c r="S223" i="57"/>
  <c r="V173" i="57"/>
  <c r="S149" i="57"/>
  <c r="J55" i="57"/>
  <c r="O194" i="57"/>
  <c r="T194" i="57"/>
  <c r="R194" i="57"/>
  <c r="V194" i="57"/>
  <c r="S194" i="57"/>
  <c r="U194" i="57" a="1"/>
  <c r="U194" i="57" s="1"/>
  <c r="L194" i="57"/>
  <c r="M194" i="57" s="1"/>
  <c r="S274" i="57"/>
  <c r="T274" i="57"/>
  <c r="R274" i="57"/>
  <c r="U274" i="57" a="1"/>
  <c r="U274" i="57" s="1"/>
  <c r="O274" i="57"/>
  <c r="V274" i="57"/>
  <c r="L274" i="57"/>
  <c r="M274" i="57" s="1"/>
  <c r="J344" i="57"/>
  <c r="U387" i="57" a="1"/>
  <c r="U387" i="57" s="1"/>
  <c r="R386" i="57"/>
  <c r="L61" i="57"/>
  <c r="N61" i="57" s="1"/>
  <c r="T58" i="57"/>
  <c r="U112" i="57" a="1"/>
  <c r="U112" i="57" s="1"/>
  <c r="O511" i="57"/>
  <c r="U511" i="57" a="1"/>
  <c r="U511" i="57" s="1"/>
  <c r="L511" i="57"/>
  <c r="N511" i="57" s="1"/>
  <c r="U360" i="57" a="1"/>
  <c r="U360" i="57" s="1"/>
  <c r="L360" i="57"/>
  <c r="M360" i="57" s="1"/>
  <c r="S231" i="57"/>
  <c r="O231" i="57"/>
  <c r="AA474" i="57" a="1"/>
  <c r="AA474" i="57" s="1"/>
  <c r="J474" i="57"/>
  <c r="T421" i="57"/>
  <c r="U421" i="57" a="1"/>
  <c r="U421" i="57" s="1"/>
  <c r="J408" i="57"/>
  <c r="AA408" i="57" a="1"/>
  <c r="AA408" i="57" s="1"/>
  <c r="AA115" i="57" a="1"/>
  <c r="AA115" i="57" s="1"/>
  <c r="J115" i="57"/>
  <c r="V176" i="57"/>
  <c r="L176" i="57"/>
  <c r="N176" i="57" s="1"/>
  <c r="U367" i="57" a="1"/>
  <c r="U367" i="57" s="1"/>
  <c r="S367" i="57"/>
  <c r="AA125" i="57" a="1"/>
  <c r="AA125" i="57" s="1"/>
  <c r="J125" i="57"/>
  <c r="AA147" i="57" a="1"/>
  <c r="AA147" i="57" s="1"/>
  <c r="J147" i="57"/>
  <c r="L58" i="57"/>
  <c r="N58" i="57" s="1"/>
  <c r="V358" i="57"/>
  <c r="S434" i="57"/>
  <c r="L434" i="57"/>
  <c r="M434" i="57" s="1"/>
  <c r="S86" i="57"/>
  <c r="R86" i="57"/>
  <c r="R272" i="57"/>
  <c r="U272" i="57" a="1"/>
  <c r="U272" i="57" s="1"/>
  <c r="J135" i="57"/>
  <c r="J151" i="57"/>
  <c r="J76" i="57"/>
  <c r="J349" i="57"/>
  <c r="R491" i="57"/>
  <c r="S491" i="57"/>
  <c r="O421" i="57"/>
  <c r="S58" i="57"/>
  <c r="J101" i="57"/>
  <c r="AA118" i="57" a="1"/>
  <c r="AA118" i="57" s="1"/>
  <c r="J118" i="57"/>
  <c r="AA194" i="57" a="1"/>
  <c r="AA194" i="57" s="1"/>
  <c r="J194" i="57"/>
  <c r="AA461" i="57" a="1"/>
  <c r="AA461" i="57" s="1"/>
  <c r="J461" i="57"/>
  <c r="J75" i="57"/>
  <c r="O175" i="57"/>
  <c r="S175" i="57"/>
  <c r="U175" i="57" a="1"/>
  <c r="U175" i="57" s="1"/>
  <c r="O245" i="57"/>
  <c r="T245" i="57"/>
  <c r="AA248" i="57" a="1"/>
  <c r="AA248" i="57" s="1"/>
  <c r="J248" i="57"/>
  <c r="J479" i="57"/>
  <c r="T394" i="57"/>
  <c r="S354" i="57"/>
  <c r="T400" i="57"/>
  <c r="O336" i="57"/>
  <c r="L301" i="57"/>
  <c r="M301" i="57" s="1"/>
  <c r="T301" i="57"/>
  <c r="V245" i="57"/>
  <c r="R288" i="57"/>
  <c r="O74" i="57"/>
  <c r="S82" i="57"/>
  <c r="L175" i="57"/>
  <c r="N175" i="57" s="1"/>
  <c r="J67" i="57"/>
  <c r="S422" i="57"/>
  <c r="O411" i="57"/>
  <c r="S499" i="57"/>
  <c r="O272" i="57"/>
  <c r="U102" i="57" a="1"/>
  <c r="U102" i="57" s="1"/>
  <c r="R62" i="57"/>
  <c r="T213" i="57"/>
  <c r="O498" i="57"/>
  <c r="Q421" i="57"/>
  <c r="AA493" i="57" a="1"/>
  <c r="AA493" i="57" s="1"/>
  <c r="J493" i="57"/>
  <c r="J376" i="57"/>
  <c r="J506" i="57"/>
  <c r="T313" i="57"/>
  <c r="S263" i="57"/>
  <c r="R336" i="57"/>
  <c r="U288" i="57" a="1"/>
  <c r="U288" i="57" s="1"/>
  <c r="L421" i="57"/>
  <c r="M421" i="57" s="1"/>
  <c r="T499" i="57"/>
  <c r="S272" i="57"/>
  <c r="T86" i="57"/>
  <c r="T62" i="57"/>
  <c r="O213" i="57"/>
  <c r="O358" i="57"/>
  <c r="J389" i="57"/>
  <c r="J470" i="57"/>
  <c r="J274" i="57"/>
  <c r="T358" i="57"/>
  <c r="R358" i="57"/>
  <c r="T203" i="57"/>
  <c r="S203" i="57"/>
  <c r="O43" i="57"/>
  <c r="R43" i="57"/>
  <c r="V195" i="57"/>
  <c r="T195" i="57"/>
  <c r="O170" i="57"/>
  <c r="L170" i="57"/>
  <c r="N170" i="57" s="1"/>
  <c r="J136" i="57"/>
  <c r="AA136" i="57" a="1"/>
  <c r="AA136" i="57" s="1"/>
  <c r="R403" i="57"/>
  <c r="T403" i="57"/>
  <c r="V403" i="57"/>
  <c r="U134" i="57" a="1"/>
  <c r="U134" i="57" s="1"/>
  <c r="V134" i="57"/>
  <c r="J452" i="57"/>
  <c r="AA378" i="57" a="1"/>
  <c r="AA378" i="57" s="1"/>
  <c r="J378" i="57"/>
  <c r="V205" i="57"/>
  <c r="R205" i="57"/>
  <c r="AA394" i="57" a="1"/>
  <c r="AA394" i="57" s="1"/>
  <c r="J394" i="57"/>
  <c r="AA502" i="57" a="1"/>
  <c r="AA502" i="57" s="1"/>
  <c r="J502" i="57"/>
  <c r="R313" i="57"/>
  <c r="O176" i="57"/>
  <c r="T368" i="57"/>
  <c r="V112" i="57"/>
  <c r="R58" i="57"/>
  <c r="R323" i="57"/>
  <c r="V203" i="57"/>
  <c r="V495" i="57"/>
  <c r="S495" i="57"/>
  <c r="L368" i="57"/>
  <c r="M368" i="57" s="1"/>
  <c r="R421" i="57"/>
  <c r="L313" i="57"/>
  <c r="N313" i="57" s="1"/>
  <c r="T263" i="57"/>
  <c r="S336" i="57"/>
  <c r="U176" i="57" a="1"/>
  <c r="U176" i="57" s="1"/>
  <c r="O127" i="57"/>
  <c r="L53" i="57"/>
  <c r="M53" i="57" s="1"/>
  <c r="U53" i="57" a="1"/>
  <c r="U53" i="57" s="1"/>
  <c r="L457" i="57"/>
  <c r="M457" i="57" s="1"/>
  <c r="S373" i="57"/>
  <c r="R390" i="57"/>
  <c r="U458" i="57" a="1"/>
  <c r="U458" i="57" s="1"/>
  <c r="O349" i="57"/>
  <c r="S368" i="57"/>
  <c r="T102" i="57"/>
  <c r="T127" i="57"/>
  <c r="U181" i="57" a="1"/>
  <c r="U181" i="57" s="1"/>
  <c r="S323" i="57"/>
  <c r="T360" i="57"/>
  <c r="T266" i="57"/>
  <c r="T367" i="57"/>
  <c r="R322" i="57"/>
  <c r="S421" i="57"/>
  <c r="AA376" i="57" a="1"/>
  <c r="AA376" i="57" s="1"/>
  <c r="U336" i="57" a="1"/>
  <c r="U336" i="57" s="1"/>
  <c r="T336" i="57"/>
  <c r="V421" i="57"/>
  <c r="V336" i="57"/>
  <c r="V127" i="57"/>
  <c r="AA171" i="57" a="1"/>
  <c r="AA171" i="57" s="1"/>
  <c r="L43" i="57"/>
  <c r="M43" i="57" s="1"/>
  <c r="T110" i="57"/>
  <c r="V53" i="57"/>
  <c r="J122" i="57"/>
  <c r="L134" i="57"/>
  <c r="N134" i="57" s="1"/>
  <c r="V390" i="57"/>
  <c r="V458" i="57"/>
  <c r="S349" i="57"/>
  <c r="O381" i="57"/>
  <c r="S183" i="57"/>
  <c r="T191" i="57"/>
  <c r="O181" i="57"/>
  <c r="U323" i="57" a="1"/>
  <c r="U323" i="57" s="1"/>
  <c r="R457" i="57"/>
  <c r="R175" i="57"/>
  <c r="L78" i="57"/>
  <c r="N78" i="57" s="1"/>
  <c r="R511" i="57"/>
  <c r="J345" i="57"/>
  <c r="J436" i="57"/>
  <c r="R176" i="57"/>
  <c r="O323" i="57"/>
  <c r="S176" i="57"/>
  <c r="L213" i="57"/>
  <c r="M213" i="57" s="1"/>
  <c r="U479" i="57" a="1"/>
  <c r="U479" i="57" s="1"/>
  <c r="R368" i="57"/>
  <c r="U390" i="57" a="1"/>
  <c r="U390" i="57" s="1"/>
  <c r="J395" i="57"/>
  <c r="O265" i="57"/>
  <c r="U263" i="57" a="1"/>
  <c r="U263" i="57" s="1"/>
  <c r="T165" i="57"/>
  <c r="V110" i="57"/>
  <c r="S53" i="57"/>
  <c r="J139" i="57"/>
  <c r="S74" i="57"/>
  <c r="L403" i="57"/>
  <c r="N403" i="57" s="1"/>
  <c r="T349" i="57"/>
  <c r="S205" i="57"/>
  <c r="U349" i="57" a="1"/>
  <c r="U349" i="57" s="1"/>
  <c r="T183" i="57"/>
  <c r="R112" i="57"/>
  <c r="O191" i="57"/>
  <c r="T323" i="57"/>
  <c r="R360" i="57"/>
  <c r="J246" i="57"/>
  <c r="J220" i="57"/>
  <c r="O503" i="57"/>
  <c r="V503" i="57"/>
  <c r="U503" i="57" a="1"/>
  <c r="U503" i="57" s="1"/>
  <c r="S503" i="57"/>
  <c r="O522" i="57"/>
  <c r="S522" i="57"/>
  <c r="O171" i="57"/>
  <c r="U171" i="57" a="1"/>
  <c r="U171" i="57" s="1"/>
  <c r="T176" i="57"/>
  <c r="R263" i="57"/>
  <c r="O479" i="57"/>
  <c r="L349" i="57"/>
  <c r="N349" i="57" s="1"/>
  <c r="T434" i="57"/>
  <c r="U368" i="57" a="1"/>
  <c r="U368" i="57" s="1"/>
  <c r="V263" i="57"/>
  <c r="U165" i="57" a="1"/>
  <c r="U165" i="57" s="1"/>
  <c r="T74" i="57"/>
  <c r="L251" i="57"/>
  <c r="M251" i="57" s="1"/>
  <c r="L323" i="57"/>
  <c r="M323" i="57" s="1"/>
  <c r="S511" i="57"/>
  <c r="T422" i="57"/>
  <c r="T296" i="57"/>
  <c r="S112" i="57"/>
  <c r="S170" i="57"/>
  <c r="V58" i="57"/>
  <c r="O434" i="57"/>
  <c r="O203" i="57"/>
  <c r="J475" i="57"/>
  <c r="J68" i="57"/>
  <c r="AA452" i="57" a="1"/>
  <c r="AA452" i="57" s="1"/>
  <c r="J138" i="57"/>
  <c r="J351" i="57"/>
  <c r="J270" i="57"/>
  <c r="J62" i="57"/>
  <c r="J242" i="57"/>
  <c r="J146" i="57"/>
  <c r="J405" i="57"/>
  <c r="J58" i="57"/>
  <c r="J320" i="57"/>
  <c r="J384" i="57"/>
  <c r="J361" i="57"/>
  <c r="J259" i="57"/>
  <c r="T71" i="57"/>
  <c r="R505" i="57"/>
  <c r="O281" i="57"/>
  <c r="U228" i="57" a="1"/>
  <c r="U228" i="57" s="1"/>
  <c r="T234" i="57"/>
  <c r="O77" i="57"/>
  <c r="O179" i="57"/>
  <c r="R45" i="57"/>
  <c r="U71" i="57" a="1"/>
  <c r="U71" i="57" s="1"/>
  <c r="U141" i="57" a="1"/>
  <c r="U141" i="57" s="1"/>
  <c r="R51" i="57"/>
  <c r="O141" i="57"/>
  <c r="J253" i="57"/>
  <c r="J163" i="57"/>
  <c r="J105" i="57"/>
  <c r="J510" i="57"/>
  <c r="J84" i="57"/>
  <c r="J451" i="57"/>
  <c r="J289" i="57"/>
  <c r="AA289" i="57" a="1"/>
  <c r="AA289" i="57" s="1"/>
  <c r="V325" i="57"/>
  <c r="L325" i="57"/>
  <c r="M325" i="57" s="1"/>
  <c r="R325" i="57"/>
  <c r="U325" i="57" a="1"/>
  <c r="U325" i="57" s="1"/>
  <c r="O325" i="57"/>
  <c r="S325" i="57"/>
  <c r="AA183" i="57" a="1"/>
  <c r="AA183" i="57" s="1"/>
  <c r="J183" i="57"/>
  <c r="O268" i="57"/>
  <c r="T268" i="57"/>
  <c r="AA476" i="57" a="1"/>
  <c r="AA476" i="57" s="1"/>
  <c r="J476" i="57"/>
  <c r="V244" i="57"/>
  <c r="T244" i="57"/>
  <c r="O244" i="57"/>
  <c r="R244" i="57"/>
  <c r="S244" i="57"/>
  <c r="U244" i="57" a="1"/>
  <c r="U244" i="57" s="1"/>
  <c r="S316" i="57"/>
  <c r="U316" i="57" a="1"/>
  <c r="U316" i="57" s="1"/>
  <c r="AA432" i="57" a="1"/>
  <c r="AA432" i="57" s="1"/>
  <c r="J432" i="57"/>
  <c r="T260" i="57"/>
  <c r="R260" i="57"/>
  <c r="AA414" i="57" a="1"/>
  <c r="AA414" i="57" s="1"/>
  <c r="J414" i="57"/>
  <c r="J247" i="57"/>
  <c r="AA247" i="57" a="1"/>
  <c r="AA247" i="57" s="1"/>
  <c r="AA292" i="57" a="1"/>
  <c r="AA292" i="57" s="1"/>
  <c r="J292" i="57"/>
  <c r="J153" i="57"/>
  <c r="AA153" i="57" a="1"/>
  <c r="AA153" i="57" s="1"/>
  <c r="R430" i="57"/>
  <c r="V430" i="57"/>
  <c r="S430" i="57"/>
  <c r="O430" i="57"/>
  <c r="U430" i="57" a="1"/>
  <c r="U430" i="57" s="1"/>
  <c r="J324" i="57"/>
  <c r="AA333" i="57" a="1"/>
  <c r="AA333" i="57" s="1"/>
  <c r="J333" i="57"/>
  <c r="O65" i="57"/>
  <c r="U65" i="57" a="1"/>
  <c r="U65" i="57" s="1"/>
  <c r="T65" i="57"/>
  <c r="S65" i="57"/>
  <c r="R65" i="57"/>
  <c r="L65" i="57"/>
  <c r="N65" i="57" s="1"/>
  <c r="J77" i="57"/>
  <c r="AA77" i="57" a="1"/>
  <c r="AA77" i="57" s="1"/>
  <c r="V163" i="57"/>
  <c r="L163" i="57"/>
  <c r="N163" i="57" s="1"/>
  <c r="V499" i="57"/>
  <c r="R499" i="57"/>
  <c r="L499" i="57"/>
  <c r="M499" i="57" s="1"/>
  <c r="O499" i="57"/>
  <c r="AA465" i="57" a="1"/>
  <c r="AA465" i="57" s="1"/>
  <c r="J465" i="57"/>
  <c r="R61" i="57"/>
  <c r="O61" i="57"/>
  <c r="T61" i="57"/>
  <c r="U61" i="57" a="1"/>
  <c r="U61" i="57" s="1"/>
  <c r="AA388" i="57" a="1"/>
  <c r="AA388" i="57" s="1"/>
  <c r="J388" i="57"/>
  <c r="R144" i="57"/>
  <c r="S144" i="57"/>
  <c r="V144" i="57"/>
  <c r="U144" i="57" a="1"/>
  <c r="U144" i="57" s="1"/>
  <c r="AA64" i="57" a="1"/>
  <c r="AA64" i="57" s="1"/>
  <c r="J64" i="57"/>
  <c r="L64" i="57"/>
  <c r="M64" i="57" s="1"/>
  <c r="R64" i="57"/>
  <c r="O64" i="57"/>
  <c r="V64" i="57"/>
  <c r="S64" i="57"/>
  <c r="J145" i="57"/>
  <c r="AA145" i="57" a="1"/>
  <c r="AA145" i="57" s="1"/>
  <c r="U129" i="57" a="1"/>
  <c r="U129" i="57" s="1"/>
  <c r="O129" i="57"/>
  <c r="R129" i="57"/>
  <c r="T129" i="57"/>
  <c r="V129" i="57"/>
  <c r="AA237" i="57" a="1"/>
  <c r="AA237" i="57" s="1"/>
  <c r="J237" i="57"/>
  <c r="T355" i="57"/>
  <c r="R355" i="57"/>
  <c r="V355" i="57"/>
  <c r="L355" i="57"/>
  <c r="M355" i="57" s="1"/>
  <c r="S355" i="57"/>
  <c r="O355" i="57"/>
  <c r="AA528" i="57" a="1"/>
  <c r="AA528" i="57" s="1"/>
  <c r="J528" i="57"/>
  <c r="AA170" i="57" a="1"/>
  <c r="AA170" i="57" s="1"/>
  <c r="J170" i="57"/>
  <c r="U237" i="57" a="1"/>
  <c r="U237" i="57" s="1"/>
  <c r="S237" i="57"/>
  <c r="O237" i="57"/>
  <c r="V237" i="57"/>
  <c r="R237" i="57"/>
  <c r="T237" i="57"/>
  <c r="L237" i="57"/>
  <c r="M237" i="57" s="1"/>
  <c r="O528" i="57"/>
  <c r="U528" i="57" a="1"/>
  <c r="U528" i="57" s="1"/>
  <c r="V528" i="57"/>
  <c r="V158" i="57"/>
  <c r="T158" i="57"/>
  <c r="R158" i="57"/>
  <c r="O158" i="57"/>
  <c r="L158" i="57"/>
  <c r="N158" i="57" s="1"/>
  <c r="O177" i="57"/>
  <c r="S177" i="57"/>
  <c r="R177" i="57"/>
  <c r="U294" i="57" a="1"/>
  <c r="U294" i="57" s="1"/>
  <c r="L294" i="57"/>
  <c r="N294" i="57" s="1"/>
  <c r="S294" i="57"/>
  <c r="AA143" i="57" a="1"/>
  <c r="AA143" i="57" s="1"/>
  <c r="J143" i="57"/>
  <c r="R304" i="57"/>
  <c r="O304" i="57"/>
  <c r="S304" i="57"/>
  <c r="U304" i="57" a="1"/>
  <c r="U304" i="57" s="1"/>
  <c r="V304" i="57"/>
  <c r="T143" i="57"/>
  <c r="R143" i="57"/>
  <c r="L143" i="57"/>
  <c r="M143" i="57" s="1"/>
  <c r="S143" i="57"/>
  <c r="O143" i="57"/>
  <c r="V143" i="57"/>
  <c r="O529" i="57"/>
  <c r="L529" i="57"/>
  <c r="M529" i="57" s="1"/>
  <c r="V529" i="57"/>
  <c r="U529" i="57" a="1"/>
  <c r="U529" i="57" s="1"/>
  <c r="T529" i="57"/>
  <c r="R529" i="57"/>
  <c r="S529" i="57"/>
  <c r="U439" i="57" a="1"/>
  <c r="U439" i="57" s="1"/>
  <c r="V439" i="57"/>
  <c r="S439" i="57"/>
  <c r="O439" i="57"/>
  <c r="R439" i="57"/>
  <c r="U265" i="57" a="1"/>
  <c r="U265" i="57" s="1"/>
  <c r="R265" i="57"/>
  <c r="AA481" i="57" a="1"/>
  <c r="AA481" i="57" s="1"/>
  <c r="J481" i="57"/>
  <c r="AA204" i="57" a="1"/>
  <c r="AA204" i="57" s="1"/>
  <c r="J204" i="57"/>
  <c r="O246" i="57"/>
  <c r="V246" i="57"/>
  <c r="S246" i="57"/>
  <c r="U246" i="57" a="1"/>
  <c r="U246" i="57" s="1"/>
  <c r="T246" i="57"/>
  <c r="S454" i="57"/>
  <c r="V454" i="57"/>
  <c r="U454" i="57" a="1"/>
  <c r="U454" i="57" s="1"/>
  <c r="T454" i="57"/>
  <c r="R454" i="57"/>
  <c r="O454" i="57"/>
  <c r="L454" i="57"/>
  <c r="N454" i="57" s="1"/>
  <c r="T517" i="57"/>
  <c r="R517" i="57"/>
  <c r="L517" i="57"/>
  <c r="M517" i="57" s="1"/>
  <c r="S517" i="57"/>
  <c r="V517" i="57"/>
  <c r="T275" i="57"/>
  <c r="S275" i="57"/>
  <c r="U275" i="57" a="1"/>
  <c r="U275" i="57" s="1"/>
  <c r="R275" i="57"/>
  <c r="L275" i="57"/>
  <c r="N275" i="57" s="1"/>
  <c r="O275" i="57"/>
  <c r="V275" i="57"/>
  <c r="L375" i="57"/>
  <c r="N375" i="57" s="1"/>
  <c r="U375" i="57" a="1"/>
  <c r="U375" i="57" s="1"/>
  <c r="T375" i="57"/>
  <c r="V375" i="57"/>
  <c r="S375" i="57"/>
  <c r="R375" i="57"/>
  <c r="O375" i="57"/>
  <c r="S496" i="57"/>
  <c r="L496" i="57"/>
  <c r="M496" i="57" s="1"/>
  <c r="V496" i="57"/>
  <c r="U496" i="57" a="1"/>
  <c r="U496" i="57" s="1"/>
  <c r="T496" i="57"/>
  <c r="R496" i="57"/>
  <c r="O496" i="57"/>
  <c r="R305" i="57"/>
  <c r="S305" i="57"/>
  <c r="L305" i="57"/>
  <c r="N305" i="57" s="1"/>
  <c r="V305" i="57"/>
  <c r="U305" i="57" a="1"/>
  <c r="U305" i="57" s="1"/>
  <c r="T305" i="57"/>
  <c r="O305" i="57"/>
  <c r="S508" i="57"/>
  <c r="AA137" i="57" a="1"/>
  <c r="AA137" i="57" s="1"/>
  <c r="AA73" i="57" a="1"/>
  <c r="AA73" i="57" s="1"/>
  <c r="J73" i="57"/>
  <c r="O350" i="57"/>
  <c r="R350" i="57"/>
  <c r="L350" i="57"/>
  <c r="N350" i="57" s="1"/>
  <c r="V42" i="57"/>
  <c r="T42" i="57"/>
  <c r="S42" i="57"/>
  <c r="O42" i="57"/>
  <c r="U42" i="57" a="1"/>
  <c r="U42" i="57" s="1"/>
  <c r="R42" i="57"/>
  <c r="AA99" i="57" a="1"/>
  <c r="AA99" i="57" s="1"/>
  <c r="J99" i="57"/>
  <c r="S50" i="57"/>
  <c r="R50" i="57"/>
  <c r="V50" i="57"/>
  <c r="O50" i="57"/>
  <c r="L50" i="57"/>
  <c r="N50" i="57" s="1"/>
  <c r="T50" i="57"/>
  <c r="T111" i="57"/>
  <c r="R111" i="57"/>
  <c r="S111" i="57"/>
  <c r="V111" i="57"/>
  <c r="O111" i="57"/>
  <c r="U111" i="57" a="1"/>
  <c r="U111" i="57" s="1"/>
  <c r="U250" i="57" a="1"/>
  <c r="U250" i="57" s="1"/>
  <c r="L250" i="57"/>
  <c r="N250" i="57" s="1"/>
  <c r="V250" i="57"/>
  <c r="S250" i="57"/>
  <c r="AA93" i="57" a="1"/>
  <c r="AA93" i="57" s="1"/>
  <c r="J93" i="57"/>
  <c r="AA224" i="57" a="1"/>
  <c r="AA224" i="57" s="1"/>
  <c r="J224" i="57"/>
  <c r="AA402" i="57" a="1"/>
  <c r="AA402" i="57" s="1"/>
  <c r="J402" i="57"/>
  <c r="U68" i="57" a="1"/>
  <c r="U68" i="57" s="1"/>
  <c r="S68" i="57"/>
  <c r="R68" i="57"/>
  <c r="O68" i="57"/>
  <c r="L68" i="57"/>
  <c r="M68" i="57" s="1"/>
  <c r="V68" i="57"/>
  <c r="AA131" i="57" a="1"/>
  <c r="AA131" i="57" s="1"/>
  <c r="J131" i="57"/>
  <c r="T308" i="57"/>
  <c r="O308" i="57"/>
  <c r="U308" i="57" a="1"/>
  <c r="U308" i="57" s="1"/>
  <c r="R308" i="57"/>
  <c r="T468" i="57"/>
  <c r="L468" i="57"/>
  <c r="N468" i="57" s="1"/>
  <c r="V100" i="57"/>
  <c r="S100" i="57"/>
  <c r="R100" i="57"/>
  <c r="L100" i="57"/>
  <c r="N100" i="57" s="1"/>
  <c r="T100" i="57"/>
  <c r="V148" i="57"/>
  <c r="L148" i="57"/>
  <c r="N148" i="57" s="1"/>
  <c r="U148" i="57" a="1"/>
  <c r="U148" i="57" s="1"/>
  <c r="S148" i="57"/>
  <c r="R148" i="57"/>
  <c r="O148" i="57"/>
  <c r="J302" i="57"/>
  <c r="AA302" i="57" a="1"/>
  <c r="AA302" i="57" s="1"/>
  <c r="J87" i="57"/>
  <c r="AA87" i="57" a="1"/>
  <c r="AA87" i="57" s="1"/>
  <c r="AA132" i="57" a="1"/>
  <c r="AA132" i="57" s="1"/>
  <c r="J132" i="57"/>
  <c r="U76" i="57" a="1"/>
  <c r="U76" i="57" s="1"/>
  <c r="O76" i="57"/>
  <c r="L76" i="57"/>
  <c r="N76" i="57" s="1"/>
  <c r="V76" i="57"/>
  <c r="T76" i="57"/>
  <c r="S76" i="57"/>
  <c r="R76" i="57"/>
  <c r="AA367" i="57" a="1"/>
  <c r="AA367" i="57" s="1"/>
  <c r="J367" i="57"/>
  <c r="AA260" i="57" a="1"/>
  <c r="AA260" i="57" s="1"/>
  <c r="J260" i="57"/>
  <c r="V343" i="57"/>
  <c r="U343" i="57" a="1"/>
  <c r="U343" i="57" s="1"/>
  <c r="T343" i="57"/>
  <c r="S343" i="57"/>
  <c r="O343" i="57"/>
  <c r="R343" i="57"/>
  <c r="J229" i="57"/>
  <c r="AA229" i="57" a="1"/>
  <c r="AA229" i="57" s="1"/>
  <c r="V202" i="57"/>
  <c r="T202" i="57"/>
  <c r="R202" i="57"/>
  <c r="AA338" i="57" a="1"/>
  <c r="AA338" i="57" s="1"/>
  <c r="J338" i="57"/>
  <c r="V452" i="57"/>
  <c r="S452" i="57"/>
  <c r="T452" i="57"/>
  <c r="U452" i="57" a="1"/>
  <c r="U452" i="57" s="1"/>
  <c r="O452" i="57"/>
  <c r="L452" i="57"/>
  <c r="N452" i="57" s="1"/>
  <c r="S188" i="57"/>
  <c r="R188" i="57"/>
  <c r="O188" i="57"/>
  <c r="T236" i="57"/>
  <c r="L236" i="57"/>
  <c r="N236" i="57" s="1"/>
  <c r="V236" i="57"/>
  <c r="U236" i="57" a="1"/>
  <c r="U236" i="57" s="1"/>
  <c r="S236" i="57"/>
  <c r="R236" i="57"/>
  <c r="AA309" i="57" a="1"/>
  <c r="AA309" i="57" s="1"/>
  <c r="J309" i="57"/>
  <c r="J417" i="57"/>
  <c r="AA417" i="57" a="1"/>
  <c r="AA417" i="57" s="1"/>
  <c r="V240" i="57"/>
  <c r="R240" i="57"/>
  <c r="U240" i="57" a="1"/>
  <c r="U240" i="57" s="1"/>
  <c r="L240" i="57"/>
  <c r="M240" i="57" s="1"/>
  <c r="T240" i="57"/>
  <c r="O240" i="57"/>
  <c r="S240" i="57"/>
  <c r="R415" i="57"/>
  <c r="O415" i="57"/>
  <c r="V415" i="57"/>
  <c r="T415" i="57"/>
  <c r="S415" i="57"/>
  <c r="L415" i="57"/>
  <c r="M415" i="57" s="1"/>
  <c r="S385" i="57"/>
  <c r="L385" i="57"/>
  <c r="M385" i="57" s="1"/>
  <c r="V385" i="57"/>
  <c r="U385" i="57" a="1"/>
  <c r="U385" i="57" s="1"/>
  <c r="V344" i="57"/>
  <c r="U344" i="57" a="1"/>
  <c r="U344" i="57" s="1"/>
  <c r="O344" i="57"/>
  <c r="L344" i="57"/>
  <c r="N344" i="57" s="1"/>
  <c r="T344" i="57"/>
  <c r="R344" i="57"/>
  <c r="T429" i="57"/>
  <c r="L429" i="57"/>
  <c r="M429" i="57" s="1"/>
  <c r="V429" i="57"/>
  <c r="S429" i="57"/>
  <c r="AA514" i="57" a="1"/>
  <c r="AA514" i="57" s="1"/>
  <c r="J514" i="57"/>
  <c r="S133" i="57"/>
  <c r="V133" i="57"/>
  <c r="U133" i="57" a="1"/>
  <c r="U133" i="57" s="1"/>
  <c r="O133" i="57"/>
  <c r="L133" i="57"/>
  <c r="N133" i="57" s="1"/>
  <c r="R133" i="57"/>
  <c r="AA267" i="57" a="1"/>
  <c r="AA267" i="57" s="1"/>
  <c r="J267" i="57"/>
  <c r="AA61" i="57" a="1"/>
  <c r="AA61" i="57" s="1"/>
  <c r="J61" i="57"/>
  <c r="U105" i="57" a="1"/>
  <c r="U105" i="57" s="1"/>
  <c r="S105" i="57"/>
  <c r="R105" i="57"/>
  <c r="O105" i="57"/>
  <c r="T105" i="57"/>
  <c r="O478" i="57"/>
  <c r="V478" i="57"/>
  <c r="U478" i="57" a="1"/>
  <c r="U478" i="57" s="1"/>
  <c r="T478" i="57"/>
  <c r="L478" i="57"/>
  <c r="M478" i="57" s="1"/>
  <c r="S478" i="57"/>
  <c r="R478" i="57"/>
  <c r="AA249" i="57" a="1"/>
  <c r="AA249" i="57" s="1"/>
  <c r="J249" i="57"/>
  <c r="S121" i="57"/>
  <c r="T121" i="57"/>
  <c r="R121" i="57"/>
  <c r="L121" i="57"/>
  <c r="N121" i="57" s="1"/>
  <c r="V121" i="57"/>
  <c r="O121" i="57"/>
  <c r="U121" i="57" a="1"/>
  <c r="U121" i="57" s="1"/>
  <c r="O207" i="57"/>
  <c r="R207" i="57"/>
  <c r="L207" i="57"/>
  <c r="M207" i="57" s="1"/>
  <c r="AA265" i="57" a="1"/>
  <c r="AA265" i="57" s="1"/>
  <c r="J265" i="57"/>
  <c r="O232" i="57"/>
  <c r="T232" i="57"/>
  <c r="U232" i="57" a="1"/>
  <c r="U232" i="57" s="1"/>
  <c r="V232" i="57"/>
  <c r="S232" i="57"/>
  <c r="R232" i="57"/>
  <c r="AA84" i="57" a="1"/>
  <c r="AA84" i="57" s="1"/>
  <c r="O393" i="57"/>
  <c r="V393" i="57"/>
  <c r="R393" i="57"/>
  <c r="T393" i="57"/>
  <c r="L393" i="57"/>
  <c r="N393" i="57" s="1"/>
  <c r="S393" i="57"/>
  <c r="AA285" i="57" a="1"/>
  <c r="AA285" i="57" s="1"/>
  <c r="J285" i="57"/>
  <c r="V258" i="57"/>
  <c r="U258" i="57" a="1"/>
  <c r="U258" i="57" s="1"/>
  <c r="S446" i="57"/>
  <c r="L446" i="57"/>
  <c r="M446" i="57" s="1"/>
  <c r="T446" i="57"/>
  <c r="AA428" i="57" a="1"/>
  <c r="AA428" i="57" s="1"/>
  <c r="J428" i="57"/>
  <c r="L430" i="57"/>
  <c r="M430" i="57" s="1"/>
  <c r="T258" i="57"/>
  <c r="U394" i="57" a="1"/>
  <c r="U394" i="57" s="1"/>
  <c r="O394" i="57"/>
  <c r="R394" i="57"/>
  <c r="V394" i="57"/>
  <c r="AA331" i="57" a="1"/>
  <c r="AA331" i="57" s="1"/>
  <c r="J331" i="57"/>
  <c r="AA416" i="57" a="1"/>
  <c r="AA416" i="57" s="1"/>
  <c r="J416" i="57"/>
  <c r="O523" i="57"/>
  <c r="V523" i="57"/>
  <c r="S523" i="57"/>
  <c r="T523" i="57"/>
  <c r="R523" i="57"/>
  <c r="R67" i="57"/>
  <c r="O67" i="57"/>
  <c r="U67" i="57" a="1"/>
  <c r="U67" i="57" s="1"/>
  <c r="L67" i="57"/>
  <c r="N67" i="57" s="1"/>
  <c r="S67" i="57"/>
  <c r="L306" i="57"/>
  <c r="M306" i="57" s="1"/>
  <c r="R306" i="57"/>
  <c r="T306" i="57"/>
  <c r="S306" i="57"/>
  <c r="O306" i="57"/>
  <c r="V306" i="57"/>
  <c r="U306" i="57" a="1"/>
  <c r="U306" i="57" s="1"/>
  <c r="R183" i="57"/>
  <c r="L183" i="57"/>
  <c r="N183" i="57" s="1"/>
  <c r="O183" i="57"/>
  <c r="AA203" i="57" a="1"/>
  <c r="AA203" i="57" s="1"/>
  <c r="J203" i="57"/>
  <c r="AA121" i="57" a="1"/>
  <c r="AA121" i="57" s="1"/>
  <c r="J121" i="57"/>
  <c r="T85" i="57"/>
  <c r="V85" i="57"/>
  <c r="L85" i="57"/>
  <c r="N85" i="57" s="1"/>
  <c r="O85" i="57"/>
  <c r="S85" i="57"/>
  <c r="U93" i="57" a="1"/>
  <c r="U93" i="57" s="1"/>
  <c r="T93" i="57"/>
  <c r="S93" i="57"/>
  <c r="V93" i="57"/>
  <c r="R93" i="57"/>
  <c r="L93" i="57"/>
  <c r="N93" i="57" s="1"/>
  <c r="O93" i="57"/>
  <c r="AA273" i="57" a="1"/>
  <c r="AA273" i="57" s="1"/>
  <c r="J273" i="57"/>
  <c r="T501" i="57"/>
  <c r="R501" i="57"/>
  <c r="V501" i="57"/>
  <c r="U501" i="57" a="1"/>
  <c r="U501" i="57" s="1"/>
  <c r="J70" i="57"/>
  <c r="AA70" i="57" a="1"/>
  <c r="AA70" i="57" s="1"/>
  <c r="T230" i="57"/>
  <c r="R230" i="57"/>
  <c r="O230" i="57"/>
  <c r="U230" i="57" a="1"/>
  <c r="U230" i="57" s="1"/>
  <c r="S230" i="57"/>
  <c r="V230" i="57"/>
  <c r="U193" i="57" a="1"/>
  <c r="U193" i="57" s="1"/>
  <c r="V193" i="57"/>
  <c r="R193" i="57"/>
  <c r="S193" i="57"/>
  <c r="O193" i="57"/>
  <c r="V70" i="57"/>
  <c r="R70" i="57"/>
  <c r="L70" i="57"/>
  <c r="N70" i="57" s="1"/>
  <c r="O70" i="57"/>
  <c r="O136" i="57"/>
  <c r="V136" i="57"/>
  <c r="U136" i="57" a="1"/>
  <c r="U136" i="57" s="1"/>
  <c r="T136" i="57"/>
  <c r="S136" i="57"/>
  <c r="R136" i="57"/>
  <c r="L79" i="57"/>
  <c r="M79" i="57" s="1"/>
  <c r="V79" i="57"/>
  <c r="U79" i="57" a="1"/>
  <c r="U79" i="57" s="1"/>
  <c r="S79" i="57"/>
  <c r="R79" i="57"/>
  <c r="T79" i="57"/>
  <c r="S123" i="57"/>
  <c r="R123" i="57"/>
  <c r="O123" i="57"/>
  <c r="L123" i="57"/>
  <c r="M123" i="57" s="1"/>
  <c r="L528" i="57"/>
  <c r="N528" i="57" s="1"/>
  <c r="L506" i="57"/>
  <c r="N506" i="57" s="1"/>
  <c r="V294" i="57"/>
  <c r="U64" i="57" a="1"/>
  <c r="U64" i="57" s="1"/>
  <c r="U183" i="57" a="1"/>
  <c r="U183" i="57" s="1"/>
  <c r="J45" i="57"/>
  <c r="AA312" i="57" a="1"/>
  <c r="AA312" i="57" s="1"/>
  <c r="J312" i="57"/>
  <c r="O357" i="57"/>
  <c r="T357" i="57"/>
  <c r="V357" i="57"/>
  <c r="S357" i="57"/>
  <c r="U357" i="57" a="1"/>
  <c r="U357" i="57" s="1"/>
  <c r="L357" i="57"/>
  <c r="M357" i="57" s="1"/>
  <c r="V442" i="57"/>
  <c r="T442" i="57"/>
  <c r="R442" i="57"/>
  <c r="S527" i="57"/>
  <c r="L527" i="57"/>
  <c r="N527" i="57" s="1"/>
  <c r="U527" i="57" a="1"/>
  <c r="U527" i="57" s="1"/>
  <c r="R527" i="57"/>
  <c r="V527" i="57"/>
  <c r="O527" i="57"/>
  <c r="O389" i="57"/>
  <c r="R389" i="57"/>
  <c r="L389" i="57"/>
  <c r="M389" i="57" s="1"/>
  <c r="T389" i="57"/>
  <c r="S389" i="57"/>
  <c r="S474" i="57"/>
  <c r="T474" i="57"/>
  <c r="R474" i="57"/>
  <c r="U474" i="57" a="1"/>
  <c r="U474" i="57" s="1"/>
  <c r="V363" i="57"/>
  <c r="R363" i="57"/>
  <c r="U363" i="57" a="1"/>
  <c r="U363" i="57" s="1"/>
  <c r="O363" i="57"/>
  <c r="T363" i="57"/>
  <c r="S363" i="57"/>
  <c r="AA141" i="57" a="1"/>
  <c r="AA141" i="57" s="1"/>
  <c r="J141" i="57"/>
  <c r="U80" i="57" a="1"/>
  <c r="U80" i="57" s="1"/>
  <c r="T80" i="57"/>
  <c r="V80" i="57"/>
  <c r="S80" i="57"/>
  <c r="R80" i="57"/>
  <c r="O80" i="57"/>
  <c r="L80" i="57"/>
  <c r="N80" i="57" s="1"/>
  <c r="V309" i="57"/>
  <c r="R309" i="57"/>
  <c r="O309" i="57"/>
  <c r="U309" i="57" a="1"/>
  <c r="U309" i="57" s="1"/>
  <c r="S309" i="57"/>
  <c r="T309" i="57"/>
  <c r="L309" i="57"/>
  <c r="N309" i="57" s="1"/>
  <c r="AA213" i="57" a="1"/>
  <c r="AA213" i="57" s="1"/>
  <c r="J213" i="57"/>
  <c r="V37" i="57"/>
  <c r="U37" i="57" a="1"/>
  <c r="U37" i="57" s="1"/>
  <c r="O37" i="57"/>
  <c r="R37" i="57"/>
  <c r="S37" i="57"/>
  <c r="T37" i="57"/>
  <c r="L73" i="57"/>
  <c r="M73" i="57" s="1"/>
  <c r="V73" i="57"/>
  <c r="U73" i="57" a="1"/>
  <c r="U73" i="57" s="1"/>
  <c r="T73" i="57"/>
  <c r="S73" i="57"/>
  <c r="R73" i="57"/>
  <c r="AA160" i="57" a="1"/>
  <c r="AA160" i="57" s="1"/>
  <c r="J160" i="57"/>
  <c r="U432" i="57" a="1"/>
  <c r="U432" i="57" s="1"/>
  <c r="R432" i="57"/>
  <c r="L432" i="57"/>
  <c r="N432" i="57" s="1"/>
  <c r="T432" i="57"/>
  <c r="O432" i="57"/>
  <c r="U160" i="57" a="1"/>
  <c r="U160" i="57" s="1"/>
  <c r="V160" i="57"/>
  <c r="R160" i="57"/>
  <c r="L160" i="57"/>
  <c r="M160" i="57" s="1"/>
  <c r="S160" i="57"/>
  <c r="O160" i="57"/>
  <c r="J374" i="57"/>
  <c r="AA374" i="57" a="1"/>
  <c r="AA374" i="57" s="1"/>
  <c r="O57" i="57"/>
  <c r="L57" i="57"/>
  <c r="M57" i="57" s="1"/>
  <c r="U57" i="57" a="1"/>
  <c r="U57" i="57" s="1"/>
  <c r="T57" i="57"/>
  <c r="S57" i="57"/>
  <c r="R57" i="57"/>
  <c r="V57" i="57"/>
  <c r="AA124" i="57" a="1"/>
  <c r="AA124" i="57" s="1"/>
  <c r="J124" i="57"/>
  <c r="J281" i="57"/>
  <c r="AA281" i="57" a="1"/>
  <c r="AA281" i="57" s="1"/>
  <c r="U284" i="57" a="1"/>
  <c r="U284" i="57" s="1"/>
  <c r="L284" i="57"/>
  <c r="M284" i="57" s="1"/>
  <c r="S284" i="57"/>
  <c r="V284" i="57"/>
  <c r="T284" i="57"/>
  <c r="O284" i="57"/>
  <c r="U36" i="57" a="1"/>
  <c r="U36" i="57" s="1"/>
  <c r="O36" i="57"/>
  <c r="R36" i="57"/>
  <c r="L36" i="57"/>
  <c r="M36" i="57" s="1"/>
  <c r="T36" i="57"/>
  <c r="J231" i="57"/>
  <c r="AA231" i="57" a="1"/>
  <c r="AA231" i="57" s="1"/>
  <c r="AA108" i="57" a="1"/>
  <c r="AA108" i="57" s="1"/>
  <c r="J108" i="57"/>
  <c r="J218" i="57"/>
  <c r="R317" i="57"/>
  <c r="V317" i="57"/>
  <c r="T317" i="57"/>
  <c r="S317" i="57"/>
  <c r="O317" i="57"/>
  <c r="S197" i="57"/>
  <c r="T197" i="57"/>
  <c r="O197" i="57"/>
  <c r="U197" i="57" a="1"/>
  <c r="U197" i="57" s="1"/>
  <c r="V197" i="57"/>
  <c r="R197" i="57"/>
  <c r="R126" i="57"/>
  <c r="O126" i="57"/>
  <c r="V126" i="57"/>
  <c r="U126" i="57" a="1"/>
  <c r="U126" i="57" s="1"/>
  <c r="T126" i="57"/>
  <c r="R181" i="57"/>
  <c r="L181" i="57"/>
  <c r="N181" i="57" s="1"/>
  <c r="T181" i="57"/>
  <c r="S181" i="57"/>
  <c r="AA82" i="57" a="1"/>
  <c r="AA82" i="57" s="1"/>
  <c r="J82" i="57"/>
  <c r="R166" i="57"/>
  <c r="L166" i="57"/>
  <c r="N166" i="57" s="1"/>
  <c r="V166" i="57"/>
  <c r="U166" i="57" a="1"/>
  <c r="U166" i="57" s="1"/>
  <c r="T166" i="57"/>
  <c r="S166" i="57"/>
  <c r="O166" i="57"/>
  <c r="O210" i="57"/>
  <c r="U210" i="57" a="1"/>
  <c r="U210" i="57" s="1"/>
  <c r="R210" i="57"/>
  <c r="V210" i="57"/>
  <c r="S210" i="57"/>
  <c r="O356" i="57"/>
  <c r="U356" i="57" a="1"/>
  <c r="U356" i="57" s="1"/>
  <c r="T356" i="57"/>
  <c r="V356" i="57"/>
  <c r="S356" i="57"/>
  <c r="AA185" i="57" a="1"/>
  <c r="AA185" i="57" s="1"/>
  <c r="J185" i="57"/>
  <c r="S219" i="57"/>
  <c r="L219" i="57"/>
  <c r="M219" i="57" s="1"/>
  <c r="R219" i="57"/>
  <c r="O219" i="57"/>
  <c r="T219" i="57"/>
  <c r="V219" i="57"/>
  <c r="U446" i="57" a="1"/>
  <c r="U446" i="57" s="1"/>
  <c r="U163" i="57" a="1"/>
  <c r="U163" i="57" s="1"/>
  <c r="AA442" i="57" a="1"/>
  <c r="AA442" i="57" s="1"/>
  <c r="J442" i="57"/>
  <c r="J499" i="57"/>
  <c r="AA499" i="57" a="1"/>
  <c r="AA499" i="57" s="1"/>
  <c r="V331" i="57"/>
  <c r="L331" i="57"/>
  <c r="N331" i="57" s="1"/>
  <c r="S331" i="57"/>
  <c r="O331" i="57"/>
  <c r="AA92" i="57" a="1"/>
  <c r="AA92" i="57" s="1"/>
  <c r="J92" i="57"/>
  <c r="S139" i="57"/>
  <c r="V139" i="57"/>
  <c r="T139" i="57"/>
  <c r="U139" i="57" a="1"/>
  <c r="U139" i="57" s="1"/>
  <c r="R139" i="57"/>
  <c r="O139" i="57"/>
  <c r="U391" i="57" a="1"/>
  <c r="U391" i="57" s="1"/>
  <c r="T391" i="57"/>
  <c r="R391" i="57"/>
  <c r="U326" i="57" a="1"/>
  <c r="U326" i="57" s="1"/>
  <c r="O326" i="57"/>
  <c r="T326" i="57"/>
  <c r="U484" i="57" a="1"/>
  <c r="U484" i="57" s="1"/>
  <c r="T484" i="57"/>
  <c r="R484" i="57"/>
  <c r="L484" i="57"/>
  <c r="M484" i="57" s="1"/>
  <c r="V484" i="57"/>
  <c r="S484" i="57"/>
  <c r="O484" i="57"/>
  <c r="T180" i="57"/>
  <c r="R180" i="57"/>
  <c r="V180" i="57"/>
  <c r="U180" i="57" a="1"/>
  <c r="U180" i="57" s="1"/>
  <c r="S180" i="57"/>
  <c r="L180" i="57"/>
  <c r="N180" i="57" s="1"/>
  <c r="V311" i="57"/>
  <c r="R258" i="57"/>
  <c r="T508" i="57"/>
  <c r="T163" i="57"/>
  <c r="R294" i="57"/>
  <c r="L501" i="57"/>
  <c r="M501" i="57" s="1"/>
  <c r="S70" i="57"/>
  <c r="O294" i="57"/>
  <c r="AA522" i="57" a="1"/>
  <c r="AA522" i="57" s="1"/>
  <c r="J522" i="57"/>
  <c r="O501" i="57"/>
  <c r="U400" i="57" a="1"/>
  <c r="U400" i="57" s="1"/>
  <c r="R241" i="57"/>
  <c r="T207" i="57"/>
  <c r="L105" i="57"/>
  <c r="N105" i="57" s="1"/>
  <c r="T177" i="57"/>
  <c r="O100" i="57"/>
  <c r="O442" i="57"/>
  <c r="J66" i="57"/>
  <c r="R504" i="57"/>
  <c r="O504" i="57"/>
  <c r="L504" i="57"/>
  <c r="N504" i="57" s="1"/>
  <c r="U504" i="57" a="1"/>
  <c r="U504" i="57" s="1"/>
  <c r="U297" i="57" a="1"/>
  <c r="U297" i="57" s="1"/>
  <c r="L297" i="57"/>
  <c r="N297" i="57" s="1"/>
  <c r="S297" i="57"/>
  <c r="V297" i="57"/>
  <c r="T297" i="57"/>
  <c r="R297" i="57"/>
  <c r="O297" i="57"/>
  <c r="J295" i="57"/>
  <c r="AA295" i="57" a="1"/>
  <c r="AA295" i="57" s="1"/>
  <c r="L111" i="57"/>
  <c r="M111" i="57" s="1"/>
  <c r="R400" i="57"/>
  <c r="S207" i="57"/>
  <c r="V105" i="57"/>
  <c r="J487" i="57"/>
  <c r="AA487" i="57" a="1"/>
  <c r="AA487" i="57" s="1"/>
  <c r="T528" i="57"/>
  <c r="J471" i="57"/>
  <c r="J397" i="57"/>
  <c r="J341" i="57"/>
  <c r="V265" i="57"/>
  <c r="J209" i="57"/>
  <c r="V400" i="57"/>
  <c r="S344" i="57"/>
  <c r="U207" i="57" a="1"/>
  <c r="U207" i="57" s="1"/>
  <c r="L129" i="57"/>
  <c r="N129" i="57" s="1"/>
  <c r="U177" i="57" a="1"/>
  <c r="U177" i="57" s="1"/>
  <c r="J71" i="57"/>
  <c r="L308" i="57"/>
  <c r="M308" i="57" s="1"/>
  <c r="S442" i="57"/>
  <c r="U158" i="57" a="1"/>
  <c r="U158" i="57" s="1"/>
  <c r="J512" i="57"/>
  <c r="J348" i="57"/>
  <c r="AA348" i="57" a="1"/>
  <c r="AA348" i="57" s="1"/>
  <c r="R226" i="57"/>
  <c r="L226" i="57"/>
  <c r="M226" i="57" s="1"/>
  <c r="V226" i="57"/>
  <c r="T226" i="57"/>
  <c r="U226" i="57" a="1"/>
  <c r="U226" i="57" s="1"/>
  <c r="AA430" i="57" a="1"/>
  <c r="AA430" i="57" s="1"/>
  <c r="J430" i="57"/>
  <c r="O241" i="57"/>
  <c r="T241" i="57"/>
  <c r="U241" i="57" a="1"/>
  <c r="U241" i="57" s="1"/>
  <c r="L531" i="57"/>
  <c r="N531" i="57" s="1"/>
  <c r="U531" i="57" a="1"/>
  <c r="U531" i="57" s="1"/>
  <c r="T531" i="57"/>
  <c r="S531" i="57"/>
  <c r="O531" i="57"/>
  <c r="V531" i="57"/>
  <c r="J284" i="57"/>
  <c r="T64" i="57"/>
  <c r="AA489" i="57" a="1"/>
  <c r="AA489" i="57" s="1"/>
  <c r="J489" i="57"/>
  <c r="V487" i="57"/>
  <c r="U487" i="57" a="1"/>
  <c r="U487" i="57" s="1"/>
  <c r="T487" i="57"/>
  <c r="S487" i="57"/>
  <c r="R487" i="57"/>
  <c r="O487" i="57"/>
  <c r="V67" i="57"/>
  <c r="L402" i="57"/>
  <c r="N402" i="57" s="1"/>
  <c r="O402" i="57"/>
  <c r="T402" i="57"/>
  <c r="U402" i="57" a="1"/>
  <c r="U402" i="57" s="1"/>
  <c r="AA437" i="57" a="1"/>
  <c r="AA437" i="57" s="1"/>
  <c r="J437" i="57"/>
  <c r="U91" i="57" a="1"/>
  <c r="U91" i="57" s="1"/>
  <c r="V91" i="57"/>
  <c r="S91" i="57"/>
  <c r="L316" i="57"/>
  <c r="N316" i="57" s="1"/>
  <c r="S265" i="57"/>
  <c r="J352" i="57"/>
  <c r="R468" i="57"/>
  <c r="L400" i="57"/>
  <c r="N400" i="57" s="1"/>
  <c r="J313" i="57"/>
  <c r="L230" i="57"/>
  <c r="M230" i="57" s="1"/>
  <c r="T311" i="57"/>
  <c r="V241" i="57"/>
  <c r="T193" i="57"/>
  <c r="L144" i="57"/>
  <c r="M144" i="57" s="1"/>
  <c r="J127" i="57"/>
  <c r="V177" i="57"/>
  <c r="U143" i="57" a="1"/>
  <c r="U143" i="57" s="1"/>
  <c r="L343" i="57"/>
  <c r="M343" i="57" s="1"/>
  <c r="O446" i="57"/>
  <c r="O91" i="57"/>
  <c r="T527" i="57"/>
  <c r="U523" i="57" a="1"/>
  <c r="U523" i="57" s="1"/>
  <c r="S226" i="57"/>
  <c r="U209" i="57" a="1"/>
  <c r="U209" i="57" s="1"/>
  <c r="V209" i="57"/>
  <c r="T209" i="57"/>
  <c r="O209" i="57"/>
  <c r="R209" i="57"/>
  <c r="L209" i="57"/>
  <c r="N209" i="57" s="1"/>
  <c r="S209" i="57"/>
  <c r="AA196" i="57" a="1"/>
  <c r="AA196" i="57" s="1"/>
  <c r="J196" i="57"/>
  <c r="U456" i="57" a="1"/>
  <c r="U456" i="57" s="1"/>
  <c r="O456" i="57"/>
  <c r="L456" i="57"/>
  <c r="M456" i="57" s="1"/>
  <c r="S456" i="57"/>
  <c r="T456" i="57"/>
  <c r="V456" i="57"/>
  <c r="AA283" i="57" a="1"/>
  <c r="AA283" i="57" s="1"/>
  <c r="J283" i="57"/>
  <c r="V508" i="57"/>
  <c r="O508" i="57"/>
  <c r="U508" i="57" a="1"/>
  <c r="U508" i="57" s="1"/>
  <c r="R508" i="57"/>
  <c r="S258" i="57"/>
  <c r="AA357" i="57" a="1"/>
  <c r="AA357" i="57" s="1"/>
  <c r="J357" i="57"/>
  <c r="S506" i="57"/>
  <c r="T506" i="57"/>
  <c r="V506" i="57"/>
  <c r="U506" i="57" a="1"/>
  <c r="U506" i="57" s="1"/>
  <c r="S277" i="57"/>
  <c r="V277" i="57"/>
  <c r="U277" i="57" a="1"/>
  <c r="U277" i="57" s="1"/>
  <c r="L277" i="57"/>
  <c r="N277" i="57" s="1"/>
  <c r="R528" i="57"/>
  <c r="R456" i="57"/>
  <c r="U100" i="57" a="1"/>
  <c r="U100" i="57" s="1"/>
  <c r="AA339" i="57" a="1"/>
  <c r="AA339" i="57" s="1"/>
  <c r="J339" i="57"/>
  <c r="V156" i="57"/>
  <c r="S156" i="57"/>
  <c r="R156" i="57"/>
  <c r="L156" i="57"/>
  <c r="N156" i="57" s="1"/>
  <c r="O156" i="57"/>
  <c r="U212" i="57" a="1"/>
  <c r="U212" i="57" s="1"/>
  <c r="V212" i="57"/>
  <c r="T212" i="57"/>
  <c r="V326" i="57"/>
  <c r="V350" i="57"/>
  <c r="T265" i="57"/>
  <c r="O385" i="57"/>
  <c r="O468" i="57"/>
  <c r="S400" i="57"/>
  <c r="L139" i="57"/>
  <c r="N139" i="57" s="1"/>
  <c r="L177" i="57"/>
  <c r="N177" i="57" s="1"/>
  <c r="L241" i="57"/>
  <c r="N241" i="57" s="1"/>
  <c r="U517" i="57" a="1"/>
  <c r="U517" i="57" s="1"/>
  <c r="V65" i="57"/>
  <c r="U156" i="57" a="1"/>
  <c r="U156" i="57" s="1"/>
  <c r="J184" i="57"/>
  <c r="J443" i="57"/>
  <c r="J113" i="57"/>
  <c r="J490" i="57"/>
  <c r="J140" i="57"/>
  <c r="J477" i="57"/>
  <c r="J154" i="57"/>
  <c r="U251" i="57" a="1"/>
  <c r="U251" i="57" s="1"/>
  <c r="T174" i="57"/>
  <c r="U157" i="57" a="1"/>
  <c r="U157" i="57" s="1"/>
  <c r="L358" i="57"/>
  <c r="M358" i="57" s="1"/>
  <c r="R397" i="57"/>
  <c r="U358" i="57" a="1"/>
  <c r="U358" i="57" s="1"/>
  <c r="R362" i="57"/>
  <c r="U461" i="57" a="1"/>
  <c r="U461" i="57" s="1"/>
  <c r="V198" i="57"/>
  <c r="O360" i="57"/>
  <c r="R190" i="57"/>
  <c r="O461" i="57"/>
  <c r="U56" i="57" a="1"/>
  <c r="U56" i="57" s="1"/>
  <c r="R290" i="57"/>
  <c r="J360" i="57"/>
  <c r="J191" i="57"/>
  <c r="J189" i="57"/>
  <c r="J94" i="57"/>
  <c r="O278" i="57"/>
  <c r="R195" i="57"/>
  <c r="T175" i="57"/>
  <c r="T157" i="57"/>
  <c r="O418" i="57"/>
  <c r="J365" i="57"/>
  <c r="U186" i="57" a="1"/>
  <c r="U186" i="57" s="1"/>
  <c r="J336" i="57"/>
  <c r="AA97" i="57" a="1"/>
  <c r="AA97" i="57" s="1"/>
  <c r="J458" i="57"/>
  <c r="J370" i="57"/>
  <c r="S127" i="57"/>
  <c r="U43" i="57" a="1"/>
  <c r="U43" i="57" s="1"/>
  <c r="J104" i="57"/>
  <c r="J328" i="57"/>
  <c r="J190" i="57"/>
  <c r="O190" i="57"/>
  <c r="T190" i="57"/>
  <c r="O455" i="57"/>
  <c r="V405" i="57"/>
  <c r="L195" i="57"/>
  <c r="N195" i="57" s="1"/>
  <c r="U195" i="57" a="1"/>
  <c r="U195" i="57" s="1"/>
  <c r="S195" i="57"/>
  <c r="R242" i="57"/>
  <c r="U242" i="57" a="1"/>
  <c r="U242" i="57" s="1"/>
  <c r="U130" i="57" a="1"/>
  <c r="U130" i="57" s="1"/>
  <c r="V175" i="57"/>
  <c r="T392" i="57"/>
  <c r="O60" i="57"/>
  <c r="O195" i="57"/>
  <c r="T43" i="57"/>
  <c r="R302" i="57"/>
  <c r="J413" i="57"/>
  <c r="J305" i="57"/>
  <c r="J200" i="57"/>
  <c r="J315" i="57"/>
  <c r="J51" i="57"/>
  <c r="R455" i="57"/>
  <c r="L405" i="57"/>
  <c r="M405" i="57" s="1"/>
  <c r="L157" i="57"/>
  <c r="M157" i="57" s="1"/>
  <c r="O82" i="57"/>
  <c r="L469" i="57"/>
  <c r="M469" i="57" s="1"/>
  <c r="R469" i="57"/>
  <c r="S198" i="57"/>
  <c r="R234" i="57"/>
  <c r="S132" i="57"/>
  <c r="V48" i="57"/>
  <c r="S242" i="57"/>
  <c r="R98" i="57"/>
  <c r="O87" i="57"/>
  <c r="T374" i="57"/>
  <c r="U253" i="57" a="1"/>
  <c r="U253" i="57" s="1"/>
  <c r="R203" i="57"/>
  <c r="T302" i="57"/>
  <c r="J445" i="57"/>
  <c r="T98" i="57"/>
  <c r="AA407" i="57" a="1"/>
  <c r="AA407" i="57" s="1"/>
  <c r="AA86" i="57" a="1"/>
  <c r="AA86" i="57" s="1"/>
  <c r="O164" i="57"/>
  <c r="J377" i="57"/>
  <c r="T482" i="57"/>
  <c r="T418" i="57"/>
  <c r="J217" i="57"/>
  <c r="T455" i="57"/>
  <c r="S43" i="57"/>
  <c r="J177" i="57"/>
  <c r="AC403" i="57"/>
  <c r="AG403" i="57" s="1"/>
  <c r="AF296" i="57"/>
  <c r="AE296" i="57" s="1"/>
  <c r="AF532" i="57"/>
  <c r="AE532" i="57" s="1"/>
  <c r="AC157" i="57"/>
  <c r="AG157" i="57" s="1"/>
  <c r="AF216" i="57"/>
  <c r="AE216" i="57" s="1"/>
  <c r="AF38" i="57"/>
  <c r="AE38" i="57" s="1"/>
  <c r="AC393" i="57"/>
  <c r="AG393" i="57" s="1"/>
  <c r="AC138" i="57"/>
  <c r="AG138" i="57" s="1"/>
  <c r="AF36" i="57"/>
  <c r="AE36" i="57" s="1"/>
  <c r="AF148" i="57"/>
  <c r="AE148" i="57" s="1"/>
  <c r="AC144" i="57"/>
  <c r="AG144" i="57" s="1"/>
  <c r="AF481" i="57"/>
  <c r="AE481" i="57" s="1"/>
  <c r="AF485" i="57"/>
  <c r="AE485" i="57" s="1"/>
  <c r="AF250" i="57"/>
  <c r="AE250" i="57" s="1"/>
  <c r="AC38" i="57"/>
  <c r="AG38" i="57" s="1"/>
  <c r="AC518" i="57"/>
  <c r="AG518" i="57" s="1"/>
  <c r="AC428" i="57"/>
  <c r="AG428" i="57" s="1"/>
  <c r="AC367" i="57"/>
  <c r="AG367" i="57" s="1"/>
  <c r="AC525" i="57"/>
  <c r="AG525" i="57" s="1"/>
  <c r="AF316" i="57"/>
  <c r="AE316" i="57" s="1"/>
  <c r="AC468" i="57"/>
  <c r="AG468" i="57" s="1"/>
  <c r="AC185" i="57"/>
  <c r="AG185" i="57" s="1"/>
  <c r="AC275" i="57"/>
  <c r="AG275" i="57" s="1"/>
  <c r="AF130" i="57"/>
  <c r="AE130" i="57" s="1"/>
  <c r="AC114" i="57"/>
  <c r="AG114" i="57" s="1"/>
  <c r="AF167" i="57"/>
  <c r="AE167" i="57" s="1"/>
  <c r="AC125" i="57"/>
  <c r="AG125" i="57" s="1"/>
  <c r="AC233" i="57"/>
  <c r="AG233" i="57" s="1"/>
  <c r="AF69" i="57"/>
  <c r="AE69" i="57" s="1"/>
  <c r="AF368" i="57"/>
  <c r="AE368" i="57" s="1"/>
  <c r="AC306" i="57"/>
  <c r="AG306" i="57" s="1"/>
  <c r="AF58" i="57"/>
  <c r="AE58" i="57" s="1"/>
  <c r="AC56" i="57"/>
  <c r="AG56" i="57" s="1"/>
  <c r="AF172" i="57"/>
  <c r="AE172" i="57" s="1"/>
  <c r="AC248" i="57"/>
  <c r="AG248" i="57" s="1"/>
  <c r="AC454" i="57"/>
  <c r="AG454" i="57" s="1"/>
  <c r="AC249" i="57"/>
  <c r="AC280" i="57"/>
  <c r="AG280" i="57" s="1"/>
  <c r="AF360" i="57"/>
  <c r="AE360" i="57" s="1"/>
  <c r="AC460" i="57"/>
  <c r="AG460" i="57" s="1"/>
  <c r="AC175" i="57"/>
  <c r="AG175" i="57" s="1"/>
  <c r="AF76" i="57"/>
  <c r="AE76" i="57" s="1"/>
  <c r="AC109" i="57"/>
  <c r="AG109" i="57" s="1"/>
  <c r="AC311" i="57"/>
  <c r="AG311" i="57" s="1"/>
  <c r="AC201" i="57"/>
  <c r="AG201" i="57" s="1"/>
  <c r="AC519" i="57"/>
  <c r="AG519" i="57" s="1"/>
  <c r="AC427" i="57"/>
  <c r="AG427" i="57" s="1"/>
  <c r="AC343" i="57"/>
  <c r="AG343" i="57" s="1"/>
  <c r="AC204" i="57"/>
  <c r="AG204" i="57" s="1"/>
  <c r="AC41" i="57"/>
  <c r="AG41" i="57" s="1"/>
  <c r="AC416" i="57"/>
  <c r="AG416" i="57" s="1"/>
  <c r="AC112" i="57"/>
  <c r="AC98" i="57"/>
  <c r="AG98" i="57" s="1"/>
  <c r="AC520" i="57"/>
  <c r="AG520" i="57" s="1"/>
  <c r="AF390" i="57"/>
  <c r="AE390" i="57" s="1"/>
  <c r="AC203" i="57"/>
  <c r="AG203" i="57" s="1"/>
  <c r="AF430" i="57"/>
  <c r="AE430" i="57" s="1"/>
  <c r="AC136" i="57"/>
  <c r="AG136" i="57" s="1"/>
  <c r="AC284" i="57"/>
  <c r="AG284" i="57" s="1"/>
  <c r="AC183" i="57"/>
  <c r="AG183" i="57" s="1"/>
  <c r="AC436" i="57"/>
  <c r="AG436" i="57" s="1"/>
  <c r="AC502" i="57"/>
  <c r="AG502" i="57" s="1"/>
  <c r="AC413" i="57"/>
  <c r="AG413" i="57" s="1"/>
  <c r="AC501" i="57"/>
  <c r="AF129" i="57"/>
  <c r="AE129" i="57" s="1"/>
  <c r="AC265" i="57"/>
  <c r="AG265" i="57" s="1"/>
  <c r="AF307" i="57"/>
  <c r="AE307" i="57" s="1"/>
  <c r="AC404" i="57"/>
  <c r="AG404" i="57" s="1"/>
  <c r="AC193" i="57"/>
  <c r="AG193" i="57" s="1"/>
  <c r="AF46" i="57"/>
  <c r="AE46" i="57" s="1"/>
  <c r="AC302" i="57"/>
  <c r="AG302" i="57" s="1"/>
  <c r="AC388" i="57"/>
  <c r="AG388" i="57" s="1"/>
  <c r="AF205" i="57"/>
  <c r="AE205" i="57" s="1"/>
  <c r="AF247" i="57"/>
  <c r="AE247" i="57" s="1"/>
  <c r="AF96" i="57"/>
  <c r="AE96" i="57" s="1"/>
  <c r="AF505" i="57"/>
  <c r="AE505" i="57" s="1"/>
  <c r="AC146" i="57"/>
  <c r="AG146" i="57" s="1"/>
  <c r="AC88" i="57"/>
  <c r="AC329" i="57"/>
  <c r="AG329" i="57" s="1"/>
  <c r="AF440" i="57"/>
  <c r="AE440" i="57" s="1"/>
  <c r="AF471" i="57"/>
  <c r="AE471" i="57" s="1"/>
  <c r="AC511" i="57"/>
  <c r="AG511" i="57" s="1"/>
  <c r="AC528" i="57"/>
  <c r="AG528" i="57" s="1"/>
  <c r="AC446" i="57"/>
  <c r="AG446" i="57" s="1"/>
  <c r="AC463" i="57"/>
  <c r="AG463" i="57" s="1"/>
  <c r="AC514" i="57"/>
  <c r="AG514" i="57" s="1"/>
  <c r="AC406" i="57"/>
  <c r="AG406" i="57" s="1"/>
  <c r="AC256" i="57"/>
  <c r="AG256" i="57" s="1"/>
  <c r="AF281" i="57"/>
  <c r="AE281" i="57" s="1"/>
  <c r="AC433" i="57"/>
  <c r="AG433" i="57" s="1"/>
  <c r="AF251" i="57"/>
  <c r="AE251" i="57" s="1"/>
  <c r="AF397" i="57"/>
  <c r="AE397" i="57" s="1"/>
  <c r="AC351" i="57"/>
  <c r="AG351" i="57" s="1"/>
  <c r="AF254" i="57"/>
  <c r="AE254" i="57" s="1"/>
  <c r="AF262" i="57"/>
  <c r="AE262" i="57" s="1"/>
  <c r="AF195" i="57"/>
  <c r="AE195" i="57" s="1"/>
  <c r="AC230" i="57"/>
  <c r="AG230" i="57" s="1"/>
  <c r="AF54" i="57"/>
  <c r="AE54" i="57" s="1"/>
  <c r="AF293" i="57"/>
  <c r="AE293" i="57" s="1"/>
  <c r="AF320" i="57"/>
  <c r="AE320" i="57" s="1"/>
  <c r="AF50" i="57"/>
  <c r="AE50" i="57" s="1"/>
  <c r="AC375" i="57"/>
  <c r="AG375" i="57" s="1"/>
  <c r="AC155" i="57"/>
  <c r="AG155" i="57" s="1"/>
  <c r="AC517" i="57"/>
  <c r="AG517" i="57" s="1"/>
  <c r="AF404" i="57"/>
  <c r="AE404" i="57" s="1"/>
  <c r="AC198" i="57"/>
  <c r="AG198" i="57" s="1"/>
  <c r="AF188" i="57"/>
  <c r="AE188" i="57" s="1"/>
  <c r="AC330" i="57"/>
  <c r="AG330" i="57" s="1"/>
  <c r="AC364" i="57"/>
  <c r="AG364" i="57" s="1"/>
  <c r="AC465" i="57"/>
  <c r="AG465" i="57" s="1"/>
  <c r="AC255" i="57"/>
  <c r="AG255" i="57" s="1"/>
  <c r="AC86" i="57"/>
  <c r="AG86" i="57" s="1"/>
  <c r="AF418" i="57"/>
  <c r="AE418" i="57" s="1"/>
  <c r="AC205" i="57"/>
  <c r="AG205" i="57" s="1"/>
  <c r="AC483" i="57"/>
  <c r="AG483" i="57" s="1"/>
  <c r="AC449" i="57"/>
  <c r="AG449" i="57" s="1"/>
  <c r="AF412" i="57"/>
  <c r="AE412" i="57" s="1"/>
  <c r="AC219" i="57"/>
  <c r="AG219" i="57" s="1"/>
  <c r="AC67" i="57"/>
  <c r="AG67" i="57" s="1"/>
  <c r="AF87" i="57"/>
  <c r="AE87" i="57" s="1"/>
  <c r="AF292" i="57"/>
  <c r="AE292" i="57" s="1"/>
  <c r="AC421" i="57"/>
  <c r="AG421" i="57" s="1"/>
  <c r="AC43" i="57"/>
  <c r="AG43" i="57" s="1"/>
  <c r="AF437" i="57"/>
  <c r="AE437" i="57" s="1"/>
  <c r="AF443" i="57"/>
  <c r="AE443" i="57" s="1"/>
  <c r="AC90" i="57"/>
  <c r="AF420" i="57"/>
  <c r="AE420" i="57" s="1"/>
  <c r="AC431" i="57"/>
  <c r="AG431" i="57" s="1"/>
  <c r="AC57" i="57"/>
  <c r="AG57" i="57" s="1"/>
  <c r="AF43" i="57"/>
  <c r="AE43" i="57" s="1"/>
  <c r="AF197" i="57"/>
  <c r="AE197" i="57" s="1"/>
  <c r="AF118" i="57"/>
  <c r="AE118" i="57" s="1"/>
  <c r="AC273" i="57"/>
  <c r="AG273" i="57" s="1"/>
  <c r="AF484" i="57"/>
  <c r="AE484" i="57" s="1"/>
  <c r="AF482" i="57"/>
  <c r="AE482" i="57" s="1"/>
  <c r="AC347" i="57"/>
  <c r="AG347" i="57" s="1"/>
  <c r="AC174" i="57"/>
  <c r="AG174" i="57" s="1"/>
  <c r="AF41" i="57"/>
  <c r="AE41" i="57" s="1"/>
  <c r="AF347" i="57"/>
  <c r="AE347" i="57" s="1"/>
  <c r="AC342" i="57"/>
  <c r="AG342" i="57" s="1"/>
  <c r="AC485" i="57"/>
  <c r="AG485" i="57" s="1"/>
  <c r="AC294" i="57"/>
  <c r="AG294" i="57" s="1"/>
  <c r="AC64" i="57"/>
  <c r="AG64" i="57" s="1"/>
  <c r="AF528" i="57"/>
  <c r="AE528" i="57" s="1"/>
  <c r="AF337" i="57"/>
  <c r="AE337" i="57" s="1"/>
  <c r="AF200" i="57"/>
  <c r="AE200" i="57" s="1"/>
  <c r="AF353" i="57"/>
  <c r="AE353" i="57" s="1"/>
  <c r="AC337" i="57"/>
  <c r="AG337" i="57" s="1"/>
  <c r="AF93" i="57"/>
  <c r="AE93" i="57" s="1"/>
  <c r="AC258" i="57"/>
  <c r="AG258" i="57" s="1"/>
  <c r="AC370" i="57"/>
  <c r="AG370" i="57" s="1"/>
  <c r="AF370" i="57"/>
  <c r="AE370" i="57" s="1"/>
  <c r="AF322" i="57"/>
  <c r="AE322" i="57" s="1"/>
  <c r="AC200" i="57"/>
  <c r="AG200" i="57" s="1"/>
  <c r="AC309" i="57"/>
  <c r="AG309" i="57" s="1"/>
  <c r="AF309" i="57"/>
  <c r="AE309" i="57" s="1"/>
  <c r="AC376" i="57"/>
  <c r="AG376" i="57" s="1"/>
  <c r="AC317" i="57"/>
  <c r="AG317" i="57" s="1"/>
  <c r="AF445" i="57"/>
  <c r="AE445" i="57" s="1"/>
  <c r="AC498" i="57"/>
  <c r="AG498" i="57" s="1"/>
  <c r="AC322" i="57"/>
  <c r="AG322" i="57" s="1"/>
  <c r="AF303" i="57"/>
  <c r="AE303" i="57" s="1"/>
  <c r="AC529" i="57"/>
  <c r="AG529" i="57" s="1"/>
  <c r="AF291" i="57"/>
  <c r="AE291" i="57" s="1"/>
  <c r="AF330" i="57"/>
  <c r="AE330" i="57" s="1"/>
  <c r="AF59" i="57"/>
  <c r="AE59" i="57" s="1"/>
  <c r="AC48" i="57"/>
  <c r="AF465" i="57"/>
  <c r="AE465" i="57" s="1"/>
  <c r="AF190" i="57"/>
  <c r="AE190" i="57" s="1"/>
  <c r="AF395" i="57"/>
  <c r="AE395" i="57" s="1"/>
  <c r="AF374" i="57"/>
  <c r="AE374" i="57" s="1"/>
  <c r="AF463" i="57"/>
  <c r="AE463" i="57" s="1"/>
  <c r="AF456" i="57"/>
  <c r="AE456" i="57" s="1"/>
  <c r="AC158" i="57"/>
  <c r="AG158" i="57" s="1"/>
  <c r="AC59" i="57"/>
  <c r="AG59" i="57" s="1"/>
  <c r="AF55" i="57"/>
  <c r="AE55" i="57" s="1"/>
  <c r="AF413" i="57"/>
  <c r="AE413" i="57" s="1"/>
  <c r="AF179" i="57"/>
  <c r="AE179" i="57" s="1"/>
  <c r="AF166" i="57"/>
  <c r="AE166" i="57" s="1"/>
  <c r="AF175" i="57"/>
  <c r="AE175" i="57" s="1"/>
  <c r="AF479" i="57"/>
  <c r="AE479" i="57" s="1"/>
  <c r="AC250" i="57"/>
  <c r="AG250" i="57" s="1"/>
  <c r="AF283" i="57"/>
  <c r="AE283" i="57" s="1"/>
  <c r="AC178" i="57"/>
  <c r="AG178" i="57" s="1"/>
  <c r="AF447" i="57"/>
  <c r="AE447" i="57" s="1"/>
  <c r="AC332" i="57"/>
  <c r="AG332" i="57" s="1"/>
  <c r="AF239" i="57"/>
  <c r="AE239" i="57" s="1"/>
  <c r="AC494" i="57"/>
  <c r="AG494" i="57" s="1"/>
  <c r="AC307" i="57"/>
  <c r="AG307" i="57" s="1"/>
  <c r="AF178" i="57"/>
  <c r="AE178" i="57" s="1"/>
  <c r="AC68" i="57"/>
  <c r="AG68" i="57" s="1"/>
  <c r="M92" i="57"/>
  <c r="AF462" i="57"/>
  <c r="AE462" i="57" s="1"/>
  <c r="AF339" i="57"/>
  <c r="AE339" i="57" s="1"/>
  <c r="AF523" i="57"/>
  <c r="AE523" i="57" s="1"/>
  <c r="AF151" i="57"/>
  <c r="AE151" i="57" s="1"/>
  <c r="AF161" i="57"/>
  <c r="AE161" i="57" s="1"/>
  <c r="AF61" i="57"/>
  <c r="AE61" i="57" s="1"/>
  <c r="AF417" i="57"/>
  <c r="AE417" i="57" s="1"/>
  <c r="AF103" i="57"/>
  <c r="AE103" i="57" s="1"/>
  <c r="AF496" i="57"/>
  <c r="AE496" i="57" s="1"/>
  <c r="AF107" i="57"/>
  <c r="AE107" i="57" s="1"/>
  <c r="AF386" i="57"/>
  <c r="AE386" i="57" s="1"/>
  <c r="AF208" i="57"/>
  <c r="AE208" i="57" s="1"/>
  <c r="AF392" i="57"/>
  <c r="AE392" i="57" s="1"/>
  <c r="AF531" i="57"/>
  <c r="AE531" i="57" s="1"/>
  <c r="AF434" i="57"/>
  <c r="AE434" i="57" s="1"/>
  <c r="AF158" i="57"/>
  <c r="AE158" i="57" s="1"/>
  <c r="AF268" i="57"/>
  <c r="AE268" i="57" s="1"/>
  <c r="AC34" i="57"/>
  <c r="AD34" i="57" s="1"/>
  <c r="AF325" i="57"/>
  <c r="AE325" i="57" s="1"/>
  <c r="AF469" i="57"/>
  <c r="AE469" i="57" s="1"/>
  <c r="AF444" i="57"/>
  <c r="AE444" i="57" s="1"/>
  <c r="AF288" i="57"/>
  <c r="AE288" i="57" s="1"/>
  <c r="AC319" i="57"/>
  <c r="AF507" i="57"/>
  <c r="AE507" i="57" s="1"/>
  <c r="AC312" i="57"/>
  <c r="AG312" i="57" s="1"/>
  <c r="AC304" i="57"/>
  <c r="AF157" i="57"/>
  <c r="AE157" i="57" s="1"/>
  <c r="AC166" i="57"/>
  <c r="AF312" i="57"/>
  <c r="AE312" i="57" s="1"/>
  <c r="AF169" i="57"/>
  <c r="AE169" i="57" s="1"/>
  <c r="AF199" i="57"/>
  <c r="AE199" i="57" s="1"/>
  <c r="AF68" i="57"/>
  <c r="AE68" i="57" s="1"/>
  <c r="AC137" i="57"/>
  <c r="AG137" i="57" s="1"/>
  <c r="AF82" i="57"/>
  <c r="AE82" i="57" s="1"/>
  <c r="AC366" i="57"/>
  <c r="AD366" i="57" s="1"/>
  <c r="AC211" i="57"/>
  <c r="AG211" i="57" s="1"/>
  <c r="AC190" i="57"/>
  <c r="AD190" i="57" s="1"/>
  <c r="AF267" i="57"/>
  <c r="AE267" i="57" s="1"/>
  <c r="AF147" i="57"/>
  <c r="AE147" i="57" s="1"/>
  <c r="AF128" i="57"/>
  <c r="AE128" i="57" s="1"/>
  <c r="AC49" i="57"/>
  <c r="AG49" i="57" s="1"/>
  <c r="AF125" i="57"/>
  <c r="AE125" i="57" s="1"/>
  <c r="AC117" i="57"/>
  <c r="AG117" i="57" s="1"/>
  <c r="AC130" i="57"/>
  <c r="AG130" i="57" s="1"/>
  <c r="AF117" i="57"/>
  <c r="AE117" i="57" s="1"/>
  <c r="AC267" i="57"/>
  <c r="AG267" i="57" s="1"/>
  <c r="AC131" i="57"/>
  <c r="AG131" i="57" s="1"/>
  <c r="AC348" i="57"/>
  <c r="AG348" i="57" s="1"/>
  <c r="AF419" i="57"/>
  <c r="AE419" i="57" s="1"/>
  <c r="AC128" i="57"/>
  <c r="AG128" i="57" s="1"/>
  <c r="AF40" i="57"/>
  <c r="AE40" i="57" s="1"/>
  <c r="AC510" i="57"/>
  <c r="AD510" i="57" s="1"/>
  <c r="AC491" i="57"/>
  <c r="AG491" i="57" s="1"/>
  <c r="AC530" i="57"/>
  <c r="AG530" i="57" s="1"/>
  <c r="AF388" i="57"/>
  <c r="AE388" i="57" s="1"/>
  <c r="AC456" i="57"/>
  <c r="AG456" i="57" s="1"/>
  <c r="AC415" i="57"/>
  <c r="AG415" i="57" s="1"/>
  <c r="AC438" i="57"/>
  <c r="AG438" i="57" s="1"/>
  <c r="AC141" i="57"/>
  <c r="AD141" i="57" s="1"/>
  <c r="AF180" i="57"/>
  <c r="AE180" i="57" s="1"/>
  <c r="AC104" i="57"/>
  <c r="AF94" i="57"/>
  <c r="AE94" i="57" s="1"/>
  <c r="AF474" i="57"/>
  <c r="AE474" i="57" s="1"/>
  <c r="AC533" i="57"/>
  <c r="AG533" i="57" s="1"/>
  <c r="AC150" i="57"/>
  <c r="AG150" i="57" s="1"/>
  <c r="AF234" i="57"/>
  <c r="AE234" i="57" s="1"/>
  <c r="AF162" i="57"/>
  <c r="AE162" i="57" s="1"/>
  <c r="AC379" i="57"/>
  <c r="AG379" i="57" s="1"/>
  <c r="AF510" i="57"/>
  <c r="AE510" i="57" s="1"/>
  <c r="AF338" i="57"/>
  <c r="AE338" i="57" s="1"/>
  <c r="AC232" i="57"/>
  <c r="AG232" i="57" s="1"/>
  <c r="AF504" i="57"/>
  <c r="AE504" i="57" s="1"/>
  <c r="AC371" i="57"/>
  <c r="AG371" i="57" s="1"/>
  <c r="AC143" i="57"/>
  <c r="AG143" i="57" s="1"/>
  <c r="AC314" i="57"/>
  <c r="AG314" i="57" s="1"/>
  <c r="AF100" i="57"/>
  <c r="AE100" i="57" s="1"/>
  <c r="AF501" i="57"/>
  <c r="AE501" i="57" s="1"/>
  <c r="AF508" i="57"/>
  <c r="AE508" i="57" s="1"/>
  <c r="AF457" i="57"/>
  <c r="AE457" i="57" s="1"/>
  <c r="AF355" i="57"/>
  <c r="AE355" i="57" s="1"/>
  <c r="AC254" i="57"/>
  <c r="AG254" i="57" s="1"/>
  <c r="AF269" i="57"/>
  <c r="AE269" i="57" s="1"/>
  <c r="AF143" i="57"/>
  <c r="AE143" i="57" s="1"/>
  <c r="AF331" i="57"/>
  <c r="AE331" i="57" s="1"/>
  <c r="AC469" i="57"/>
  <c r="AG469" i="57" s="1"/>
  <c r="AF516" i="57"/>
  <c r="AE516" i="57" s="1"/>
  <c r="AF426" i="57"/>
  <c r="AE426" i="57" s="1"/>
  <c r="AC62" i="57"/>
  <c r="AG62" i="57" s="1"/>
  <c r="AF49" i="57"/>
  <c r="AE49" i="57" s="1"/>
  <c r="AF329" i="57"/>
  <c r="AE329" i="57" s="1"/>
  <c r="AC303" i="57"/>
  <c r="AG303" i="57" s="1"/>
  <c r="AF256" i="57"/>
  <c r="AE256" i="57" s="1"/>
  <c r="AF298" i="57"/>
  <c r="AE298" i="57" s="1"/>
  <c r="AC207" i="57"/>
  <c r="AG207" i="57" s="1"/>
  <c r="AC269" i="57"/>
  <c r="AG269" i="57" s="1"/>
  <c r="AF495" i="57"/>
  <c r="AE495" i="57" s="1"/>
  <c r="AC457" i="57"/>
  <c r="AG457" i="57" s="1"/>
  <c r="AF423" i="57"/>
  <c r="AE423" i="57" s="1"/>
  <c r="AF263" i="57"/>
  <c r="AE263" i="57" s="1"/>
  <c r="AF453" i="57"/>
  <c r="AE453" i="57" s="1"/>
  <c r="AC320" i="57"/>
  <c r="AG320" i="57" s="1"/>
  <c r="AF149" i="57"/>
  <c r="AE149" i="57" s="1"/>
  <c r="AC70" i="57"/>
  <c r="AG70" i="57" s="1"/>
  <c r="AF101" i="57"/>
  <c r="AE101" i="57" s="1"/>
  <c r="AF243" i="57"/>
  <c r="AE243" i="57" s="1"/>
  <c r="AC316" i="57"/>
  <c r="AG316" i="57" s="1"/>
  <c r="AC142" i="57"/>
  <c r="AD142" i="57" s="1"/>
  <c r="AC296" i="57"/>
  <c r="AG296" i="57" s="1"/>
  <c r="AC58" i="57"/>
  <c r="AG58" i="57" s="1"/>
  <c r="AF138" i="57"/>
  <c r="AE138" i="57" s="1"/>
  <c r="AC507" i="57"/>
  <c r="AD507" i="57" s="1"/>
  <c r="AF385" i="57"/>
  <c r="AE385" i="57" s="1"/>
  <c r="AC215" i="57"/>
  <c r="AG215" i="57" s="1"/>
  <c r="AC169" i="57"/>
  <c r="AG169" i="57" s="1"/>
  <c r="AF104" i="57"/>
  <c r="AE104" i="57" s="1"/>
  <c r="AC253" i="57"/>
  <c r="AG253" i="57" s="1"/>
  <c r="AF275" i="57"/>
  <c r="AE275" i="57" s="1"/>
  <c r="AF287" i="57"/>
  <c r="AE287" i="57" s="1"/>
  <c r="AF105" i="57"/>
  <c r="AE105" i="57" s="1"/>
  <c r="AC82" i="57"/>
  <c r="AG82" i="57" s="1"/>
  <c r="AF399" i="57"/>
  <c r="AE399" i="57" s="1"/>
  <c r="AC298" i="57"/>
  <c r="AG298" i="57" s="1"/>
  <c r="AF70" i="57"/>
  <c r="AE70" i="57" s="1"/>
  <c r="AF512" i="57"/>
  <c r="AE512" i="57" s="1"/>
  <c r="AF319" i="57"/>
  <c r="AE319" i="57" s="1"/>
  <c r="AF142" i="57"/>
  <c r="AE142" i="57" s="1"/>
  <c r="AF48" i="57"/>
  <c r="AE48" i="57" s="1"/>
  <c r="AF402" i="57"/>
  <c r="AE402" i="57" s="1"/>
  <c r="AF144" i="57"/>
  <c r="AE144" i="57" s="1"/>
  <c r="AC395" i="57"/>
  <c r="AG395" i="57" s="1"/>
  <c r="AC63" i="57"/>
  <c r="AC373" i="57"/>
  <c r="AG373" i="57" s="1"/>
  <c r="AC353" i="57"/>
  <c r="AG353" i="57" s="1"/>
  <c r="AC276" i="57"/>
  <c r="AD276" i="57" s="1"/>
  <c r="AC426" i="57"/>
  <c r="AG426" i="57" s="1"/>
  <c r="AC40" i="57"/>
  <c r="AG40" i="57" s="1"/>
  <c r="AC504" i="57"/>
  <c r="AG504" i="57" s="1"/>
  <c r="AC435" i="57"/>
  <c r="AG435" i="57" s="1"/>
  <c r="AC288" i="57"/>
  <c r="AG288" i="57" s="1"/>
  <c r="AC336" i="57"/>
  <c r="AG336" i="57" s="1"/>
  <c r="AC453" i="57"/>
  <c r="AG453" i="57" s="1"/>
  <c r="AC122" i="57"/>
  <c r="AG122" i="57" s="1"/>
  <c r="AC89" i="57"/>
  <c r="AG89" i="57" s="1"/>
  <c r="AC345" i="57"/>
  <c r="AG345" i="57" s="1"/>
  <c r="AC283" i="57"/>
  <c r="AC239" i="57"/>
  <c r="AG239" i="57" s="1"/>
  <c r="AC516" i="57"/>
  <c r="AG516" i="57" s="1"/>
  <c r="AC424" i="57"/>
  <c r="AG424" i="57" s="1"/>
  <c r="AC127" i="57"/>
  <c r="AG127" i="57" s="1"/>
  <c r="AC372" i="57"/>
  <c r="AG372" i="57" s="1"/>
  <c r="AC450" i="57"/>
  <c r="AC527" i="57"/>
  <c r="AG527" i="57" s="1"/>
  <c r="AC368" i="57"/>
  <c r="AG368" i="57" s="1"/>
  <c r="AC405" i="57"/>
  <c r="AG405" i="57" s="1"/>
  <c r="AC257" i="57"/>
  <c r="AG257" i="57" s="1"/>
  <c r="AC212" i="57"/>
  <c r="AG212" i="57" s="1"/>
  <c r="AC266" i="57"/>
  <c r="AG266" i="57" s="1"/>
  <c r="AC99" i="57"/>
  <c r="AG99" i="57" s="1"/>
  <c r="AC173" i="57"/>
  <c r="AG173" i="57" s="1"/>
  <c r="AC152" i="57"/>
  <c r="AG152" i="57" s="1"/>
  <c r="AC245" i="57"/>
  <c r="AG245" i="57" s="1"/>
  <c r="AC490" i="57"/>
  <c r="AG490" i="57" s="1"/>
  <c r="AC508" i="57"/>
  <c r="AG508" i="57" s="1"/>
  <c r="AC358" i="57"/>
  <c r="AC387" i="57"/>
  <c r="AG387" i="57" s="1"/>
  <c r="AC237" i="57"/>
  <c r="AG237" i="57" s="1"/>
  <c r="AC134" i="57"/>
  <c r="AG134" i="57" s="1"/>
  <c r="AC279" i="57"/>
  <c r="AG279" i="57" s="1"/>
  <c r="AC52" i="57"/>
  <c r="AG52" i="57" s="1"/>
  <c r="AF211" i="57"/>
  <c r="AE211" i="57" s="1"/>
  <c r="AF42" i="57"/>
  <c r="AE42" i="57" s="1"/>
  <c r="AF228" i="57"/>
  <c r="AE228" i="57" s="1"/>
  <c r="AF259" i="57"/>
  <c r="AE259" i="57" s="1"/>
  <c r="AF97" i="57"/>
  <c r="AE97" i="57" s="1"/>
  <c r="AF226" i="57"/>
  <c r="AE226" i="57" s="1"/>
  <c r="AF363" i="57"/>
  <c r="AE363" i="57" s="1"/>
  <c r="AF366" i="57"/>
  <c r="AE366" i="57" s="1"/>
  <c r="AF379" i="57"/>
  <c r="AE379" i="57" s="1"/>
  <c r="AF398" i="57"/>
  <c r="AE398" i="57" s="1"/>
  <c r="AF425" i="57"/>
  <c r="AE425" i="57" s="1"/>
  <c r="AF515" i="57"/>
  <c r="AE515" i="57" s="1"/>
  <c r="AF473" i="57"/>
  <c r="AE473" i="57" s="1"/>
  <c r="AF378" i="57"/>
  <c r="AE378" i="57" s="1"/>
  <c r="AF533" i="57"/>
  <c r="AE533" i="57" s="1"/>
  <c r="AF264" i="57"/>
  <c r="AE264" i="57" s="1"/>
  <c r="AF214" i="57"/>
  <c r="AE214" i="57" s="1"/>
  <c r="AF119" i="57"/>
  <c r="AE119" i="57" s="1"/>
  <c r="AF491" i="57"/>
  <c r="AE491" i="57" s="1"/>
  <c r="AF238" i="57"/>
  <c r="AE238" i="57" s="1"/>
  <c r="AF113" i="57"/>
  <c r="AE113" i="57" s="1"/>
  <c r="AF529" i="57"/>
  <c r="AE529" i="57" s="1"/>
  <c r="AF253" i="57"/>
  <c r="AE253" i="57" s="1"/>
  <c r="AF206" i="57"/>
  <c r="AE206" i="57" s="1"/>
  <c r="AF464" i="57"/>
  <c r="AE464" i="57" s="1"/>
  <c r="AF489" i="57"/>
  <c r="AE489" i="57" s="1"/>
  <c r="AF300" i="57"/>
  <c r="AE300" i="57" s="1"/>
  <c r="AF80" i="57"/>
  <c r="AE80" i="57" s="1"/>
  <c r="AF274" i="57"/>
  <c r="AE274" i="57" s="1"/>
  <c r="AF137" i="57"/>
  <c r="AE137" i="57" s="1"/>
  <c r="AF381" i="57"/>
  <c r="AE381" i="57" s="1"/>
  <c r="AF92" i="57"/>
  <c r="AE92" i="57" s="1"/>
  <c r="AC145" i="57"/>
  <c r="AG145" i="57" s="1"/>
  <c r="AC108" i="57"/>
  <c r="AG108" i="57" s="1"/>
  <c r="AF431" i="57"/>
  <c r="AE431" i="57" s="1"/>
  <c r="AC197" i="57"/>
  <c r="AG197" i="57" s="1"/>
  <c r="AF237" i="57"/>
  <c r="AE237" i="57" s="1"/>
  <c r="AF145" i="57"/>
  <c r="AE145" i="57" s="1"/>
  <c r="AC37" i="57"/>
  <c r="AG37" i="57" s="1"/>
  <c r="AF242" i="57"/>
  <c r="AE242" i="57" s="1"/>
  <c r="AF435" i="57"/>
  <c r="AE435" i="57" s="1"/>
  <c r="AF333" i="57"/>
  <c r="AE333" i="57" s="1"/>
  <c r="AF244" i="57"/>
  <c r="AE244" i="57" s="1"/>
  <c r="AF448" i="57"/>
  <c r="AE448" i="57" s="1"/>
  <c r="AC378" i="57"/>
  <c r="AG378" i="57" s="1"/>
  <c r="AF409" i="57"/>
  <c r="AE409" i="57" s="1"/>
  <c r="AF401" i="57"/>
  <c r="AE401" i="57" s="1"/>
  <c r="AF134" i="57"/>
  <c r="AE134" i="57" s="1"/>
  <c r="AC105" i="57"/>
  <c r="AG105" i="57" s="1"/>
  <c r="AC476" i="57"/>
  <c r="AG476" i="57" s="1"/>
  <c r="AF265" i="57"/>
  <c r="AE265" i="57" s="1"/>
  <c r="AC242" i="57"/>
  <c r="AG242" i="57" s="1"/>
  <c r="AF393" i="57"/>
  <c r="AE393" i="57" s="1"/>
  <c r="AF98" i="57"/>
  <c r="AE98" i="57" s="1"/>
  <c r="AC119" i="57"/>
  <c r="AG119" i="57" s="1"/>
  <c r="AC411" i="57"/>
  <c r="AG411" i="57" s="1"/>
  <c r="AF222" i="57"/>
  <c r="AE222" i="57" s="1"/>
  <c r="AF63" i="57"/>
  <c r="AE63" i="57" s="1"/>
  <c r="AF171" i="57"/>
  <c r="AE171" i="57" s="1"/>
  <c r="AF442" i="57"/>
  <c r="AE442" i="57" s="1"/>
  <c r="AC186" i="57"/>
  <c r="AG186" i="57" s="1"/>
  <c r="AC305" i="57"/>
  <c r="AG305" i="57" s="1"/>
  <c r="AC156" i="57"/>
  <c r="AG156" i="57" s="1"/>
  <c r="AF245" i="57"/>
  <c r="AE245" i="57" s="1"/>
  <c r="AF192" i="57"/>
  <c r="AE192" i="57" s="1"/>
  <c r="AC177" i="57"/>
  <c r="AG177" i="57" s="1"/>
  <c r="AF373" i="57"/>
  <c r="AE373" i="57" s="1"/>
  <c r="AF305" i="57"/>
  <c r="AE305" i="57" s="1"/>
  <c r="AF99" i="57"/>
  <c r="AE99" i="57" s="1"/>
  <c r="AC521" i="57"/>
  <c r="AG521" i="57" s="1"/>
  <c r="AF280" i="57"/>
  <c r="AE280" i="57" s="1"/>
  <c r="AC118" i="57"/>
  <c r="AG118" i="57" s="1"/>
  <c r="AF383" i="57"/>
  <c r="AE383" i="57" s="1"/>
  <c r="AF467" i="57"/>
  <c r="AE467" i="57" s="1"/>
  <c r="AC346" i="57"/>
  <c r="AD346" i="57" s="1"/>
  <c r="AF416" i="57"/>
  <c r="AE416" i="57" s="1"/>
  <c r="AF451" i="57"/>
  <c r="AE451" i="57" s="1"/>
  <c r="AC505" i="57"/>
  <c r="AG505" i="57" s="1"/>
  <c r="AC484" i="57"/>
  <c r="AG484" i="57" s="1"/>
  <c r="AC423" i="57"/>
  <c r="AG423" i="57" s="1"/>
  <c r="AC292" i="57"/>
  <c r="AG292" i="57" s="1"/>
  <c r="AF231" i="57"/>
  <c r="AE231" i="57" s="1"/>
  <c r="AC386" i="57"/>
  <c r="AG386" i="57" s="1"/>
  <c r="AF135" i="57"/>
  <c r="AE135" i="57" s="1"/>
  <c r="AC55" i="57"/>
  <c r="AG55" i="57" s="1"/>
  <c r="AF95" i="57"/>
  <c r="AE95" i="57" s="1"/>
  <c r="AC75" i="57"/>
  <c r="AD75" i="57" s="1"/>
  <c r="AC44" i="57"/>
  <c r="AG44" i="57" s="1"/>
  <c r="AC121" i="57"/>
  <c r="AG121" i="57" s="1"/>
  <c r="AC310" i="57"/>
  <c r="AG310" i="57" s="1"/>
  <c r="AF428" i="57"/>
  <c r="AE428" i="57" s="1"/>
  <c r="AC402" i="57"/>
  <c r="AG402" i="57" s="1"/>
  <c r="AC363" i="57"/>
  <c r="AF387" i="57"/>
  <c r="AE387" i="57" s="1"/>
  <c r="AF71" i="57"/>
  <c r="AE71" i="57" s="1"/>
  <c r="AC531" i="57"/>
  <c r="AG531" i="57" s="1"/>
  <c r="AF183" i="57"/>
  <c r="AC135" i="57"/>
  <c r="AG135" i="57" s="1"/>
  <c r="AC95" i="57"/>
  <c r="AG95" i="57" s="1"/>
  <c r="AC71" i="57"/>
  <c r="AG71" i="57" s="1"/>
  <c r="AF272" i="57"/>
  <c r="AE272" i="57" s="1"/>
  <c r="AC418" i="57"/>
  <c r="AF497" i="57"/>
  <c r="AE497" i="57" s="1"/>
  <c r="AF519" i="57"/>
  <c r="AE519" i="57" s="1"/>
  <c r="AC229" i="57"/>
  <c r="AG229" i="57" s="1"/>
  <c r="AC274" i="57"/>
  <c r="AG274" i="57" s="1"/>
  <c r="AF352" i="57"/>
  <c r="AE352" i="57" s="1"/>
  <c r="AF436" i="57"/>
  <c r="AE436" i="57" s="1"/>
  <c r="AC252" i="57"/>
  <c r="AG252" i="57" s="1"/>
  <c r="AF301" i="57"/>
  <c r="AE301" i="57" s="1"/>
  <c r="AF174" i="57"/>
  <c r="AE174" i="57" s="1"/>
  <c r="AC91" i="57"/>
  <c r="AG91" i="57" s="1"/>
  <c r="AC270" i="57"/>
  <c r="AG270" i="57" s="1"/>
  <c r="AC509" i="57"/>
  <c r="AG509" i="57" s="1"/>
  <c r="AC297" i="57"/>
  <c r="AG297" i="57" s="1"/>
  <c r="AC419" i="57"/>
  <c r="AG419" i="57" s="1"/>
  <c r="AF136" i="57"/>
  <c r="AE136" i="57" s="1"/>
  <c r="AF421" i="57"/>
  <c r="AE421" i="57" s="1"/>
  <c r="AC467" i="57"/>
  <c r="AC272" i="57"/>
  <c r="AG272" i="57" s="1"/>
  <c r="AF273" i="57"/>
  <c r="AE273" i="57" s="1"/>
  <c r="AC352" i="57"/>
  <c r="AG352" i="57" s="1"/>
  <c r="AF52" i="57"/>
  <c r="AE52" i="57" s="1"/>
  <c r="AC458" i="57"/>
  <c r="AF382" i="57"/>
  <c r="AE382" i="57" s="1"/>
  <c r="AC261" i="57"/>
  <c r="AG261" i="57" s="1"/>
  <c r="AF170" i="57"/>
  <c r="AE170" i="57" s="1"/>
  <c r="AF468" i="57"/>
  <c r="AE468" i="57" s="1"/>
  <c r="AF369" i="57"/>
  <c r="AE369" i="57" s="1"/>
  <c r="AF261" i="57"/>
  <c r="AE261" i="57" s="1"/>
  <c r="AC226" i="57"/>
  <c r="AG226" i="57" s="1"/>
  <c r="AC357" i="57"/>
  <c r="AG357" i="57" s="1"/>
  <c r="AF441" i="57"/>
  <c r="AE441" i="57" s="1"/>
  <c r="AF340" i="57"/>
  <c r="AE340" i="57" s="1"/>
  <c r="AC398" i="57"/>
  <c r="AG398" i="57" s="1"/>
  <c r="AF229" i="57"/>
  <c r="AE229" i="57" s="1"/>
  <c r="AF276" i="57"/>
  <c r="AE276" i="57" s="1"/>
  <c r="AF294" i="57"/>
  <c r="AE294" i="57" s="1"/>
  <c r="AF153" i="57"/>
  <c r="AE153" i="57" s="1"/>
  <c r="AC268" i="57"/>
  <c r="AG268" i="57" s="1"/>
  <c r="AC194" i="57"/>
  <c r="AG194" i="57" s="1"/>
  <c r="AF56" i="57"/>
  <c r="AE56" i="57" s="1"/>
  <c r="AF91" i="57"/>
  <c r="AE91" i="57" s="1"/>
  <c r="AC199" i="57"/>
  <c r="AG199" i="57" s="1"/>
  <c r="AF64" i="57"/>
  <c r="AE64" i="57" s="1"/>
  <c r="AF201" i="57"/>
  <c r="AE201" i="57" s="1"/>
  <c r="AC238" i="57"/>
  <c r="AG238" i="57" s="1"/>
  <c r="AC448" i="57"/>
  <c r="AG448" i="57" s="1"/>
  <c r="AF348" i="57"/>
  <c r="AE348" i="57" s="1"/>
  <c r="AF446" i="57"/>
  <c r="AE446" i="57" s="1"/>
  <c r="AF511" i="57"/>
  <c r="AE511" i="57" s="1"/>
  <c r="AF83" i="57"/>
  <c r="AE83" i="57" s="1"/>
  <c r="AF266" i="57"/>
  <c r="AE266" i="57" s="1"/>
  <c r="AC434" i="57"/>
  <c r="AG434" i="57" s="1"/>
  <c r="AC45" i="57"/>
  <c r="AG45" i="57" s="1"/>
  <c r="AC408" i="57"/>
  <c r="AG408" i="57" s="1"/>
  <c r="AC107" i="57"/>
  <c r="AG107" i="57" s="1"/>
  <c r="AF219" i="57"/>
  <c r="AE219" i="57" s="1"/>
  <c r="AC383" i="57"/>
  <c r="AD383" i="57" s="1"/>
  <c r="AF252" i="57"/>
  <c r="AE252" i="57" s="1"/>
  <c r="AF123" i="57"/>
  <c r="AE123" i="57" s="1"/>
  <c r="AF455" i="57"/>
  <c r="AE455" i="57" s="1"/>
  <c r="AC451" i="57"/>
  <c r="AG451" i="57" s="1"/>
  <c r="AC497" i="57"/>
  <c r="AC441" i="57"/>
  <c r="AG441" i="57" s="1"/>
  <c r="AF405" i="57"/>
  <c r="AE405" i="57" s="1"/>
  <c r="AC153" i="57"/>
  <c r="AG153" i="57" s="1"/>
  <c r="AF181" i="57"/>
  <c r="AE181" i="57" s="1"/>
  <c r="AC512" i="57"/>
  <c r="AG512" i="57" s="1"/>
  <c r="AC455" i="57"/>
  <c r="AG455" i="57" s="1"/>
  <c r="AF466" i="57"/>
  <c r="AE466" i="57" s="1"/>
  <c r="AF439" i="57"/>
  <c r="AE439" i="57" s="1"/>
  <c r="AC445" i="57"/>
  <c r="AG445" i="57" s="1"/>
  <c r="AF376" i="57"/>
  <c r="AE376" i="57" s="1"/>
  <c r="AC259" i="57"/>
  <c r="AG259" i="57" s="1"/>
  <c r="AC181" i="57"/>
  <c r="AG181" i="57" s="1"/>
  <c r="AF215" i="57"/>
  <c r="AE215" i="57" s="1"/>
  <c r="AC97" i="57"/>
  <c r="AG97" i="57" s="1"/>
  <c r="AF90" i="57"/>
  <c r="AE90" i="57" s="1"/>
  <c r="AF62" i="57"/>
  <c r="AE62" i="57" s="1"/>
  <c r="AC120" i="57"/>
  <c r="AG120" i="57" s="1"/>
  <c r="AF225" i="57"/>
  <c r="AE225" i="57" s="1"/>
  <c r="AC321" i="57"/>
  <c r="AG321" i="57" s="1"/>
  <c r="AF255" i="57"/>
  <c r="AE255" i="57" s="1"/>
  <c r="AF240" i="57"/>
  <c r="AE240" i="57" s="1"/>
  <c r="AF282" i="57"/>
  <c r="AE282" i="57" s="1"/>
  <c r="AF364" i="57"/>
  <c r="AE364" i="57" s="1"/>
  <c r="AC389" i="57"/>
  <c r="AG389" i="57" s="1"/>
  <c r="AF346" i="57"/>
  <c r="AE346" i="57" s="1"/>
  <c r="AF375" i="57"/>
  <c r="AE375" i="57" s="1"/>
  <c r="AC235" i="57"/>
  <c r="AG235" i="57" s="1"/>
  <c r="AF213" i="57"/>
  <c r="AE213" i="57" s="1"/>
  <c r="AC262" i="57"/>
  <c r="AG262" i="57" s="1"/>
  <c r="AC191" i="57"/>
  <c r="AG191" i="57" s="1"/>
  <c r="AF351" i="57"/>
  <c r="AE351" i="57" s="1"/>
  <c r="AC482" i="57"/>
  <c r="AG482" i="57" s="1"/>
  <c r="AF477" i="57"/>
  <c r="AE477" i="57" s="1"/>
  <c r="AF400" i="57"/>
  <c r="AE400" i="57" s="1"/>
  <c r="AC422" i="57"/>
  <c r="AG422" i="57" s="1"/>
  <c r="AC69" i="57"/>
  <c r="AG69" i="57" s="1"/>
  <c r="AF302" i="57"/>
  <c r="AE302" i="57" s="1"/>
  <c r="AF458" i="57"/>
  <c r="AE458" i="57" s="1"/>
  <c r="AC341" i="57"/>
  <c r="AG341" i="57" s="1"/>
  <c r="AC477" i="57"/>
  <c r="AG477" i="57" s="1"/>
  <c r="AC35" i="57"/>
  <c r="AG35" i="57" s="1"/>
  <c r="AC430" i="57"/>
  <c r="AG430" i="57" s="1"/>
  <c r="AF102" i="57"/>
  <c r="AE102" i="57" s="1"/>
  <c r="AF407" i="57"/>
  <c r="AE407" i="57" s="1"/>
  <c r="AF354" i="57"/>
  <c r="AE354" i="57" s="1"/>
  <c r="AC47" i="57"/>
  <c r="AG47" i="57" s="1"/>
  <c r="AF57" i="57"/>
  <c r="AE57" i="57" s="1"/>
  <c r="AC324" i="57"/>
  <c r="AG324" i="57" s="1"/>
  <c r="AF47" i="57"/>
  <c r="AE47" i="57" s="1"/>
  <c r="AC61" i="57"/>
  <c r="AG61" i="57" s="1"/>
  <c r="AF146" i="57"/>
  <c r="AE146" i="57" s="1"/>
  <c r="AF327" i="57"/>
  <c r="AE327" i="57" s="1"/>
  <c r="AF112" i="57"/>
  <c r="AE112" i="57" s="1"/>
  <c r="AC291" i="57"/>
  <c r="AG291" i="57" s="1"/>
  <c r="AC471" i="57"/>
  <c r="AG471" i="57" s="1"/>
  <c r="AF164" i="57"/>
  <c r="AE164" i="57" s="1"/>
  <c r="AC164" i="57"/>
  <c r="AC524" i="57"/>
  <c r="AG524" i="57" s="1"/>
  <c r="AF394" i="57"/>
  <c r="AE394" i="57" s="1"/>
  <c r="AC315" i="57"/>
  <c r="AG315" i="57" s="1"/>
  <c r="AC196" i="57"/>
  <c r="AG196" i="57" s="1"/>
  <c r="AC260" i="57"/>
  <c r="AG260" i="57" s="1"/>
  <c r="AC111" i="57"/>
  <c r="AG111" i="57" s="1"/>
  <c r="AF53" i="57"/>
  <c r="AE53" i="57" s="1"/>
  <c r="AC74" i="57"/>
  <c r="AG74" i="57" s="1"/>
  <c r="AC78" i="57"/>
  <c r="AG78" i="57" s="1"/>
  <c r="AF524" i="57"/>
  <c r="AE524" i="57" s="1"/>
  <c r="AC290" i="57"/>
  <c r="AG290" i="57" s="1"/>
  <c r="AF196" i="57"/>
  <c r="AE196" i="57" s="1"/>
  <c r="AC277" i="57"/>
  <c r="AG277" i="57" s="1"/>
  <c r="AC85" i="57"/>
  <c r="AC123" i="57"/>
  <c r="AG123" i="57" s="1"/>
  <c r="AC73" i="57"/>
  <c r="AG73" i="57" s="1"/>
  <c r="AC113" i="57"/>
  <c r="AG113" i="57" s="1"/>
  <c r="AF73" i="57"/>
  <c r="AE73" i="57" s="1"/>
  <c r="AF35" i="57"/>
  <c r="AE35" i="57" s="1"/>
  <c r="AC380" i="57"/>
  <c r="AG380" i="57" s="1"/>
  <c r="AF285" i="57"/>
  <c r="AE285" i="57" s="1"/>
  <c r="AC487" i="57"/>
  <c r="AC281" i="57"/>
  <c r="AG281" i="57" s="1"/>
  <c r="AF277" i="57"/>
  <c r="AE277" i="57" s="1"/>
  <c r="AF492" i="57"/>
  <c r="AE492" i="57" s="1"/>
  <c r="AF432" i="57"/>
  <c r="AE432" i="57" s="1"/>
  <c r="AF365" i="57"/>
  <c r="AE365" i="57" s="1"/>
  <c r="AF233" i="57"/>
  <c r="AE233" i="57" s="1"/>
  <c r="AF51" i="57"/>
  <c r="AE51" i="57" s="1"/>
  <c r="AF422" i="57"/>
  <c r="AE422" i="57" s="1"/>
  <c r="AC278" i="57"/>
  <c r="AG278" i="57" s="1"/>
  <c r="AF334" i="57"/>
  <c r="AE334" i="57" s="1"/>
  <c r="AC381" i="57"/>
  <c r="AG381" i="57" s="1"/>
  <c r="AF513" i="57"/>
  <c r="AE513" i="57" s="1"/>
  <c r="AF85" i="57"/>
  <c r="AE85" i="57" s="1"/>
  <c r="AF403" i="57"/>
  <c r="AE403" i="57" s="1"/>
  <c r="AF315" i="57"/>
  <c r="AE315" i="57" s="1"/>
  <c r="AC515" i="57"/>
  <c r="AG515" i="57" s="1"/>
  <c r="AF427" i="57"/>
  <c r="AE427" i="57" s="1"/>
  <c r="AC443" i="57"/>
  <c r="AG443" i="57" s="1"/>
  <c r="AF308" i="57"/>
  <c r="AE308" i="57" s="1"/>
  <c r="AC124" i="57"/>
  <c r="AG124" i="57" s="1"/>
  <c r="AF124" i="57"/>
  <c r="AE124" i="57" s="1"/>
  <c r="AC168" i="57"/>
  <c r="AD168" i="57" s="1"/>
  <c r="AF527" i="57"/>
  <c r="AE527" i="57" s="1"/>
  <c r="AC323" i="57"/>
  <c r="AC349" i="57"/>
  <c r="AD349" i="57" s="1"/>
  <c r="AC247" i="57"/>
  <c r="AG247" i="57" s="1"/>
  <c r="AC327" i="57"/>
  <c r="AG327" i="57" s="1"/>
  <c r="AF328" i="57"/>
  <c r="AE328" i="57" s="1"/>
  <c r="AC53" i="57"/>
  <c r="AG53" i="57" s="1"/>
  <c r="AF210" i="57"/>
  <c r="AE210" i="57" s="1"/>
  <c r="AC102" i="57"/>
  <c r="AG102" i="57" s="1"/>
  <c r="AC84" i="57"/>
  <c r="AG84" i="57" s="1"/>
  <c r="AC472" i="57"/>
  <c r="AG472" i="57" s="1"/>
  <c r="AF391" i="57"/>
  <c r="AE391" i="57" s="1"/>
  <c r="AF475" i="57"/>
  <c r="AE475" i="57" s="1"/>
  <c r="AC382" i="57"/>
  <c r="AG382" i="57" s="1"/>
  <c r="AF408" i="57"/>
  <c r="AE408" i="57" s="1"/>
  <c r="AC289" i="57"/>
  <c r="AG289" i="57" s="1"/>
  <c r="AC246" i="57"/>
  <c r="AG246" i="57" s="1"/>
  <c r="AF84" i="57"/>
  <c r="AE84" i="57" s="1"/>
  <c r="AC377" i="57"/>
  <c r="AF377" i="57"/>
  <c r="AE377" i="57" s="1"/>
  <c r="AF361" i="57"/>
  <c r="AE361" i="57" s="1"/>
  <c r="AC285" i="57"/>
  <c r="AG285" i="57" s="1"/>
  <c r="AF313" i="57"/>
  <c r="AE313" i="57" s="1"/>
  <c r="AC163" i="57"/>
  <c r="AG163" i="57" s="1"/>
  <c r="AF132" i="57"/>
  <c r="AE132" i="57" s="1"/>
  <c r="AF500" i="57"/>
  <c r="AE500" i="57" s="1"/>
  <c r="AC479" i="57"/>
  <c r="AG479" i="57" s="1"/>
  <c r="AC466" i="57"/>
  <c r="AG466" i="57" s="1"/>
  <c r="AC492" i="57"/>
  <c r="AG492" i="57" s="1"/>
  <c r="AF526" i="57"/>
  <c r="AE526" i="57" s="1"/>
  <c r="AC440" i="57"/>
  <c r="AG440" i="57" s="1"/>
  <c r="AF246" i="57"/>
  <c r="AE246" i="57" s="1"/>
  <c r="AF335" i="57"/>
  <c r="AE335" i="57" s="1"/>
  <c r="AF356" i="57"/>
  <c r="AE356" i="57" s="1"/>
  <c r="AF342" i="57"/>
  <c r="AE342" i="57" s="1"/>
  <c r="AF168" i="57"/>
  <c r="AE168" i="57" s="1"/>
  <c r="AC412" i="57"/>
  <c r="AG412" i="57" s="1"/>
  <c r="AC161" i="57"/>
  <c r="AG161" i="57" s="1"/>
  <c r="AC523" i="57"/>
  <c r="AG523" i="57" s="1"/>
  <c r="AF389" i="57"/>
  <c r="AE389" i="57" s="1"/>
  <c r="AC151" i="57"/>
  <c r="AG151" i="57" s="1"/>
  <c r="AC76" i="57"/>
  <c r="AC228" i="57"/>
  <c r="AG228" i="57" s="1"/>
  <c r="AF88" i="57"/>
  <c r="AE88" i="57" s="1"/>
  <c r="AC87" i="57"/>
  <c r="AG87" i="57" s="1"/>
  <c r="AC106" i="57"/>
  <c r="AG106" i="57" s="1"/>
  <c r="AC60" i="57"/>
  <c r="AG60" i="57" s="1"/>
  <c r="AF490" i="57"/>
  <c r="AE490" i="57" s="1"/>
  <c r="AF470" i="57"/>
  <c r="AE470" i="57" s="1"/>
  <c r="AF488" i="57"/>
  <c r="AE488" i="57" s="1"/>
  <c r="AC475" i="57"/>
  <c r="AG475" i="57" s="1"/>
  <c r="AC478" i="57"/>
  <c r="AG478" i="57" s="1"/>
  <c r="AF472" i="57"/>
  <c r="AE472" i="57" s="1"/>
  <c r="AC432" i="57"/>
  <c r="AG432" i="57" s="1"/>
  <c r="AF429" i="57"/>
  <c r="AE429" i="57" s="1"/>
  <c r="AF396" i="57"/>
  <c r="AE396" i="57" s="1"/>
  <c r="AC335" i="57"/>
  <c r="AG335" i="57" s="1"/>
  <c r="AC420" i="57"/>
  <c r="AG420" i="57" s="1"/>
  <c r="AC410" i="57"/>
  <c r="AG410" i="57" s="1"/>
  <c r="AF258" i="57"/>
  <c r="AE258" i="57" s="1"/>
  <c r="AC354" i="57"/>
  <c r="AG354" i="57" s="1"/>
  <c r="AF345" i="57"/>
  <c r="AE345" i="57" s="1"/>
  <c r="AF271" i="57"/>
  <c r="AE271" i="57" s="1"/>
  <c r="AC399" i="57"/>
  <c r="AG399" i="57" s="1"/>
  <c r="AF311" i="57"/>
  <c r="AE311" i="57" s="1"/>
  <c r="AC149" i="57"/>
  <c r="AC208" i="57"/>
  <c r="AG208" i="57" s="1"/>
  <c r="AC224" i="57"/>
  <c r="AG224" i="57" s="1"/>
  <c r="AF221" i="57"/>
  <c r="AE221" i="57" s="1"/>
  <c r="AF111" i="57"/>
  <c r="AE111" i="57" s="1"/>
  <c r="AF260" i="57"/>
  <c r="AE260" i="57" s="1"/>
  <c r="AF299" i="57"/>
  <c r="AE299" i="57" s="1"/>
  <c r="AC264" i="57"/>
  <c r="AF509" i="57"/>
  <c r="AE509" i="57" s="1"/>
  <c r="AC496" i="57"/>
  <c r="AG496" i="57" s="1"/>
  <c r="AC282" i="57"/>
  <c r="AC162" i="57"/>
  <c r="AG162" i="57" s="1"/>
  <c r="AF86" i="57"/>
  <c r="AE86" i="57" s="1"/>
  <c r="AC391" i="57"/>
  <c r="AG391" i="57" s="1"/>
  <c r="AC220" i="57"/>
  <c r="AG220" i="57" s="1"/>
  <c r="AC170" i="57"/>
  <c r="AG170" i="57" s="1"/>
  <c r="AF77" i="57"/>
  <c r="AE77" i="57" s="1"/>
  <c r="AC179" i="57"/>
  <c r="AG179" i="57" s="1"/>
  <c r="AC195" i="57"/>
  <c r="AG195" i="57" s="1"/>
  <c r="AC470" i="57"/>
  <c r="AF503" i="57"/>
  <c r="AE503" i="57" s="1"/>
  <c r="AF230" i="57"/>
  <c r="AE230" i="57" s="1"/>
  <c r="AF203" i="57"/>
  <c r="AE203" i="57" s="1"/>
  <c r="AF323" i="57"/>
  <c r="AE323" i="57" s="1"/>
  <c r="AF249" i="57"/>
  <c r="AE249" i="57" s="1"/>
  <c r="AF209" i="57"/>
  <c r="AE209" i="57" s="1"/>
  <c r="AF520" i="57"/>
  <c r="AE520" i="57" s="1"/>
  <c r="AC489" i="57"/>
  <c r="AG489" i="57" s="1"/>
  <c r="AC447" i="57"/>
  <c r="AC429" i="57"/>
  <c r="AG429" i="57" s="1"/>
  <c r="AC313" i="57"/>
  <c r="AG313" i="57" s="1"/>
  <c r="AF227" i="57"/>
  <c r="AE227" i="57" s="1"/>
  <c r="AF173" i="57"/>
  <c r="AE173" i="57" s="1"/>
  <c r="AC462" i="57"/>
  <c r="AG462" i="57" s="1"/>
  <c r="AF362" i="57"/>
  <c r="AE362" i="57" s="1"/>
  <c r="AC396" i="57"/>
  <c r="AG396" i="57" s="1"/>
  <c r="AC132" i="57"/>
  <c r="AG132" i="57" s="1"/>
  <c r="AC251" i="57"/>
  <c r="AG251" i="57" s="1"/>
  <c r="AC326" i="57"/>
  <c r="AG326" i="57" s="1"/>
  <c r="AF517" i="57"/>
  <c r="AE517" i="57" s="1"/>
  <c r="AC522" i="57"/>
  <c r="AG522" i="57" s="1"/>
  <c r="AC374" i="57"/>
  <c r="AF357" i="57"/>
  <c r="AE357" i="57" s="1"/>
  <c r="AF450" i="57"/>
  <c r="AE450" i="57" s="1"/>
  <c r="AF415" i="57"/>
  <c r="AE415" i="57" s="1"/>
  <c r="AC308" i="57"/>
  <c r="AG308" i="57" s="1"/>
  <c r="AF318" i="57"/>
  <c r="AE318" i="57" s="1"/>
  <c r="AC271" i="57"/>
  <c r="AG271" i="57" s="1"/>
  <c r="AF438" i="57"/>
  <c r="AE438" i="57" s="1"/>
  <c r="AC116" i="57"/>
  <c r="AG116" i="57" s="1"/>
  <c r="AF257" i="57"/>
  <c r="AE257" i="57" s="1"/>
  <c r="AC147" i="57"/>
  <c r="AG147" i="57" s="1"/>
  <c r="AF193" i="57"/>
  <c r="AE193" i="57" s="1"/>
  <c r="AC51" i="57"/>
  <c r="AG51" i="57" s="1"/>
  <c r="AC115" i="57"/>
  <c r="AG115" i="57" s="1"/>
  <c r="AC39" i="57"/>
  <c r="AG39" i="57" s="1"/>
  <c r="AC94" i="57"/>
  <c r="AG94" i="57" s="1"/>
  <c r="AC133" i="57"/>
  <c r="AG133" i="57" s="1"/>
  <c r="AC93" i="57"/>
  <c r="AG93" i="57" s="1"/>
  <c r="AF493" i="57"/>
  <c r="AE493" i="57" s="1"/>
  <c r="AF297" i="57"/>
  <c r="AE297" i="57" s="1"/>
  <c r="AC333" i="57"/>
  <c r="AG333" i="57" s="1"/>
  <c r="AC397" i="57"/>
  <c r="AG397" i="57" s="1"/>
  <c r="AF358" i="57"/>
  <c r="AE358" i="57" s="1"/>
  <c r="AF150" i="57"/>
  <c r="AE150" i="57" s="1"/>
  <c r="AF279" i="57"/>
  <c r="AE279" i="57" s="1"/>
  <c r="AC362" i="57"/>
  <c r="AF67" i="57"/>
  <c r="AE67" i="57" s="1"/>
  <c r="AC503" i="57"/>
  <c r="AG503" i="57" s="1"/>
  <c r="AF304" i="57"/>
  <c r="AE304" i="57" s="1"/>
  <c r="AC225" i="57"/>
  <c r="AG225" i="57" s="1"/>
  <c r="AF310" i="57"/>
  <c r="AE310" i="57" s="1"/>
  <c r="AF367" i="57"/>
  <c r="AE367" i="57" s="1"/>
  <c r="AF60" i="57"/>
  <c r="AE60" i="57" s="1"/>
  <c r="AF185" i="57"/>
  <c r="AE185" i="57" s="1"/>
  <c r="AC461" i="57"/>
  <c r="AG461" i="57" s="1"/>
  <c r="AF410" i="57"/>
  <c r="AE410" i="57" s="1"/>
  <c r="AF235" i="57"/>
  <c r="AE235" i="57" s="1"/>
  <c r="AF212" i="57"/>
  <c r="AE212" i="57" s="1"/>
  <c r="AF106" i="57"/>
  <c r="AE106" i="57" s="1"/>
  <c r="AC165" i="57"/>
  <c r="AG165" i="57" s="1"/>
  <c r="AC184" i="57"/>
  <c r="AG184" i="57" s="1"/>
  <c r="AC126" i="57"/>
  <c r="AG126" i="57" s="1"/>
  <c r="AF89" i="57"/>
  <c r="AE89" i="57" s="1"/>
  <c r="AF133" i="57"/>
  <c r="AE133" i="57" s="1"/>
  <c r="AF487" i="57"/>
  <c r="AE487" i="57" s="1"/>
  <c r="AF341" i="57"/>
  <c r="AE341" i="57" s="1"/>
  <c r="AF160" i="57"/>
  <c r="AE160" i="57" s="1"/>
  <c r="AC444" i="57"/>
  <c r="AG444" i="57" s="1"/>
  <c r="AF290" i="57"/>
  <c r="AE290" i="57" s="1"/>
  <c r="AC442" i="57"/>
  <c r="AF525" i="57"/>
  <c r="AE525" i="57" s="1"/>
  <c r="AF459" i="57"/>
  <c r="AE459" i="57" s="1"/>
  <c r="AF530" i="57"/>
  <c r="AE530" i="57" s="1"/>
  <c r="AC414" i="57"/>
  <c r="AG414" i="57" s="1"/>
  <c r="AC401" i="57"/>
  <c r="AG401" i="57" s="1"/>
  <c r="AF350" i="57"/>
  <c r="AE350" i="57" s="1"/>
  <c r="AC241" i="57"/>
  <c r="AG241" i="57" s="1"/>
  <c r="AF194" i="57"/>
  <c r="AE194" i="57" s="1"/>
  <c r="AF165" i="57"/>
  <c r="AE165" i="57" s="1"/>
  <c r="AC180" i="57"/>
  <c r="AG180" i="57" s="1"/>
  <c r="AF116" i="57"/>
  <c r="AE116" i="57" s="1"/>
  <c r="AF218" i="57"/>
  <c r="AE218" i="57" s="1"/>
  <c r="AF139" i="57"/>
  <c r="AE139" i="57" s="1"/>
  <c r="AF140" i="57"/>
  <c r="AE140" i="57" s="1"/>
  <c r="AF270" i="57"/>
  <c r="AE270" i="57" s="1"/>
  <c r="AC72" i="57"/>
  <c r="AG72" i="57" s="1"/>
  <c r="AC417" i="57"/>
  <c r="AG417" i="57" s="1"/>
  <c r="AC92" i="57"/>
  <c r="AG92" i="57" s="1"/>
  <c r="AC189" i="57"/>
  <c r="AG189" i="57" s="1"/>
  <c r="AC81" i="57"/>
  <c r="AF184" i="57"/>
  <c r="AE184" i="57" s="1"/>
  <c r="AC532" i="57"/>
  <c r="AG532" i="57" s="1"/>
  <c r="AF506" i="57"/>
  <c r="AE506" i="57" s="1"/>
  <c r="AC355" i="57"/>
  <c r="AG355" i="57" s="1"/>
  <c r="AC54" i="57"/>
  <c r="AG54" i="57" s="1"/>
  <c r="AF452" i="57"/>
  <c r="AE452" i="57" s="1"/>
  <c r="AC240" i="57"/>
  <c r="AG240" i="57" s="1"/>
  <c r="AF433" i="57"/>
  <c r="AE433" i="57" s="1"/>
  <c r="AF109" i="57"/>
  <c r="AE109" i="57" s="1"/>
  <c r="AF498" i="57"/>
  <c r="AE498" i="57" s="1"/>
  <c r="AC439" i="57"/>
  <c r="AG439" i="57" s="1"/>
  <c r="AF449" i="57"/>
  <c r="AE449" i="57" s="1"/>
  <c r="AF326" i="57"/>
  <c r="AE326" i="57" s="1"/>
  <c r="AC437" i="57"/>
  <c r="AG437" i="57" s="1"/>
  <c r="AC365" i="57"/>
  <c r="AG365" i="57" s="1"/>
  <c r="AC263" i="57"/>
  <c r="AG263" i="57" s="1"/>
  <c r="AF286" i="57"/>
  <c r="AE286" i="57" s="1"/>
  <c r="AF224" i="57"/>
  <c r="AE224" i="57" s="1"/>
  <c r="AF163" i="57"/>
  <c r="AE163" i="57" s="1"/>
  <c r="AF110" i="57"/>
  <c r="AE110" i="57" s="1"/>
  <c r="AC154" i="57"/>
  <c r="AG154" i="57" s="1"/>
  <c r="AC46" i="57"/>
  <c r="AG46" i="57" s="1"/>
  <c r="AF66" i="57"/>
  <c r="AE66" i="57" s="1"/>
  <c r="AC356" i="57"/>
  <c r="AF411" i="57"/>
  <c r="AE411" i="57" s="1"/>
  <c r="AF284" i="57"/>
  <c r="AE284" i="57" s="1"/>
  <c r="AF232" i="57"/>
  <c r="AE232" i="57" s="1"/>
  <c r="AC300" i="57"/>
  <c r="AG300" i="57" s="1"/>
  <c r="AF343" i="57"/>
  <c r="AE343" i="57" s="1"/>
  <c r="AC96" i="57"/>
  <c r="AC213" i="57"/>
  <c r="AG213" i="57" s="1"/>
  <c r="AC65" i="57"/>
  <c r="AG65" i="57" s="1"/>
  <c r="AF127" i="57"/>
  <c r="AE127" i="57" s="1"/>
  <c r="AF189" i="57"/>
  <c r="AE189" i="57" s="1"/>
  <c r="AF156" i="57"/>
  <c r="AE156" i="57" s="1"/>
  <c r="AC244" i="57"/>
  <c r="AF186" i="57"/>
  <c r="AE186" i="57" s="1"/>
  <c r="AC350" i="57"/>
  <c r="AG350" i="57" s="1"/>
  <c r="AC340" i="57"/>
  <c r="AG340" i="57" s="1"/>
  <c r="AF332" i="57"/>
  <c r="AE332" i="57" s="1"/>
  <c r="AC318" i="57"/>
  <c r="AG318" i="57" s="1"/>
  <c r="AF220" i="57"/>
  <c r="AE220" i="57" s="1"/>
  <c r="AC526" i="57"/>
  <c r="AG526" i="57" s="1"/>
  <c r="AC206" i="57"/>
  <c r="AG206" i="57" s="1"/>
  <c r="AC176" i="57"/>
  <c r="AG176" i="57" s="1"/>
  <c r="AC218" i="57"/>
  <c r="AG218" i="57" s="1"/>
  <c r="AC188" i="57"/>
  <c r="AG188" i="57" s="1"/>
  <c r="AC202" i="57"/>
  <c r="AG202" i="57" s="1"/>
  <c r="AC139" i="57"/>
  <c r="AG139" i="57" s="1"/>
  <c r="AC110" i="57"/>
  <c r="AG110" i="57" s="1"/>
  <c r="AC79" i="57"/>
  <c r="AG79" i="57" s="1"/>
  <c r="AF72" i="57"/>
  <c r="AE72" i="57" s="1"/>
  <c r="AF476" i="57"/>
  <c r="AE476" i="57" s="1"/>
  <c r="AC474" i="57"/>
  <c r="AG474" i="57" s="1"/>
  <c r="AF380" i="57"/>
  <c r="AE380" i="57" s="1"/>
  <c r="AF454" i="57"/>
  <c r="AE454" i="57" s="1"/>
  <c r="AF198" i="57"/>
  <c r="AE198" i="57" s="1"/>
  <c r="AC182" i="57"/>
  <c r="AG182" i="57" s="1"/>
  <c r="AC209" i="57"/>
  <c r="AG209" i="57" s="1"/>
  <c r="AC234" i="57"/>
  <c r="AD234" i="57" s="1"/>
  <c r="AC77" i="57"/>
  <c r="AG77" i="57" s="1"/>
  <c r="AF115" i="57"/>
  <c r="AE115" i="57" s="1"/>
  <c r="AF44" i="57"/>
  <c r="AE44" i="57" s="1"/>
  <c r="AF126" i="57"/>
  <c r="AE126" i="57" s="1"/>
  <c r="AF306" i="57"/>
  <c r="AE306" i="57" s="1"/>
  <c r="AF514" i="57"/>
  <c r="AE514" i="57" s="1"/>
  <c r="AF324" i="57"/>
  <c r="AE324" i="57" s="1"/>
  <c r="AC287" i="57"/>
  <c r="AG287" i="57" s="1"/>
  <c r="AC187" i="57"/>
  <c r="AF344" i="57"/>
  <c r="AE344" i="57" s="1"/>
  <c r="AF176" i="57"/>
  <c r="AE176" i="57" s="1"/>
  <c r="AF187" i="57"/>
  <c r="AE187" i="57" s="1"/>
  <c r="AF202" i="57"/>
  <c r="AE202" i="57" s="1"/>
  <c r="AF217" i="57"/>
  <c r="AE217" i="57" s="1"/>
  <c r="AC80" i="57"/>
  <c r="AG80" i="57" s="1"/>
  <c r="AC495" i="57"/>
  <c r="AF65" i="57"/>
  <c r="AE65" i="57" s="1"/>
  <c r="AF321" i="57"/>
  <c r="AE321" i="57" s="1"/>
  <c r="AC359" i="57"/>
  <c r="AG359" i="57" s="1"/>
  <c r="AC344" i="57"/>
  <c r="AG344" i="57" s="1"/>
  <c r="AC488" i="57"/>
  <c r="AC390" i="57"/>
  <c r="AG390" i="57" s="1"/>
  <c r="AF414" i="57"/>
  <c r="AE414" i="57" s="1"/>
  <c r="AC325" i="57"/>
  <c r="AG325" i="57" s="1"/>
  <c r="AC385" i="57"/>
  <c r="AG385" i="57" s="1"/>
  <c r="AC400" i="57"/>
  <c r="AG400" i="57" s="1"/>
  <c r="AF317" i="57"/>
  <c r="AE317" i="57" s="1"/>
  <c r="AF207" i="57"/>
  <c r="AE207" i="57" s="1"/>
  <c r="AF155" i="57"/>
  <c r="AE155" i="57" s="1"/>
  <c r="AC223" i="57"/>
  <c r="AG223" i="57" s="1"/>
  <c r="AF154" i="57"/>
  <c r="AE154" i="57" s="1"/>
  <c r="AC293" i="57"/>
  <c r="AG293" i="57" s="1"/>
  <c r="AC159" i="57"/>
  <c r="AG159" i="57" s="1"/>
  <c r="AC217" i="57"/>
  <c r="AG217" i="57" s="1"/>
  <c r="AF502" i="57"/>
  <c r="AF460" i="57"/>
  <c r="AE460" i="57" s="1"/>
  <c r="AC339" i="57"/>
  <c r="AG339" i="57" s="1"/>
  <c r="AF371" i="57"/>
  <c r="AE371" i="57" s="1"/>
  <c r="AC210" i="57"/>
  <c r="AG210" i="57" s="1"/>
  <c r="AF159" i="57"/>
  <c r="AE159" i="57" s="1"/>
  <c r="AF81" i="57"/>
  <c r="AE81" i="57" s="1"/>
  <c r="AC66" i="57"/>
  <c r="AG66" i="57" s="1"/>
  <c r="AC129" i="57"/>
  <c r="AG129" i="57" s="1"/>
  <c r="AC407" i="57"/>
  <c r="AC334" i="57"/>
  <c r="AG334" i="57" s="1"/>
  <c r="AC301" i="57"/>
  <c r="AG301" i="57" s="1"/>
  <c r="AF295" i="57"/>
  <c r="AE295" i="57" s="1"/>
  <c r="AC243" i="57"/>
  <c r="AG243" i="57" s="1"/>
  <c r="AC103" i="57"/>
  <c r="AG103" i="57" s="1"/>
  <c r="AC36" i="57"/>
  <c r="AC369" i="57"/>
  <c r="AG369" i="57" s="1"/>
  <c r="AF78" i="57"/>
  <c r="AE78" i="57" s="1"/>
  <c r="AC361" i="57"/>
  <c r="AC394" i="57"/>
  <c r="AG394" i="57" s="1"/>
  <c r="AF461" i="57"/>
  <c r="AE461" i="57" s="1"/>
  <c r="AC459" i="57"/>
  <c r="AC493" i="57"/>
  <c r="AF483" i="57"/>
  <c r="AE483" i="57" s="1"/>
  <c r="AF480" i="57"/>
  <c r="AE480" i="57" s="1"/>
  <c r="AC221" i="57"/>
  <c r="AC295" i="57"/>
  <c r="AG295" i="57" s="1"/>
  <c r="AF236" i="57"/>
  <c r="AE236" i="57" s="1"/>
  <c r="AF75" i="57"/>
  <c r="AE75" i="57" s="1"/>
  <c r="AC167" i="57"/>
  <c r="AF177" i="57"/>
  <c r="AE177" i="57" s="1"/>
  <c r="AF120" i="57"/>
  <c r="AE120" i="57" s="1"/>
  <c r="AC42" i="57"/>
  <c r="AG42" i="57" s="1"/>
  <c r="AC480" i="57"/>
  <c r="AF182" i="57"/>
  <c r="AE182" i="57" s="1"/>
  <c r="AC222" i="57"/>
  <c r="AF152" i="57"/>
  <c r="AE152" i="57" s="1"/>
  <c r="AC360" i="57"/>
  <c r="AG360" i="57" s="1"/>
  <c r="AC464" i="57"/>
  <c r="AF518" i="57"/>
  <c r="AE518" i="57" s="1"/>
  <c r="AC452" i="57"/>
  <c r="AG452" i="57" s="1"/>
  <c r="AC338" i="57"/>
  <c r="AG338" i="57" s="1"/>
  <c r="AF406" i="57"/>
  <c r="AE406" i="57" s="1"/>
  <c r="AC216" i="57"/>
  <c r="AG216" i="57" s="1"/>
  <c r="AF494" i="57"/>
  <c r="AE494" i="57" s="1"/>
  <c r="AF248" i="57"/>
  <c r="AE248" i="57" s="1"/>
  <c r="AF314" i="57"/>
  <c r="AE314" i="57" s="1"/>
  <c r="AC50" i="57"/>
  <c r="AG50" i="57" s="1"/>
  <c r="AC100" i="57"/>
  <c r="AC500" i="57"/>
  <c r="AG500" i="57" s="1"/>
  <c r="AC513" i="57"/>
  <c r="AG513" i="57" s="1"/>
  <c r="AC231" i="57"/>
  <c r="AF79" i="57"/>
  <c r="AF121" i="57"/>
  <c r="AE121" i="57" s="1"/>
  <c r="AC331" i="57"/>
  <c r="AF349" i="57"/>
  <c r="AE349" i="57" s="1"/>
  <c r="AF521" i="57"/>
  <c r="AE521" i="57" s="1"/>
  <c r="AF131" i="57"/>
  <c r="AE131" i="57" s="1"/>
  <c r="AC286" i="57"/>
  <c r="AG286" i="57" s="1"/>
  <c r="AC473" i="57"/>
  <c r="AG473" i="57" s="1"/>
  <c r="AC486" i="57"/>
  <c r="AG486" i="57" s="1"/>
  <c r="AF486" i="57"/>
  <c r="AE486" i="57" s="1"/>
  <c r="AC299" i="57"/>
  <c r="AG299" i="57" s="1"/>
  <c r="AF372" i="57"/>
  <c r="AE372" i="57" s="1"/>
  <c r="AC506" i="57"/>
  <c r="AG506" i="57" s="1"/>
  <c r="AC160" i="57"/>
  <c r="AC236" i="57"/>
  <c r="AG236" i="57" s="1"/>
  <c r="AF478" i="57"/>
  <c r="AE478" i="57" s="1"/>
  <c r="AF336" i="57"/>
  <c r="AE336" i="57" s="1"/>
  <c r="AF289" i="57"/>
  <c r="AE289" i="57" s="1"/>
  <c r="AC227" i="57"/>
  <c r="AC171" i="57"/>
  <c r="AG171" i="57" s="1"/>
  <c r="AC192" i="57"/>
  <c r="AF223" i="57"/>
  <c r="AE223" i="57" s="1"/>
  <c r="AF39" i="57"/>
  <c r="AE39" i="57" s="1"/>
  <c r="AF114" i="57"/>
  <c r="AE114" i="57" s="1"/>
  <c r="AF108" i="57"/>
  <c r="AE108" i="57" s="1"/>
  <c r="AC83" i="57"/>
  <c r="AG83" i="57" s="1"/>
  <c r="AC499" i="57"/>
  <c r="AG499" i="57" s="1"/>
  <c r="AF191" i="57"/>
  <c r="AE191" i="57" s="1"/>
  <c r="AC148" i="57"/>
  <c r="AC214" i="57"/>
  <c r="AG214" i="57" s="1"/>
  <c r="AF141" i="57"/>
  <c r="AE141" i="57" s="1"/>
  <c r="AF122" i="57"/>
  <c r="AE122" i="57" s="1"/>
  <c r="AC101" i="57"/>
  <c r="AG101" i="57" s="1"/>
  <c r="AC409" i="57"/>
  <c r="AG409" i="57" s="1"/>
  <c r="AF424" i="57"/>
  <c r="AE424" i="57" s="1"/>
  <c r="AF359" i="57"/>
  <c r="AE359" i="57" s="1"/>
  <c r="AF522" i="57"/>
  <c r="AC481" i="57"/>
  <c r="AC425" i="57"/>
  <c r="AG425" i="57" s="1"/>
  <c r="AF278" i="57"/>
  <c r="AE278" i="57" s="1"/>
  <c r="AF241" i="57"/>
  <c r="AE241" i="57" s="1"/>
  <c r="AF204" i="57"/>
  <c r="AE204" i="57" s="1"/>
  <c r="AC328" i="57"/>
  <c r="AF74" i="57"/>
  <c r="AE74" i="57" s="1"/>
  <c r="AF499" i="57"/>
  <c r="AE499" i="57" s="1"/>
  <c r="AC172" i="57"/>
  <c r="AC384" i="57"/>
  <c r="AC392" i="57"/>
  <c r="AF37" i="57"/>
  <c r="AE37" i="57" s="1"/>
  <c r="AF34" i="57"/>
  <c r="AE34" i="57" s="1"/>
  <c r="AD140" i="57"/>
  <c r="M91" i="57"/>
  <c r="AH91" i="57" s="1"/>
  <c r="M159" i="57"/>
  <c r="M497" i="57"/>
  <c r="N497" i="57"/>
  <c r="N62" i="57"/>
  <c r="M62" i="57"/>
  <c r="N201" i="57"/>
  <c r="M201" i="57"/>
  <c r="M179" i="57"/>
  <c r="N416" i="57"/>
  <c r="N228" i="57"/>
  <c r="N290" i="57"/>
  <c r="M290" i="57"/>
  <c r="N292" i="57"/>
  <c r="M292" i="57"/>
  <c r="M364" i="57"/>
  <c r="N364" i="57"/>
  <c r="N214" i="57"/>
  <c r="M214" i="57"/>
  <c r="N254" i="57"/>
  <c r="M254" i="57"/>
  <c r="N174" i="57"/>
  <c r="M174" i="57"/>
  <c r="M249" i="57"/>
  <c r="N249" i="57"/>
  <c r="M352" i="57"/>
  <c r="N321" i="57"/>
  <c r="M321" i="57"/>
  <c r="M257" i="57"/>
  <c r="N257" i="57"/>
  <c r="N199" i="57"/>
  <c r="M199" i="57"/>
  <c r="N126" i="57"/>
  <c r="M126" i="57"/>
  <c r="N394" i="57"/>
  <c r="M394" i="57"/>
  <c r="M347" i="57"/>
  <c r="M332" i="57"/>
  <c r="N131" i="57"/>
  <c r="M131" i="57"/>
  <c r="M130" i="57"/>
  <c r="N130" i="57"/>
  <c r="M56" i="57"/>
  <c r="N56" i="57"/>
  <c r="N243" i="57"/>
  <c r="M243" i="57"/>
  <c r="N72" i="57"/>
  <c r="M72" i="57"/>
  <c r="M114" i="57"/>
  <c r="N114" i="57"/>
  <c r="N353" i="57"/>
  <c r="M353" i="57"/>
  <c r="N136" i="57"/>
  <c r="M136" i="57"/>
  <c r="N153" i="57"/>
  <c r="M153" i="57"/>
  <c r="N211" i="57"/>
  <c r="M211" i="57"/>
  <c r="N341" i="57"/>
  <c r="M341" i="57"/>
  <c r="N326" i="57"/>
  <c r="M326" i="57"/>
  <c r="M449" i="57"/>
  <c r="N449" i="57"/>
  <c r="N279" i="57"/>
  <c r="M279" i="57"/>
  <c r="N487" i="57"/>
  <c r="M487" i="57"/>
  <c r="N436" i="57"/>
  <c r="M436" i="57"/>
  <c r="M440" i="57"/>
  <c r="M147" i="57"/>
  <c r="N147" i="57"/>
  <c r="N97" i="57"/>
  <c r="M97" i="57"/>
  <c r="N533" i="57"/>
  <c r="N161" i="57"/>
  <c r="M161" i="57"/>
  <c r="N238" i="57"/>
  <c r="N263" i="57"/>
  <c r="M263" i="57"/>
  <c r="N140" i="57"/>
  <c r="M140" i="57"/>
  <c r="N95" i="57"/>
  <c r="M95" i="57"/>
  <c r="N493" i="57"/>
  <c r="M493" i="57"/>
  <c r="N481" i="57"/>
  <c r="M505" i="57"/>
  <c r="N505" i="57"/>
  <c r="N302" i="57"/>
  <c r="M302" i="57"/>
  <c r="M395" i="57"/>
  <c r="N395" i="57"/>
  <c r="M339" i="57"/>
  <c r="N442" i="57"/>
  <c r="M442" i="57"/>
  <c r="N337" i="57"/>
  <c r="M337" i="57"/>
  <c r="M356" i="57"/>
  <c r="N356" i="57"/>
  <c r="M524" i="57"/>
  <c r="M441" i="57"/>
  <c r="N441" i="57"/>
  <c r="N246" i="57"/>
  <c r="M246" i="57"/>
  <c r="N208" i="57"/>
  <c r="N245" i="57"/>
  <c r="M245" i="57"/>
  <c r="M334" i="57"/>
  <c r="N466" i="57"/>
  <c r="N462" i="57"/>
  <c r="M462" i="57"/>
  <c r="N40" i="57"/>
  <c r="M40" i="57"/>
  <c r="M502" i="57"/>
  <c r="N502" i="57"/>
  <c r="N59" i="57"/>
  <c r="M59" i="57"/>
  <c r="N413" i="57"/>
  <c r="M413" i="57"/>
  <c r="M340" i="57"/>
  <c r="N340" i="57"/>
  <c r="N287" i="57"/>
  <c r="M287" i="57"/>
  <c r="M289" i="57"/>
  <c r="N289" i="57"/>
  <c r="M256" i="57"/>
  <c r="N256" i="57"/>
  <c r="N269" i="57"/>
  <c r="M269" i="57"/>
  <c r="M259" i="57"/>
  <c r="N87" i="57"/>
  <c r="N77" i="57"/>
  <c r="M77" i="57"/>
  <c r="N532" i="57"/>
  <c r="M532" i="57"/>
  <c r="M401" i="57"/>
  <c r="N401" i="57"/>
  <c r="N530" i="57"/>
  <c r="M530" i="57"/>
  <c r="N520" i="57"/>
  <c r="N410" i="57"/>
  <c r="M410" i="57"/>
  <c r="M286" i="57"/>
  <c r="N320" i="57"/>
  <c r="M320" i="57"/>
  <c r="N151" i="57"/>
  <c r="M151" i="57"/>
  <c r="N164" i="57"/>
  <c r="M164" i="57"/>
  <c r="N396" i="57"/>
  <c r="M396" i="57"/>
  <c r="M296" i="57"/>
  <c r="N296" i="57"/>
  <c r="N109" i="57"/>
  <c r="M109" i="57"/>
  <c r="N106" i="57"/>
  <c r="M106" i="57"/>
  <c r="M486" i="57"/>
  <c r="N486" i="57"/>
  <c r="M460" i="57"/>
  <c r="N460" i="57"/>
  <c r="M345" i="57"/>
  <c r="N345" i="57"/>
  <c r="M252" i="57"/>
  <c r="N189" i="57"/>
  <c r="M218" i="57"/>
  <c r="N218" i="57"/>
  <c r="M202" i="57"/>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N464" i="57" l="1"/>
  <c r="AH464" i="57" s="1"/>
  <c r="M367" i="57"/>
  <c r="N132" i="57"/>
  <c r="N369" i="57"/>
  <c r="N414" i="57"/>
  <c r="M168" i="57"/>
  <c r="N37" i="57"/>
  <c r="N285" i="57"/>
  <c r="AH285" i="57" s="1"/>
  <c r="M217" i="57"/>
  <c r="AH217" i="57" s="1"/>
  <c r="M203" i="57"/>
  <c r="N307" i="57"/>
  <c r="AH307" i="57" s="1"/>
  <c r="M96" i="57"/>
  <c r="AH96" i="57" s="1"/>
  <c r="M186" i="57"/>
  <c r="AH186" i="57" s="1"/>
  <c r="M509" i="57"/>
  <c r="AH509" i="57" s="1"/>
  <c r="N235" i="57"/>
  <c r="N108" i="57"/>
  <c r="AH108" i="57" s="1"/>
  <c r="M317" i="57"/>
  <c r="N84" i="57"/>
  <c r="M397" i="57"/>
  <c r="M229" i="57"/>
  <c r="N46" i="57"/>
  <c r="M74" i="57"/>
  <c r="M75" i="57"/>
  <c r="N51" i="57"/>
  <c r="AH51" i="57" s="1"/>
  <c r="N162" i="57"/>
  <c r="AH162" i="57" s="1"/>
  <c r="N154" i="57"/>
  <c r="AH154" i="57" s="1"/>
  <c r="M152" i="57"/>
  <c r="AH152" i="57" s="1"/>
  <c r="M198" i="57"/>
  <c r="M225" i="57"/>
  <c r="AH225" i="57" s="1"/>
  <c r="M134" i="57"/>
  <c r="AH134" i="57" s="1"/>
  <c r="M512" i="57"/>
  <c r="N192" i="57"/>
  <c r="N513" i="57"/>
  <c r="AH513" i="57" s="1"/>
  <c r="N122" i="57"/>
  <c r="AD450" i="57"/>
  <c r="N39" i="57"/>
  <c r="AH39" i="57" s="1"/>
  <c r="N422" i="57"/>
  <c r="N479" i="57"/>
  <c r="M313" i="57"/>
  <c r="AD362" i="57"/>
  <c r="M48" i="57"/>
  <c r="AH48" i="57" s="1"/>
  <c r="M488" i="57"/>
  <c r="M117" i="57"/>
  <c r="AH117" i="57" s="1"/>
  <c r="N450" i="57"/>
  <c r="AH450" i="57" s="1"/>
  <c r="N272" i="57"/>
  <c r="AH272" i="57" s="1"/>
  <c r="M193" i="57"/>
  <c r="AH193" i="57" s="1"/>
  <c r="M191" i="57"/>
  <c r="AH191" i="57" s="1"/>
  <c r="N69" i="57"/>
  <c r="AH69" i="57" s="1"/>
  <c r="M35" i="57"/>
  <c r="AH35" i="57" s="1"/>
  <c r="Q494" i="57"/>
  <c r="M515" i="57"/>
  <c r="N458" i="57"/>
  <c r="M510" i="57"/>
  <c r="AH510" i="57" s="1"/>
  <c r="M406" i="57"/>
  <c r="M425" i="57"/>
  <c r="AH425" i="57" s="1"/>
  <c r="M137" i="57"/>
  <c r="AH137" i="57" s="1"/>
  <c r="M34" i="57"/>
  <c r="AH34" i="57" s="1"/>
  <c r="M276" i="57"/>
  <c r="AH276" i="57" s="1"/>
  <c r="N314" i="57"/>
  <c r="AH314" i="57" s="1"/>
  <c r="N291" i="57"/>
  <c r="AH291" i="57" s="1"/>
  <c r="M216" i="57"/>
  <c r="AH216" i="57" s="1"/>
  <c r="M476" i="57"/>
  <c r="AH476" i="57" s="1"/>
  <c r="N424" i="57"/>
  <c r="AH424" i="57" s="1"/>
  <c r="AD283" i="57"/>
  <c r="M381" i="57"/>
  <c r="AH381" i="57" s="1"/>
  <c r="M145" i="57"/>
  <c r="M222" i="57"/>
  <c r="M82" i="57"/>
  <c r="N475" i="57"/>
  <c r="AH475" i="57" s="1"/>
  <c r="M242" i="57"/>
  <c r="AH242" i="57" s="1"/>
  <c r="M270" i="57"/>
  <c r="AH270" i="57" s="1"/>
  <c r="N247" i="57"/>
  <c r="AH247" i="57" s="1"/>
  <c r="N516" i="57"/>
  <c r="AH516" i="57" s="1"/>
  <c r="M310" i="57"/>
  <c r="AH310" i="57" s="1"/>
  <c r="M503" i="57"/>
  <c r="AH503" i="57" s="1"/>
  <c r="N264" i="57"/>
  <c r="AH264" i="57" s="1"/>
  <c r="AD447" i="57"/>
  <c r="AD467" i="57"/>
  <c r="Q55" i="57"/>
  <c r="N227" i="57"/>
  <c r="N448" i="57"/>
  <c r="AH448" i="57" s="1"/>
  <c r="M463" i="57"/>
  <c r="AH463" i="57" s="1"/>
  <c r="M101" i="57"/>
  <c r="AH101" i="57" s="1"/>
  <c r="AH92" i="57"/>
  <c r="M295" i="57"/>
  <c r="AH295" i="57" s="1"/>
  <c r="N336" i="57"/>
  <c r="AH336" i="57" s="1"/>
  <c r="N338" i="57"/>
  <c r="AD418" i="57"/>
  <c r="N431" i="57"/>
  <c r="AH431" i="57" s="1"/>
  <c r="N384" i="57"/>
  <c r="AH384" i="57" s="1"/>
  <c r="M361" i="57"/>
  <c r="AH361" i="57" s="1"/>
  <c r="AD403" i="57"/>
  <c r="M281" i="57"/>
  <c r="AH281" i="57" s="1"/>
  <c r="M477" i="57"/>
  <c r="AH477" i="57" s="1"/>
  <c r="AD166" i="57"/>
  <c r="M86" i="57"/>
  <c r="AH86" i="57" s="1"/>
  <c r="M76" i="57"/>
  <c r="AH76" i="57" s="1"/>
  <c r="M470" i="57"/>
  <c r="AN139" i="57"/>
  <c r="M461" i="57"/>
  <c r="N523" i="57"/>
  <c r="N107" i="57"/>
  <c r="N415" i="57"/>
  <c r="N322" i="57"/>
  <c r="N377" i="57"/>
  <c r="AH377" i="57" s="1"/>
  <c r="N278" i="57"/>
  <c r="AH278" i="57" s="1"/>
  <c r="AN138" i="57"/>
  <c r="M508" i="57"/>
  <c r="AH508" i="57" s="1"/>
  <c r="N354" i="57"/>
  <c r="AH354" i="57" s="1"/>
  <c r="M392" i="57"/>
  <c r="AH392" i="57" s="1"/>
  <c r="N142" i="57"/>
  <c r="AH142" i="57" s="1"/>
  <c r="M465" i="57"/>
  <c r="M224" i="57"/>
  <c r="AH224" i="57" s="1"/>
  <c r="N124" i="57"/>
  <c r="AH124" i="57" s="1"/>
  <c r="M231" i="57"/>
  <c r="AH231" i="57" s="1"/>
  <c r="M495" i="57"/>
  <c r="M383" i="57"/>
  <c r="AH383" i="57" s="1"/>
  <c r="M473" i="57"/>
  <c r="N197" i="57"/>
  <c r="AH197" i="57" s="1"/>
  <c r="M382" i="57"/>
  <c r="AH382" i="57" s="1"/>
  <c r="M182" i="57"/>
  <c r="N411" i="57"/>
  <c r="AH411" i="57" s="1"/>
  <c r="M184" i="57"/>
  <c r="AH184" i="57" s="1"/>
  <c r="N47" i="57"/>
  <c r="AH47" i="57" s="1"/>
  <c r="M391" i="57"/>
  <c r="AH391" i="57" s="1"/>
  <c r="M518" i="57"/>
  <c r="AH518" i="57" s="1"/>
  <c r="N519" i="57"/>
  <c r="AH519" i="57" s="1"/>
  <c r="N453" i="57"/>
  <c r="AH453" i="57" s="1"/>
  <c r="M380" i="57"/>
  <c r="AH380" i="57" s="1"/>
  <c r="M110" i="57"/>
  <c r="AH110" i="57" s="1"/>
  <c r="M128" i="57"/>
  <c r="AH128" i="57" s="1"/>
  <c r="N273" i="57"/>
  <c r="AH273" i="57" s="1"/>
  <c r="M266" i="57"/>
  <c r="AH266" i="57" s="1"/>
  <c r="M42" i="57"/>
  <c r="AH42" i="57" s="1"/>
  <c r="M451" i="57"/>
  <c r="N119" i="57"/>
  <c r="N212" i="57"/>
  <c r="AH212" i="57" s="1"/>
  <c r="N482" i="57"/>
  <c r="AH482" i="57" s="1"/>
  <c r="N288" i="57"/>
  <c r="AH288" i="57" s="1"/>
  <c r="N204" i="57"/>
  <c r="AH204" i="57" s="1"/>
  <c r="M165" i="57"/>
  <c r="AH165" i="57" s="1"/>
  <c r="M346" i="57"/>
  <c r="AH346" i="57" s="1"/>
  <c r="M83" i="57"/>
  <c r="AH83" i="57" s="1"/>
  <c r="N379" i="57"/>
  <c r="AH379" i="57" s="1"/>
  <c r="M494" i="57"/>
  <c r="AH494" i="57" s="1"/>
  <c r="N49" i="57"/>
  <c r="AH49" i="57" s="1"/>
  <c r="M206" i="57"/>
  <c r="AH206" i="57" s="1"/>
  <c r="N351" i="57"/>
  <c r="AH351" i="57" s="1"/>
  <c r="M526" i="57"/>
  <c r="AH526" i="57" s="1"/>
  <c r="M303" i="57"/>
  <c r="M38" i="57"/>
  <c r="AH38" i="57" s="1"/>
  <c r="M399" i="57"/>
  <c r="AH399" i="57" s="1"/>
  <c r="N244" i="57"/>
  <c r="AH244" i="57" s="1"/>
  <c r="N419" i="57"/>
  <c r="AH419" i="57" s="1"/>
  <c r="N205" i="57"/>
  <c r="AH205" i="57" s="1"/>
  <c r="N94" i="57"/>
  <c r="AH94" i="57" s="1"/>
  <c r="M253" i="57"/>
  <c r="AH253" i="57" s="1"/>
  <c r="N234" i="57"/>
  <c r="AH234" i="57" s="1"/>
  <c r="M99" i="57"/>
  <c r="AH99" i="57" s="1"/>
  <c r="N459" i="57"/>
  <c r="M282" i="57"/>
  <c r="AH282" i="57" s="1"/>
  <c r="N274" i="57"/>
  <c r="AH274" i="57" s="1"/>
  <c r="M221" i="57"/>
  <c r="AH221" i="57" s="1"/>
  <c r="M390" i="57"/>
  <c r="AH390" i="57" s="1"/>
  <c r="M265" i="57"/>
  <c r="AH265" i="57" s="1"/>
  <c r="M280" i="57"/>
  <c r="M283" i="57"/>
  <c r="AH283" i="57" s="1"/>
  <c r="N365" i="57"/>
  <c r="AH365" i="57" s="1"/>
  <c r="M113" i="57"/>
  <c r="AH113" i="57" s="1"/>
  <c r="N388" i="57"/>
  <c r="AH388" i="57" s="1"/>
  <c r="M293" i="57"/>
  <c r="AH293" i="57" s="1"/>
  <c r="M60" i="57"/>
  <c r="AH60" i="57" s="1"/>
  <c r="N44" i="57"/>
  <c r="AH44" i="57" s="1"/>
  <c r="N267" i="57"/>
  <c r="AH267" i="57" s="1"/>
  <c r="N417" i="57"/>
  <c r="AH417" i="57" s="1"/>
  <c r="M412" i="57"/>
  <c r="AH412" i="57" s="1"/>
  <c r="M300" i="57"/>
  <c r="AH300" i="57" s="1"/>
  <c r="N167" i="57"/>
  <c r="AH167" i="57" s="1"/>
  <c r="N220" i="57"/>
  <c r="AH220" i="57" s="1"/>
  <c r="M187" i="57"/>
  <c r="AH187" i="57" s="1"/>
  <c r="M223" i="57"/>
  <c r="N443" i="57"/>
  <c r="AH443" i="57" s="1"/>
  <c r="M525" i="57"/>
  <c r="M115" i="57"/>
  <c r="AH115" i="57" s="1"/>
  <c r="N232" i="57"/>
  <c r="AH232" i="57" s="1"/>
  <c r="M407" i="57"/>
  <c r="AH407" i="57" s="1"/>
  <c r="M41" i="57"/>
  <c r="AH41" i="57" s="1"/>
  <c r="N372" i="57"/>
  <c r="AH372" i="57" s="1"/>
  <c r="M342" i="57"/>
  <c r="AH342" i="57" s="1"/>
  <c r="N363" i="57"/>
  <c r="AH363" i="57" s="1"/>
  <c r="Q286" i="57"/>
  <c r="M489" i="57"/>
  <c r="AH489" i="57" s="1"/>
  <c r="N366" i="57"/>
  <c r="AH366" i="57" s="1"/>
  <c r="M66" i="57"/>
  <c r="AH66" i="57" s="1"/>
  <c r="M178" i="57"/>
  <c r="AH178" i="57" s="1"/>
  <c r="N491" i="57"/>
  <c r="M138" i="57"/>
  <c r="M146" i="57"/>
  <c r="M304" i="57"/>
  <c r="AH304" i="57" s="1"/>
  <c r="N409" i="57"/>
  <c r="AH409" i="57" s="1"/>
  <c r="M480" i="57"/>
  <c r="AH480" i="57" s="1"/>
  <c r="M190" i="57"/>
  <c r="AH190" i="57" s="1"/>
  <c r="N522" i="57"/>
  <c r="AH522" i="57" s="1"/>
  <c r="M507" i="57"/>
  <c r="AH507" i="57" s="1"/>
  <c r="M420" i="57"/>
  <c r="AH420" i="57" s="1"/>
  <c r="M311" i="57"/>
  <c r="AH311" i="57" s="1"/>
  <c r="M210" i="57"/>
  <c r="AH210" i="57" s="1"/>
  <c r="M166" i="57"/>
  <c r="AH166" i="57" s="1"/>
  <c r="M248" i="57"/>
  <c r="AH248" i="57" s="1"/>
  <c r="N437" i="57"/>
  <c r="AH437" i="57" s="1"/>
  <c r="N439" i="57"/>
  <c r="AH439" i="57" s="1"/>
  <c r="AD104" i="57"/>
  <c r="N188" i="57"/>
  <c r="N467" i="57"/>
  <c r="M118" i="57"/>
  <c r="AH118" i="57" s="1"/>
  <c r="M371" i="57"/>
  <c r="AH371" i="57" s="1"/>
  <c r="M299" i="57"/>
  <c r="AH299" i="57" s="1"/>
  <c r="M330" i="57"/>
  <c r="AH330" i="57" s="1"/>
  <c r="N474" i="57"/>
  <c r="AH474" i="57" s="1"/>
  <c r="M403" i="57"/>
  <c r="AH403" i="57" s="1"/>
  <c r="M435" i="57"/>
  <c r="AH435" i="57" s="1"/>
  <c r="Q525" i="57"/>
  <c r="Q147" i="57"/>
  <c r="N359" i="57"/>
  <c r="AH359" i="57" s="1"/>
  <c r="N521" i="57"/>
  <c r="AH521" i="57" s="1"/>
  <c r="N54" i="57"/>
  <c r="AH54" i="57" s="1"/>
  <c r="N112" i="57"/>
  <c r="AH112" i="57" s="1"/>
  <c r="N81" i="57"/>
  <c r="AH81" i="57" s="1"/>
  <c r="M271" i="57"/>
  <c r="AH271" i="57" s="1"/>
  <c r="M65" i="57"/>
  <c r="AH65" i="57" s="1"/>
  <c r="N358" i="57"/>
  <c r="AH358" i="57" s="1"/>
  <c r="M531" i="57"/>
  <c r="AH531" i="57" s="1"/>
  <c r="Q422" i="57"/>
  <c r="N43" i="57"/>
  <c r="AH43" i="57" s="1"/>
  <c r="M163" i="57"/>
  <c r="AH163" i="57" s="1"/>
  <c r="N438" i="57"/>
  <c r="AH438" i="57" s="1"/>
  <c r="M433" i="57"/>
  <c r="AH433" i="57" s="1"/>
  <c r="N171" i="57"/>
  <c r="AH171" i="57" s="1"/>
  <c r="N368" i="57"/>
  <c r="AH368" i="57" s="1"/>
  <c r="M215" i="57"/>
  <c r="AH215" i="57" s="1"/>
  <c r="M155" i="57"/>
  <c r="AH155" i="57" s="1"/>
  <c r="M445" i="57"/>
  <c r="N45" i="57"/>
  <c r="AH45" i="57" s="1"/>
  <c r="N103" i="57"/>
  <c r="N319" i="57"/>
  <c r="AH319" i="57" s="1"/>
  <c r="M177" i="57"/>
  <c r="AH177" i="57" s="1"/>
  <c r="M61" i="57"/>
  <c r="AH61" i="57" s="1"/>
  <c r="N315" i="57"/>
  <c r="AH315" i="57" s="1"/>
  <c r="N213" i="57"/>
  <c r="AH213" i="57" s="1"/>
  <c r="M129" i="57"/>
  <c r="AH129" i="57" s="1"/>
  <c r="M98" i="57"/>
  <c r="AH98" i="57" s="1"/>
  <c r="M468" i="57"/>
  <c r="AH468" i="57" s="1"/>
  <c r="M333" i="57"/>
  <c r="AH333" i="57" s="1"/>
  <c r="M418" i="57"/>
  <c r="AH418" i="57" s="1"/>
  <c r="N483" i="57"/>
  <c r="AH483" i="57" s="1"/>
  <c r="M141" i="57"/>
  <c r="AH141" i="57" s="1"/>
  <c r="M492" i="57"/>
  <c r="AH492" i="57" s="1"/>
  <c r="N501" i="57"/>
  <c r="AH501" i="57" s="1"/>
  <c r="N423" i="57"/>
  <c r="AH423" i="57" s="1"/>
  <c r="Q395" i="57"/>
  <c r="Q126" i="57"/>
  <c r="Q309" i="57"/>
  <c r="Q216" i="57"/>
  <c r="M327" i="57"/>
  <c r="AH327" i="57" s="1"/>
  <c r="N373" i="57"/>
  <c r="AH373" i="57" s="1"/>
  <c r="Q289" i="57"/>
  <c r="Q213" i="57"/>
  <c r="Q200" i="57"/>
  <c r="Q187" i="57"/>
  <c r="N324" i="57"/>
  <c r="AH324" i="57" s="1"/>
  <c r="N500" i="57"/>
  <c r="AH500" i="57" s="1"/>
  <c r="M485" i="57"/>
  <c r="AH485" i="57" s="1"/>
  <c r="Q83" i="57"/>
  <c r="Q318" i="57"/>
  <c r="N200" i="57"/>
  <c r="AH200" i="57" s="1"/>
  <c r="M89" i="57"/>
  <c r="AH89" i="57" s="1"/>
  <c r="N233" i="57"/>
  <c r="AH233" i="57" s="1"/>
  <c r="M309" i="57"/>
  <c r="AH309" i="57" s="1"/>
  <c r="M335" i="57"/>
  <c r="AH335" i="57" s="1"/>
  <c r="N52" i="57"/>
  <c r="AH52" i="57" s="1"/>
  <c r="N301" i="57"/>
  <c r="AH301" i="57" s="1"/>
  <c r="N104" i="57"/>
  <c r="AH104" i="57" s="1"/>
  <c r="M185" i="57"/>
  <c r="AH185" i="57" s="1"/>
  <c r="Q199" i="57"/>
  <c r="N196" i="57"/>
  <c r="AH196" i="57" s="1"/>
  <c r="Q449" i="57"/>
  <c r="Q287" i="57"/>
  <c r="Q104" i="57"/>
  <c r="M255" i="57"/>
  <c r="AH255" i="57" s="1"/>
  <c r="Q346" i="57"/>
  <c r="AD88" i="57"/>
  <c r="N434" i="57"/>
  <c r="M370" i="57"/>
  <c r="Q166" i="57"/>
  <c r="M172" i="57"/>
  <c r="AH172" i="57" s="1"/>
  <c r="Q96" i="57"/>
  <c r="Q531" i="57"/>
  <c r="Q304" i="57"/>
  <c r="M490" i="57"/>
  <c r="AH490" i="57" s="1"/>
  <c r="N169" i="57"/>
  <c r="AH169" i="57" s="1"/>
  <c r="M452" i="57"/>
  <c r="AH452" i="57" s="1"/>
  <c r="M102" i="57"/>
  <c r="AH102" i="57" s="1"/>
  <c r="Q296" i="57"/>
  <c r="N378" i="57"/>
  <c r="AH378" i="57" s="1"/>
  <c r="N312" i="57"/>
  <c r="AH312" i="57" s="1"/>
  <c r="M374" i="57"/>
  <c r="AH374" i="57" s="1"/>
  <c r="M239" i="57"/>
  <c r="AH239" i="57" s="1"/>
  <c r="M428" i="57"/>
  <c r="AH428" i="57" s="1"/>
  <c r="AD63" i="57"/>
  <c r="Q406" i="57"/>
  <c r="Q58" i="57"/>
  <c r="Q247" i="57"/>
  <c r="Q435" i="57"/>
  <c r="Q105" i="57"/>
  <c r="M398" i="57"/>
  <c r="AH398" i="57" s="1"/>
  <c r="Q470" i="57"/>
  <c r="N143" i="57"/>
  <c r="AH143" i="57" s="1"/>
  <c r="M402" i="57"/>
  <c r="AH402" i="57" s="1"/>
  <c r="N55" i="57"/>
  <c r="AH55" i="57" s="1"/>
  <c r="N517" i="57"/>
  <c r="AH517" i="57" s="1"/>
  <c r="N404" i="57"/>
  <c r="AH404" i="57" s="1"/>
  <c r="M139" i="57"/>
  <c r="AH139" i="57" s="1"/>
  <c r="M455" i="57"/>
  <c r="AH455" i="57" s="1"/>
  <c r="AD112" i="57"/>
  <c r="AD249" i="57"/>
  <c r="Q382" i="57"/>
  <c r="Q41" i="57"/>
  <c r="Q252" i="57"/>
  <c r="AD90" i="57"/>
  <c r="Q367" i="57"/>
  <c r="Q280" i="57"/>
  <c r="Q110" i="57"/>
  <c r="M376" i="57"/>
  <c r="AH376" i="57" s="1"/>
  <c r="Q325" i="57"/>
  <c r="Q457" i="57"/>
  <c r="Q180" i="57"/>
  <c r="Q239" i="57"/>
  <c r="Q319" i="57"/>
  <c r="Q387" i="57"/>
  <c r="Q492" i="57"/>
  <c r="Q214" i="57"/>
  <c r="Q443" i="57"/>
  <c r="Q427" i="57"/>
  <c r="Q510" i="57"/>
  <c r="Q359" i="57"/>
  <c r="Q399" i="57"/>
  <c r="Q99" i="57"/>
  <c r="Q495" i="57"/>
  <c r="Q130" i="57"/>
  <c r="Q328" i="57"/>
  <c r="Q307" i="57"/>
  <c r="M348" i="57"/>
  <c r="AH348" i="57" s="1"/>
  <c r="N157" i="57"/>
  <c r="AH157" i="57" s="1"/>
  <c r="N471" i="57"/>
  <c r="AH471" i="57" s="1"/>
  <c r="M175" i="57"/>
  <c r="AH175" i="57" s="1"/>
  <c r="M258" i="57"/>
  <c r="AH258" i="57" s="1"/>
  <c r="Q204" i="57"/>
  <c r="Q73" i="57"/>
  <c r="Q476" i="57"/>
  <c r="Q261" i="57"/>
  <c r="Q376" i="57"/>
  <c r="Q290" i="57"/>
  <c r="Q478" i="57"/>
  <c r="Q92" i="57"/>
  <c r="Q460" i="57"/>
  <c r="Q75" i="57"/>
  <c r="Q522" i="57"/>
  <c r="Q515" i="57"/>
  <c r="Q386" i="57"/>
  <c r="Q134" i="57"/>
  <c r="Q463" i="57"/>
  <c r="Q167" i="57"/>
  <c r="Q370" i="57"/>
  <c r="Q485" i="57"/>
  <c r="Q512" i="57"/>
  <c r="Q190" i="57"/>
  <c r="Q324" i="57"/>
  <c r="Q223" i="57"/>
  <c r="Q68" i="57"/>
  <c r="Q375" i="57"/>
  <c r="Q198" i="57"/>
  <c r="Q482" i="57"/>
  <c r="Q118" i="57"/>
  <c r="Q108" i="57"/>
  <c r="Q450" i="57"/>
  <c r="Q342" i="57"/>
  <c r="Q94" i="57"/>
  <c r="Q508" i="57"/>
  <c r="Q66" i="57"/>
  <c r="Q123" i="57"/>
  <c r="Q380" i="57"/>
  <c r="Q49" i="57"/>
  <c r="Q61" i="57"/>
  <c r="Q453" i="57"/>
  <c r="Q153" i="57"/>
  <c r="Q220" i="57"/>
  <c r="Q341" i="57"/>
  <c r="Q514" i="57"/>
  <c r="Q270" i="57"/>
  <c r="Q439" i="57"/>
  <c r="Q292" i="57"/>
  <c r="Q493" i="57"/>
  <c r="Q229" i="57"/>
  <c r="Q136" i="57"/>
  <c r="Q471" i="57"/>
  <c r="Q333" i="57"/>
  <c r="Q137" i="57"/>
  <c r="Q72" i="57"/>
  <c r="Q518" i="57"/>
  <c r="Q267" i="57"/>
  <c r="Q348" i="57"/>
  <c r="Q354" i="57"/>
  <c r="Q469" i="57"/>
  <c r="Q207" i="57"/>
  <c r="Q140" i="57"/>
  <c r="Q321" i="57"/>
  <c r="Q310" i="57"/>
  <c r="Q456" i="57"/>
  <c r="Q129" i="57"/>
  <c r="Q103" i="57"/>
  <c r="M50" i="57"/>
  <c r="AH50" i="57" s="1"/>
  <c r="Q282" i="57"/>
  <c r="Q117" i="57"/>
  <c r="Q81" i="57"/>
  <c r="Q139" i="57"/>
  <c r="Q278" i="57"/>
  <c r="Q396" i="57"/>
  <c r="M135" i="57"/>
  <c r="AH135" i="57" s="1"/>
  <c r="Q519" i="57"/>
  <c r="Q315" i="57"/>
  <c r="Q240" i="57"/>
  <c r="Q269" i="57"/>
  <c r="Q174" i="57"/>
  <c r="Q84" i="57"/>
  <c r="Q532" i="57"/>
  <c r="Q62" i="57"/>
  <c r="Q215" i="57"/>
  <c r="Q82" i="57"/>
  <c r="Q85" i="57"/>
  <c r="Q133" i="57"/>
  <c r="Q93" i="57"/>
  <c r="Q232" i="57"/>
  <c r="Q57" i="57"/>
  <c r="Q274" i="57"/>
  <c r="Q408" i="57"/>
  <c r="Q480" i="57"/>
  <c r="Q119" i="57"/>
  <c r="Q181" i="57"/>
  <c r="Q52" i="57"/>
  <c r="Q461" i="57"/>
  <c r="Q438" i="57"/>
  <c r="Q277" i="57"/>
  <c r="Q431" i="57"/>
  <c r="Q144" i="57"/>
  <c r="Q373" i="57"/>
  <c r="Q42" i="57"/>
  <c r="Q332" i="57"/>
  <c r="Q107" i="57"/>
  <c r="Q162" i="57"/>
  <c r="Q263" i="57"/>
  <c r="Q339" i="57"/>
  <c r="Q374" i="57"/>
  <c r="Q338" i="57"/>
  <c r="Q260" i="57"/>
  <c r="Q170" i="57"/>
  <c r="Q242" i="57"/>
  <c r="Q499" i="57"/>
  <c r="Q146" i="57"/>
  <c r="Q168" i="57"/>
  <c r="Q182" i="57"/>
  <c r="Q148" i="57"/>
  <c r="Q124" i="57"/>
  <c r="Q266" i="57"/>
  <c r="Q462" i="57"/>
  <c r="Q437" i="57"/>
  <c r="Q179" i="57"/>
  <c r="Q109" i="57"/>
  <c r="Q89" i="57"/>
  <c r="Q111" i="57"/>
  <c r="Q244" i="57"/>
  <c r="Q164" i="57"/>
  <c r="Q145" i="57"/>
  <c r="Q254" i="57"/>
  <c r="Q360" i="57"/>
  <c r="Q419" i="57"/>
  <c r="Q100" i="57"/>
  <c r="Q489" i="57"/>
  <c r="Q465" i="57"/>
  <c r="Q171" i="57"/>
  <c r="Q284" i="57"/>
  <c r="Q230" i="57"/>
  <c r="Q234" i="57"/>
  <c r="Q165" i="57"/>
  <c r="Q186" i="57"/>
  <c r="Q258" i="57"/>
  <c r="Q317" i="57"/>
  <c r="Q253" i="57"/>
  <c r="Q34" i="57"/>
  <c r="Q114" i="57"/>
  <c r="Q487" i="57"/>
  <c r="Q273" i="57"/>
  <c r="Q194" i="57"/>
  <c r="Q285" i="57"/>
  <c r="Q209" i="57"/>
  <c r="Q95" i="57"/>
  <c r="Q392" i="57"/>
  <c r="Q368" i="57"/>
  <c r="Q423" i="57"/>
  <c r="Q379" i="57"/>
  <c r="Q523" i="57"/>
  <c r="Q529" i="57"/>
  <c r="Q343" i="57"/>
  <c r="Q334" i="57"/>
  <c r="Q444" i="57"/>
  <c r="Q340" i="57"/>
  <c r="Q246" i="57"/>
  <c r="Q301" i="57"/>
  <c r="Q115" i="57"/>
  <c r="Q491" i="57"/>
  <c r="Q356" i="57"/>
  <c r="Q320" i="57"/>
  <c r="Q259" i="57"/>
  <c r="Q160" i="57"/>
  <c r="Q169" i="57"/>
  <c r="Q222" i="57"/>
  <c r="Q316" i="57"/>
  <c r="Q415" i="57"/>
  <c r="Q528" i="57"/>
  <c r="Q101" i="57"/>
  <c r="Q65" i="57"/>
  <c r="Q432" i="57"/>
  <c r="Q272" i="57"/>
  <c r="Q178" i="57"/>
  <c r="Q156" i="57"/>
  <c r="Q67" i="57"/>
  <c r="Q191" i="57"/>
  <c r="Q228" i="57"/>
  <c r="Q235" i="57"/>
  <c r="Q391" i="57"/>
  <c r="Q411" i="57"/>
  <c r="Q455" i="57"/>
  <c r="Q44" i="57"/>
  <c r="Q138" i="57"/>
  <c r="Q128" i="57"/>
  <c r="Q78" i="57"/>
  <c r="Q262" i="57"/>
  <c r="Q127" i="57"/>
  <c r="Q414" i="57"/>
  <c r="Q425" i="57"/>
  <c r="Q357" i="57"/>
  <c r="Q313" i="57"/>
  <c r="Q412" i="57"/>
  <c r="Q345" i="57"/>
  <c r="Q219" i="57"/>
  <c r="Q45" i="57"/>
  <c r="AF45" i="57" s="1"/>
  <c r="AE45" i="57" s="1"/>
  <c r="Q527" i="57"/>
  <c r="Q302" i="57"/>
  <c r="Q291" i="57"/>
  <c r="Q87" i="57"/>
  <c r="Q90" i="57"/>
  <c r="Q275" i="57"/>
  <c r="Q294" i="57"/>
  <c r="Q509" i="57"/>
  <c r="Q497" i="57"/>
  <c r="Q472" i="57"/>
  <c r="Q312" i="57"/>
  <c r="Q308" i="57"/>
  <c r="Q251" i="57"/>
  <c r="Q43" i="57"/>
  <c r="Q195" i="57"/>
  <c r="Q161" i="57"/>
  <c r="Q231" i="57"/>
  <c r="Q185" i="57"/>
  <c r="Q358" i="57"/>
  <c r="Q352" i="57"/>
  <c r="Q350" i="57"/>
  <c r="Q479" i="57"/>
  <c r="Q486" i="57"/>
  <c r="Q378" i="57"/>
  <c r="Q77" i="57"/>
  <c r="Q464" i="57"/>
  <c r="Q504" i="57"/>
  <c r="Q303" i="57"/>
  <c r="Q54" i="57"/>
  <c r="Q196" i="57"/>
  <c r="Q202" i="57"/>
  <c r="Q208" i="57"/>
  <c r="Q389" i="57"/>
  <c r="Q474" i="57"/>
  <c r="Q526" i="57"/>
  <c r="Q524" i="57"/>
  <c r="Q112" i="57"/>
  <c r="Q331" i="57"/>
  <c r="Q142" i="57"/>
  <c r="Q113" i="57"/>
  <c r="Q388" i="57"/>
  <c r="Q520" i="57"/>
  <c r="Q447" i="57"/>
  <c r="Q507" i="57"/>
  <c r="Q363" i="57"/>
  <c r="Q243" i="57"/>
  <c r="Q210" i="57"/>
  <c r="Q445" i="57"/>
  <c r="Q390" i="57"/>
  <c r="Q51" i="57"/>
  <c r="Q233" i="57"/>
  <c r="Q150" i="57"/>
  <c r="Q326" i="57"/>
  <c r="Q420" i="57"/>
  <c r="Q452" i="57"/>
  <c r="Q335" i="57"/>
  <c r="Q353" i="57"/>
  <c r="Q76" i="57"/>
  <c r="Q159" i="57"/>
  <c r="Q398" i="57"/>
  <c r="Q393" i="57"/>
  <c r="Q248" i="57"/>
  <c r="Q80" i="57"/>
  <c r="Q306" i="57"/>
  <c r="Q237" i="57"/>
  <c r="Q430" i="57"/>
  <c r="Q225" i="57"/>
  <c r="Q221" i="57"/>
  <c r="Q36" i="57"/>
  <c r="Q442" i="57"/>
  <c r="Q56" i="57"/>
  <c r="Q40" i="57"/>
  <c r="Q53" i="57"/>
  <c r="Q502" i="57"/>
  <c r="Q347" i="57"/>
  <c r="Q369" i="57"/>
  <c r="Q47" i="57"/>
  <c r="Q276" i="57"/>
  <c r="Q177" i="57"/>
  <c r="Q257" i="57"/>
  <c r="Q530" i="57"/>
  <c r="Q212" i="57"/>
  <c r="Q517" i="57"/>
  <c r="Q283" i="57"/>
  <c r="Q311" i="57"/>
  <c r="Q37" i="57"/>
  <c r="Q418" i="57"/>
  <c r="Q97" i="57"/>
  <c r="Q227" i="57"/>
  <c r="Q511" i="57"/>
  <c r="Q206" i="57"/>
  <c r="Q355" i="57"/>
  <c r="Q458" i="57"/>
  <c r="Q298" i="57"/>
  <c r="Q238" i="57"/>
  <c r="Q314" i="57"/>
  <c r="Q473" i="57"/>
  <c r="Q88" i="57"/>
  <c r="Q416" i="57"/>
  <c r="Q271" i="57"/>
  <c r="Q288" i="57"/>
  <c r="Q295" i="57"/>
  <c r="Q329" i="57"/>
  <c r="Q428" i="57"/>
  <c r="Q410" i="57"/>
  <c r="Q141" i="57"/>
  <c r="Q323" i="57"/>
  <c r="Q521" i="57"/>
  <c r="Q483" i="57"/>
  <c r="Q46" i="57"/>
  <c r="Q429" i="57"/>
  <c r="Q377" i="57"/>
  <c r="Q516" i="57"/>
  <c r="Q205" i="57"/>
  <c r="Q299" i="57"/>
  <c r="Q365" i="57"/>
  <c r="Q250" i="57"/>
  <c r="Q116" i="57"/>
  <c r="Q436" i="57"/>
  <c r="Q279" i="57"/>
  <c r="Q218" i="57"/>
  <c r="Q39" i="57"/>
  <c r="Q125" i="57"/>
  <c r="Q241" i="57"/>
  <c r="Q297" i="57"/>
  <c r="Q384" i="57"/>
  <c r="Q475" i="57"/>
  <c r="Q498" i="57"/>
  <c r="Q383" i="57"/>
  <c r="Q500" i="57"/>
  <c r="Q158" i="57"/>
  <c r="Q337" i="57"/>
  <c r="Q245" i="57"/>
  <c r="Q189" i="57"/>
  <c r="Q131" i="57"/>
  <c r="Q409" i="57"/>
  <c r="Q38" i="57"/>
  <c r="Q224" i="57"/>
  <c r="Q79" i="57"/>
  <c r="Q74" i="57"/>
  <c r="Q264" i="57"/>
  <c r="Q424" i="57"/>
  <c r="Q467" i="57"/>
  <c r="Q490" i="57"/>
  <c r="Q197" i="57"/>
  <c r="Q505" i="57"/>
  <c r="Q132" i="57"/>
  <c r="Q401" i="57"/>
  <c r="Q327" i="57"/>
  <c r="Q86" i="57"/>
  <c r="Q35" i="57"/>
  <c r="Q236" i="57"/>
  <c r="Q70" i="57"/>
  <c r="Q403" i="57"/>
  <c r="Q433" i="57"/>
  <c r="Q281" i="57"/>
  <c r="Q63" i="57"/>
  <c r="Q413" i="57"/>
  <c r="Q362" i="57"/>
  <c r="Q188" i="57"/>
  <c r="Q400" i="57"/>
  <c r="Q364" i="57"/>
  <c r="Q402" i="57"/>
  <c r="Q203" i="57"/>
  <c r="Q152" i="57"/>
  <c r="Q366" i="57"/>
  <c r="Q451" i="57"/>
  <c r="Q192" i="57"/>
  <c r="Q211" i="57"/>
  <c r="Q122" i="57"/>
  <c r="Q496" i="57"/>
  <c r="Q405" i="57"/>
  <c r="Q102" i="57"/>
  <c r="Q173" i="57"/>
  <c r="Q143" i="57"/>
  <c r="Q322" i="57"/>
  <c r="Q407" i="57"/>
  <c r="Q217" i="57"/>
  <c r="Q397" i="57"/>
  <c r="Q154" i="57"/>
  <c r="Q440" i="57"/>
  <c r="Q372" i="57"/>
  <c r="Q466" i="57"/>
  <c r="Q441" i="57"/>
  <c r="Q336" i="57"/>
  <c r="N498" i="57"/>
  <c r="AH498" i="57" s="1"/>
  <c r="Q184" i="57"/>
  <c r="Q459" i="57"/>
  <c r="Q69" i="57"/>
  <c r="Q446" i="57"/>
  <c r="N53" i="57"/>
  <c r="AH53" i="57" s="1"/>
  <c r="Q434" i="57"/>
  <c r="N472" i="57"/>
  <c r="AH472" i="57" s="1"/>
  <c r="N360" i="57"/>
  <c r="AH360" i="57" s="1"/>
  <c r="N408" i="57"/>
  <c r="AH408" i="57" s="1"/>
  <c r="M125" i="57"/>
  <c r="AH125" i="57" s="1"/>
  <c r="Q454" i="57"/>
  <c r="Q417" i="57"/>
  <c r="N71" i="57"/>
  <c r="AH71" i="57" s="1"/>
  <c r="N325" i="57"/>
  <c r="AH325" i="57" s="1"/>
  <c r="N328" i="57"/>
  <c r="AH328" i="57" s="1"/>
  <c r="N389" i="57"/>
  <c r="AH389" i="57" s="1"/>
  <c r="M127" i="57"/>
  <c r="AH127" i="57" s="1"/>
  <c r="AD319" i="57"/>
  <c r="N237" i="57"/>
  <c r="AH237" i="57" s="1"/>
  <c r="N362" i="57"/>
  <c r="AH362" i="57" s="1"/>
  <c r="M329" i="57"/>
  <c r="AH329" i="57" s="1"/>
  <c r="AD363" i="57"/>
  <c r="Q448" i="57"/>
  <c r="Q501" i="57"/>
  <c r="Q484" i="57"/>
  <c r="Q121" i="57"/>
  <c r="Q255" i="57"/>
  <c r="Q404" i="57"/>
  <c r="Q506" i="57"/>
  <c r="Q344" i="57"/>
  <c r="Q371" i="57"/>
  <c r="Q135" i="57"/>
  <c r="Q249" i="57"/>
  <c r="Q98" i="57"/>
  <c r="Q59" i="57"/>
  <c r="Q175" i="57"/>
  <c r="Q71" i="57"/>
  <c r="Q120" i="57"/>
  <c r="Q64" i="57"/>
  <c r="Q193" i="57"/>
  <c r="Q91" i="57"/>
  <c r="Q50" i="57"/>
  <c r="Q477" i="57"/>
  <c r="Q183" i="57"/>
  <c r="Q351" i="57"/>
  <c r="Q300" i="57"/>
  <c r="M236" i="57"/>
  <c r="AH236" i="57" s="1"/>
  <c r="Q381" i="57"/>
  <c r="Q488" i="57"/>
  <c r="Q293" i="57"/>
  <c r="Q265" i="57"/>
  <c r="Q163" i="57"/>
  <c r="Q481" i="57"/>
  <c r="Q157" i="57"/>
  <c r="Q385" i="57"/>
  <c r="Q513" i="57"/>
  <c r="Q349" i="57"/>
  <c r="M444" i="57"/>
  <c r="AH444" i="57" s="1"/>
  <c r="N318" i="57"/>
  <c r="AH318" i="57" s="1"/>
  <c r="M514" i="57"/>
  <c r="AH514" i="57" s="1"/>
  <c r="M262" i="57"/>
  <c r="AH262" i="57" s="1"/>
  <c r="N144" i="57"/>
  <c r="AH144" i="57" s="1"/>
  <c r="N173" i="57"/>
  <c r="AH173" i="57" s="1"/>
  <c r="AD48" i="57"/>
  <c r="Q330" i="57"/>
  <c r="Q256" i="57"/>
  <c r="Q226" i="57"/>
  <c r="Q48" i="57"/>
  <c r="Q305" i="57"/>
  <c r="Q176" i="57"/>
  <c r="Q106" i="57"/>
  <c r="Q60" i="57"/>
  <c r="Q201" i="57"/>
  <c r="Q468" i="57"/>
  <c r="Q394" i="57"/>
  <c r="Q503" i="57"/>
  <c r="Q426" i="57"/>
  <c r="Q149" i="57"/>
  <c r="Q151" i="57"/>
  <c r="Q268" i="57"/>
  <c r="Q361" i="57"/>
  <c r="Q172" i="57"/>
  <c r="Q155" i="57"/>
  <c r="AI296" i="57"/>
  <c r="AI368" i="57"/>
  <c r="AI216" i="57"/>
  <c r="M261" i="57"/>
  <c r="AH261" i="57" s="1"/>
  <c r="N63" i="57"/>
  <c r="AH63" i="57" s="1"/>
  <c r="M426" i="57"/>
  <c r="AH426" i="57" s="1"/>
  <c r="N405" i="57"/>
  <c r="AH405" i="57" s="1"/>
  <c r="M511" i="57"/>
  <c r="AH511" i="57" s="1"/>
  <c r="M183" i="57"/>
  <c r="AH183" i="57" s="1"/>
  <c r="N421" i="57"/>
  <c r="AH421" i="57" s="1"/>
  <c r="N79" i="57"/>
  <c r="AH79" i="57" s="1"/>
  <c r="M121" i="57"/>
  <c r="AH121" i="57" s="1"/>
  <c r="M93" i="57"/>
  <c r="AH93" i="57" s="1"/>
  <c r="N457" i="57"/>
  <c r="AH457" i="57" s="1"/>
  <c r="M209" i="57"/>
  <c r="AH209" i="57" s="1"/>
  <c r="M156" i="57"/>
  <c r="AH156" i="57" s="1"/>
  <c r="N36" i="57"/>
  <c r="AH36" i="57" s="1"/>
  <c r="N194" i="57"/>
  <c r="AH194" i="57" s="1"/>
  <c r="N496" i="57"/>
  <c r="AH496" i="57" s="1"/>
  <c r="M294" i="57"/>
  <c r="AH294" i="57" s="1"/>
  <c r="M170" i="57"/>
  <c r="AH170" i="57" s="1"/>
  <c r="M275" i="57"/>
  <c r="AH275" i="57" s="1"/>
  <c r="N260" i="57"/>
  <c r="AH260" i="57" s="1"/>
  <c r="N123" i="57"/>
  <c r="AH123" i="57" s="1"/>
  <c r="M195" i="57"/>
  <c r="AH195" i="57" s="1"/>
  <c r="N429" i="57"/>
  <c r="AH429" i="57" s="1"/>
  <c r="N149" i="57"/>
  <c r="AH149" i="57" s="1"/>
  <c r="N90" i="57"/>
  <c r="AH90" i="57" s="1"/>
  <c r="N298" i="57"/>
  <c r="AH298" i="57" s="1"/>
  <c r="M447" i="57"/>
  <c r="AH447" i="57" s="1"/>
  <c r="M387" i="57"/>
  <c r="AH387" i="57" s="1"/>
  <c r="M344" i="57"/>
  <c r="AH344" i="57" s="1"/>
  <c r="M349" i="57"/>
  <c r="AH349" i="57" s="1"/>
  <c r="N251" i="57"/>
  <c r="AH251" i="57" s="1"/>
  <c r="N469" i="57"/>
  <c r="AH469" i="57" s="1"/>
  <c r="M176" i="57"/>
  <c r="AH176" i="57" s="1"/>
  <c r="M120" i="57"/>
  <c r="AH120" i="57" s="1"/>
  <c r="M133" i="57"/>
  <c r="AH133" i="57" s="1"/>
  <c r="M268" i="57"/>
  <c r="AH268" i="57" s="1"/>
  <c r="M432" i="57"/>
  <c r="AH432" i="57" s="1"/>
  <c r="M386" i="57"/>
  <c r="AH386" i="57" s="1"/>
  <c r="N357" i="57"/>
  <c r="AH357" i="57" s="1"/>
  <c r="N150" i="57"/>
  <c r="AH150" i="57" s="1"/>
  <c r="N484" i="57"/>
  <c r="AH484" i="57" s="1"/>
  <c r="N160" i="57"/>
  <c r="AH160" i="57" s="1"/>
  <c r="N446" i="57"/>
  <c r="AH446" i="57" s="1"/>
  <c r="N240" i="57"/>
  <c r="AH240" i="57" s="1"/>
  <c r="N219" i="57"/>
  <c r="AH219" i="57" s="1"/>
  <c r="N284" i="57"/>
  <c r="AH284" i="57" s="1"/>
  <c r="M70" i="57"/>
  <c r="AH70" i="57" s="1"/>
  <c r="N88" i="57"/>
  <c r="AH88" i="57" s="1"/>
  <c r="M316" i="57"/>
  <c r="AH316" i="57" s="1"/>
  <c r="M116" i="57"/>
  <c r="AH116" i="57" s="1"/>
  <c r="M78" i="57"/>
  <c r="AH78" i="57" s="1"/>
  <c r="M241" i="57"/>
  <c r="AH241" i="57" s="1"/>
  <c r="N529" i="57"/>
  <c r="AH529" i="57" s="1"/>
  <c r="N323" i="57"/>
  <c r="AH323" i="57" s="1"/>
  <c r="M297" i="57"/>
  <c r="AH297" i="57" s="1"/>
  <c r="M350" i="57"/>
  <c r="AH350" i="57" s="1"/>
  <c r="AD458" i="57"/>
  <c r="N343" i="57"/>
  <c r="AH343" i="57" s="1"/>
  <c r="M58" i="57"/>
  <c r="AH58" i="57" s="1"/>
  <c r="AI532" i="57"/>
  <c r="AD85" i="57"/>
  <c r="AD358" i="57"/>
  <c r="M427" i="57"/>
  <c r="AH427" i="57" s="1"/>
  <c r="M504" i="57"/>
  <c r="AH504" i="57" s="1"/>
  <c r="N308" i="57"/>
  <c r="AH308" i="57" s="1"/>
  <c r="M400" i="57"/>
  <c r="AH400" i="57" s="1"/>
  <c r="N207" i="57"/>
  <c r="AH207" i="57" s="1"/>
  <c r="N385" i="57"/>
  <c r="AH385" i="57" s="1"/>
  <c r="N57" i="57"/>
  <c r="AH57" i="57" s="1"/>
  <c r="M105" i="57"/>
  <c r="AH105" i="57" s="1"/>
  <c r="N68" i="57"/>
  <c r="AH68" i="57" s="1"/>
  <c r="N456" i="57"/>
  <c r="AH456" i="57" s="1"/>
  <c r="N64" i="57"/>
  <c r="AH64" i="57" s="1"/>
  <c r="M180" i="57"/>
  <c r="AH180" i="57" s="1"/>
  <c r="N306" i="57"/>
  <c r="AH306" i="57" s="1"/>
  <c r="N226" i="57"/>
  <c r="AH226" i="57" s="1"/>
  <c r="N111" i="57"/>
  <c r="AH111" i="57" s="1"/>
  <c r="M277" i="57"/>
  <c r="AH277" i="57" s="1"/>
  <c r="AD487" i="57"/>
  <c r="M80" i="57"/>
  <c r="AH80" i="57" s="1"/>
  <c r="N355" i="57"/>
  <c r="AH355" i="57" s="1"/>
  <c r="M148" i="57"/>
  <c r="AH148" i="57" s="1"/>
  <c r="N499" i="57"/>
  <c r="AH499" i="57" s="1"/>
  <c r="M250" i="57"/>
  <c r="AH250" i="57" s="1"/>
  <c r="M181" i="57"/>
  <c r="AH181" i="57" s="1"/>
  <c r="M506" i="57"/>
  <c r="AH506" i="57" s="1"/>
  <c r="M375" i="57"/>
  <c r="AH375" i="57" s="1"/>
  <c r="N73" i="57"/>
  <c r="AH73" i="57" s="1"/>
  <c r="AD304" i="57"/>
  <c r="M527" i="57"/>
  <c r="AH527" i="57" s="1"/>
  <c r="N230" i="57"/>
  <c r="AH230" i="57" s="1"/>
  <c r="AD501" i="57"/>
  <c r="M85" i="57"/>
  <c r="AH85" i="57" s="1"/>
  <c r="M528" i="57"/>
  <c r="AH528" i="57" s="1"/>
  <c r="M67" i="57"/>
  <c r="AH67" i="57" s="1"/>
  <c r="M393" i="57"/>
  <c r="AH393" i="57" s="1"/>
  <c r="M454" i="57"/>
  <c r="AH454" i="57" s="1"/>
  <c r="M158" i="57"/>
  <c r="AH158" i="57" s="1"/>
  <c r="N430" i="57"/>
  <c r="AH430" i="57" s="1"/>
  <c r="M100" i="57"/>
  <c r="AH100" i="57" s="1"/>
  <c r="N478" i="57"/>
  <c r="AH478" i="57" s="1"/>
  <c r="M331" i="57"/>
  <c r="AH331" i="57" s="1"/>
  <c r="M305" i="57"/>
  <c r="AH305" i="57" s="1"/>
  <c r="AD157" i="57"/>
  <c r="AD185" i="57"/>
  <c r="AI38" i="57"/>
  <c r="AD280" i="57"/>
  <c r="AH222" i="57"/>
  <c r="AH227" i="57"/>
  <c r="AG112" i="57"/>
  <c r="AI112" i="57" s="1"/>
  <c r="AD138" i="57"/>
  <c r="AD393" i="57"/>
  <c r="AD144" i="57"/>
  <c r="AH520" i="57"/>
  <c r="AH245" i="57"/>
  <c r="AH246" i="57"/>
  <c r="AH337" i="57"/>
  <c r="AD232" i="57"/>
  <c r="AI105" i="57"/>
  <c r="AI251" i="57"/>
  <c r="AI247" i="57"/>
  <c r="AI205" i="57"/>
  <c r="AH487" i="57"/>
  <c r="AH322" i="57"/>
  <c r="AH211" i="57"/>
  <c r="AD125" i="57"/>
  <c r="AG501" i="57"/>
  <c r="AI501" i="57" s="1"/>
  <c r="AI528" i="57"/>
  <c r="AD136" i="57"/>
  <c r="AD43" i="57"/>
  <c r="AD201" i="57"/>
  <c r="AD86" i="57"/>
  <c r="AD130" i="57"/>
  <c r="AD415" i="57"/>
  <c r="AD427" i="57"/>
  <c r="AI485" i="57"/>
  <c r="AD367" i="57"/>
  <c r="AD371" i="57"/>
  <c r="AD70" i="57"/>
  <c r="AD233" i="57"/>
  <c r="AD527" i="57"/>
  <c r="AD330" i="57"/>
  <c r="AD433" i="57"/>
  <c r="AD49" i="57"/>
  <c r="AD255" i="57"/>
  <c r="AI404" i="57"/>
  <c r="AI188" i="57"/>
  <c r="AI437" i="57"/>
  <c r="AI250" i="57"/>
  <c r="AD518" i="57"/>
  <c r="AD311" i="57"/>
  <c r="AI41" i="57"/>
  <c r="AD502" i="57"/>
  <c r="AI58" i="57"/>
  <c r="AH201" i="57"/>
  <c r="AD146" i="57"/>
  <c r="AD468" i="57"/>
  <c r="AD519" i="57"/>
  <c r="AD485" i="57"/>
  <c r="AI69" i="57"/>
  <c r="AD351" i="57"/>
  <c r="AD343" i="57"/>
  <c r="AI262" i="57"/>
  <c r="AG90" i="57"/>
  <c r="AI90" i="57" s="1"/>
  <c r="AD62" i="57"/>
  <c r="AD317" i="57"/>
  <c r="AD428" i="57"/>
  <c r="AD261" i="57"/>
  <c r="AD465" i="57"/>
  <c r="AD284" i="57"/>
  <c r="AD56" i="57"/>
  <c r="AG88" i="57"/>
  <c r="AI88" i="57" s="1"/>
  <c r="AI130" i="57"/>
  <c r="AI440" i="57"/>
  <c r="AI505" i="57"/>
  <c r="AI347" i="57"/>
  <c r="AI471" i="57"/>
  <c r="AI443" i="57"/>
  <c r="AD431" i="57"/>
  <c r="AD230" i="57"/>
  <c r="AD175" i="57"/>
  <c r="AG141" i="57"/>
  <c r="AI141" i="57" s="1"/>
  <c r="AD460" i="57"/>
  <c r="AD41" i="57"/>
  <c r="AI254" i="57"/>
  <c r="AI337" i="57"/>
  <c r="AD248" i="57"/>
  <c r="AD265" i="57"/>
  <c r="AD204" i="57"/>
  <c r="AI316" i="57"/>
  <c r="AD205" i="57"/>
  <c r="AD364" i="57"/>
  <c r="AI504" i="57"/>
  <c r="AI129" i="57"/>
  <c r="AD38" i="57"/>
  <c r="AD511" i="57"/>
  <c r="AD114" i="57"/>
  <c r="AI360" i="57"/>
  <c r="AD117" i="57"/>
  <c r="AD306" i="57"/>
  <c r="AI293" i="57"/>
  <c r="AD525" i="57"/>
  <c r="AI43" i="57"/>
  <c r="AD275" i="57"/>
  <c r="AH192" i="57"/>
  <c r="AD436" i="57"/>
  <c r="AI195" i="57"/>
  <c r="AD329" i="57"/>
  <c r="AD421" i="57"/>
  <c r="AI482" i="57"/>
  <c r="AI292" i="57"/>
  <c r="AI197" i="57"/>
  <c r="AD98" i="57"/>
  <c r="AG249" i="57"/>
  <c r="AI249" i="57" s="1"/>
  <c r="AI281" i="57"/>
  <c r="AD416" i="57"/>
  <c r="AD109" i="57"/>
  <c r="AI473" i="57"/>
  <c r="AD375" i="57"/>
  <c r="AD449" i="57"/>
  <c r="AI412" i="57"/>
  <c r="AI430" i="57"/>
  <c r="AD198" i="57"/>
  <c r="AI390" i="57"/>
  <c r="AD454" i="57"/>
  <c r="AI61" i="57"/>
  <c r="AI370" i="57"/>
  <c r="AI395" i="57"/>
  <c r="AD372" i="57"/>
  <c r="AD424" i="57"/>
  <c r="AD322" i="57"/>
  <c r="AD57" i="57"/>
  <c r="AD237" i="57"/>
  <c r="AD203" i="57"/>
  <c r="AD463" i="57"/>
  <c r="AD332" i="57"/>
  <c r="AD528" i="57"/>
  <c r="AD200" i="57"/>
  <c r="AD520" i="57"/>
  <c r="AD174" i="57"/>
  <c r="AG304" i="57"/>
  <c r="AI304" i="57" s="1"/>
  <c r="AI465" i="57"/>
  <c r="AD388" i="57"/>
  <c r="AG383" i="57"/>
  <c r="AI383" i="57" s="1"/>
  <c r="AD64" i="57"/>
  <c r="AD256" i="57"/>
  <c r="AD413" i="57"/>
  <c r="AD137" i="57"/>
  <c r="AD342" i="57"/>
  <c r="AG346" i="57"/>
  <c r="AI346" i="57" s="1"/>
  <c r="AI397" i="57"/>
  <c r="AI380" i="57"/>
  <c r="AI303" i="57"/>
  <c r="AD347" i="57"/>
  <c r="AD273" i="57"/>
  <c r="AI50" i="57"/>
  <c r="AH369" i="57"/>
  <c r="AD483" i="57"/>
  <c r="AD446" i="57"/>
  <c r="AI417" i="57"/>
  <c r="AI445" i="57"/>
  <c r="AI484" i="57"/>
  <c r="AI59" i="57"/>
  <c r="AD219" i="57"/>
  <c r="AI82" i="57"/>
  <c r="AD517" i="57"/>
  <c r="AD291" i="57"/>
  <c r="AD183" i="57"/>
  <c r="AI93" i="57"/>
  <c r="AI87" i="57"/>
  <c r="AD406" i="57"/>
  <c r="AI307" i="57"/>
  <c r="AD67" i="57"/>
  <c r="AG276" i="57"/>
  <c r="AI276" i="57" s="1"/>
  <c r="AI320" i="57"/>
  <c r="AD59" i="57"/>
  <c r="AD514" i="57"/>
  <c r="AD404" i="57"/>
  <c r="AI101" i="57"/>
  <c r="AD199" i="57"/>
  <c r="AI46" i="57"/>
  <c r="AI420" i="57"/>
  <c r="AD302" i="57"/>
  <c r="AD53" i="57"/>
  <c r="AD155" i="57"/>
  <c r="AI469" i="57"/>
  <c r="AH280" i="57"/>
  <c r="AD357" i="57"/>
  <c r="AI54" i="57"/>
  <c r="AI479" i="57"/>
  <c r="AD193" i="57"/>
  <c r="AI118" i="57"/>
  <c r="AI200" i="57"/>
  <c r="AD279" i="57"/>
  <c r="AD462" i="57"/>
  <c r="AI291" i="57"/>
  <c r="AI434" i="57"/>
  <c r="AD69" i="57"/>
  <c r="AD259" i="57"/>
  <c r="AI325" i="57"/>
  <c r="AG48" i="57"/>
  <c r="AI48" i="57" s="1"/>
  <c r="AI339" i="57"/>
  <c r="AD194" i="57"/>
  <c r="AG450" i="57"/>
  <c r="AI450" i="57" s="1"/>
  <c r="AI272" i="57"/>
  <c r="AI353" i="57"/>
  <c r="AG507" i="57"/>
  <c r="AI507" i="57" s="1"/>
  <c r="AD509" i="57"/>
  <c r="AD438" i="57"/>
  <c r="AD270" i="57"/>
  <c r="AI175" i="57"/>
  <c r="AG166" i="57"/>
  <c r="AI166" i="57" s="1"/>
  <c r="AD531" i="57"/>
  <c r="AD294" i="57"/>
  <c r="AD498" i="57"/>
  <c r="AD134" i="57"/>
  <c r="AG487" i="57"/>
  <c r="AI487" i="57" s="1"/>
  <c r="AD82" i="57"/>
  <c r="AD370" i="57"/>
  <c r="AI55" i="57"/>
  <c r="AD189" i="57"/>
  <c r="AD445" i="57"/>
  <c r="AD529" i="57"/>
  <c r="AD337" i="57"/>
  <c r="AI239" i="57"/>
  <c r="AD379" i="57"/>
  <c r="AG63" i="57"/>
  <c r="AI63" i="57" s="1"/>
  <c r="AI123" i="57"/>
  <c r="AD376" i="57"/>
  <c r="AI51" i="57"/>
  <c r="AD122" i="57"/>
  <c r="AD253" i="57"/>
  <c r="AD107" i="57"/>
  <c r="AD492" i="57"/>
  <c r="AD178" i="57"/>
  <c r="AI288" i="57"/>
  <c r="AD293" i="57"/>
  <c r="AD197" i="57"/>
  <c r="AI463" i="57"/>
  <c r="AI147" i="57"/>
  <c r="AI523" i="57"/>
  <c r="AI309" i="57"/>
  <c r="AI388" i="57"/>
  <c r="AD309" i="57"/>
  <c r="AG319" i="57"/>
  <c r="AI319" i="57" s="1"/>
  <c r="AD292" i="57"/>
  <c r="AD91" i="57"/>
  <c r="AI161" i="57"/>
  <c r="AD296" i="57"/>
  <c r="AI44" i="57"/>
  <c r="AD494" i="57"/>
  <c r="AI322" i="57"/>
  <c r="AD258" i="57"/>
  <c r="AD105" i="57"/>
  <c r="AD530" i="57"/>
  <c r="AI213" i="57"/>
  <c r="AI263" i="57"/>
  <c r="AD373" i="57"/>
  <c r="AD250" i="57"/>
  <c r="AD508" i="57"/>
  <c r="AD469" i="57"/>
  <c r="AD516" i="57"/>
  <c r="AD127" i="57"/>
  <c r="AD206" i="57"/>
  <c r="AI462" i="57"/>
  <c r="AI151" i="57"/>
  <c r="AD182" i="57"/>
  <c r="AI267" i="57"/>
  <c r="AD239" i="57"/>
  <c r="AD159" i="57"/>
  <c r="AI385" i="57"/>
  <c r="AI330" i="57"/>
  <c r="AI456" i="57"/>
  <c r="AI62" i="57"/>
  <c r="AG447" i="57"/>
  <c r="AI447" i="57" s="1"/>
  <c r="AG104" i="57"/>
  <c r="AI104" i="57" s="1"/>
  <c r="AD312" i="57"/>
  <c r="AD316" i="57"/>
  <c r="AD226" i="57"/>
  <c r="AD181" i="57"/>
  <c r="AI413" i="57"/>
  <c r="AD225" i="57"/>
  <c r="AD353" i="57"/>
  <c r="AD320" i="57"/>
  <c r="AD387" i="57"/>
  <c r="AI179" i="57"/>
  <c r="AD335" i="57"/>
  <c r="AD68" i="57"/>
  <c r="AI275" i="57"/>
  <c r="AD143" i="57"/>
  <c r="AI98" i="57"/>
  <c r="AI178" i="57"/>
  <c r="AD133" i="57"/>
  <c r="AI287" i="57"/>
  <c r="AD456" i="57"/>
  <c r="AD135" i="57"/>
  <c r="AG362" i="57"/>
  <c r="AI362" i="57" s="1"/>
  <c r="AD158" i="57"/>
  <c r="AD307" i="57"/>
  <c r="AD297" i="57"/>
  <c r="AG190" i="57"/>
  <c r="AI190" i="57" s="1"/>
  <c r="AD267" i="57"/>
  <c r="AD126" i="57"/>
  <c r="AD484" i="57"/>
  <c r="AD360" i="57"/>
  <c r="AD426" i="57"/>
  <c r="AD47" i="57"/>
  <c r="AD37" i="57"/>
  <c r="AD303" i="57"/>
  <c r="AD314" i="57"/>
  <c r="AG142" i="57"/>
  <c r="AI142" i="57" s="1"/>
  <c r="AD257" i="57"/>
  <c r="AG358" i="57"/>
  <c r="AI358" i="57" s="1"/>
  <c r="AH367" i="57"/>
  <c r="AH302" i="57"/>
  <c r="AH406" i="57"/>
  <c r="AI208" i="57"/>
  <c r="AI329" i="57"/>
  <c r="AI516" i="57"/>
  <c r="AI103" i="57"/>
  <c r="AI444" i="57"/>
  <c r="AI402" i="57"/>
  <c r="AI128" i="57"/>
  <c r="AI237" i="57"/>
  <c r="AI143" i="57"/>
  <c r="AI233" i="57"/>
  <c r="AI389" i="57"/>
  <c r="AI252" i="57"/>
  <c r="AI243" i="57"/>
  <c r="AI401" i="57"/>
  <c r="AI489" i="57"/>
  <c r="AI280" i="57"/>
  <c r="AI125" i="57"/>
  <c r="AI99" i="57"/>
  <c r="AI137" i="57"/>
  <c r="AI426" i="57"/>
  <c r="AI369" i="57"/>
  <c r="AI386" i="57"/>
  <c r="AI408" i="57"/>
  <c r="AI354" i="57"/>
  <c r="AI274" i="57"/>
  <c r="AI453" i="57"/>
  <c r="AI312" i="57"/>
  <c r="AI107" i="57"/>
  <c r="AI468" i="57"/>
  <c r="AI305" i="57"/>
  <c r="AI340" i="57"/>
  <c r="AI180" i="57"/>
  <c r="AI496" i="57"/>
  <c r="AI212" i="57"/>
  <c r="AI474" i="57"/>
  <c r="AI268" i="57"/>
  <c r="AI512" i="57"/>
  <c r="AI228" i="57"/>
  <c r="AI158" i="57"/>
  <c r="AI256" i="57"/>
  <c r="AI351" i="57"/>
  <c r="AI405" i="57"/>
  <c r="AI260" i="57"/>
  <c r="AI157" i="57"/>
  <c r="AI338" i="57"/>
  <c r="AI80" i="57"/>
  <c r="AI378" i="57"/>
  <c r="AI475" i="57"/>
  <c r="AI524" i="57"/>
  <c r="AI72" i="57"/>
  <c r="AI333" i="57"/>
  <c r="AI277" i="57"/>
  <c r="AI259" i="57"/>
  <c r="AI531" i="57"/>
  <c r="AI226" i="57"/>
  <c r="AG34" i="57"/>
  <c r="AI34" i="57" s="1"/>
  <c r="AI399" i="57"/>
  <c r="AI169" i="57"/>
  <c r="AI491" i="57"/>
  <c r="AI533" i="57"/>
  <c r="AI92" i="57"/>
  <c r="AI117" i="57"/>
  <c r="AI215" i="57"/>
  <c r="AI457" i="57"/>
  <c r="AI211" i="57"/>
  <c r="AD490" i="57"/>
  <c r="AI500" i="57"/>
  <c r="AI94" i="57"/>
  <c r="AI411" i="57"/>
  <c r="AI508" i="57"/>
  <c r="AI86" i="57"/>
  <c r="AD380" i="57"/>
  <c r="AI498" i="57"/>
  <c r="AD207" i="57"/>
  <c r="AI109" i="57"/>
  <c r="AD439" i="57"/>
  <c r="AI39" i="57"/>
  <c r="AD186" i="57"/>
  <c r="AD491" i="57"/>
  <c r="AD78" i="57"/>
  <c r="AI285" i="57"/>
  <c r="AD395" i="57"/>
  <c r="AI162" i="57"/>
  <c r="AD285" i="57"/>
  <c r="AI68" i="57"/>
  <c r="AD52" i="57"/>
  <c r="AI40" i="57"/>
  <c r="AD526" i="57"/>
  <c r="AD97" i="57"/>
  <c r="AD434" i="57"/>
  <c r="AD345" i="57"/>
  <c r="AI454" i="57"/>
  <c r="AD40" i="57"/>
  <c r="AD95" i="57"/>
  <c r="AD254" i="57"/>
  <c r="AI218" i="57"/>
  <c r="AI65" i="57"/>
  <c r="AI241" i="57"/>
  <c r="AI126" i="57"/>
  <c r="AI70" i="57"/>
  <c r="AI173" i="57"/>
  <c r="AI284" i="57"/>
  <c r="AD318" i="57"/>
  <c r="AD457" i="57"/>
  <c r="AD348" i="57"/>
  <c r="AD278" i="57"/>
  <c r="AI214" i="57"/>
  <c r="AI419" i="57"/>
  <c r="AI119" i="57"/>
  <c r="AI410" i="57"/>
  <c r="AI527" i="57"/>
  <c r="AI201" i="57"/>
  <c r="AD336" i="57"/>
  <c r="AD440" i="57"/>
  <c r="AI42" i="57"/>
  <c r="AI298" i="57"/>
  <c r="AI210" i="57"/>
  <c r="AD411" i="57"/>
  <c r="AI135" i="57"/>
  <c r="AI132" i="57"/>
  <c r="AG366" i="57"/>
  <c r="AI366" i="57" s="1"/>
  <c r="AD417" i="57"/>
  <c r="AI199" i="57"/>
  <c r="AI177" i="57"/>
  <c r="AI242" i="57"/>
  <c r="AD74" i="57"/>
  <c r="AI235" i="57"/>
  <c r="AD45" i="57"/>
  <c r="AI525" i="57"/>
  <c r="AD150" i="57"/>
  <c r="AD121" i="57"/>
  <c r="AD455" i="57"/>
  <c r="AD153" i="57"/>
  <c r="AD269" i="57"/>
  <c r="AD215" i="57"/>
  <c r="AI138" i="57"/>
  <c r="AG467" i="57"/>
  <c r="AI467" i="57" s="1"/>
  <c r="AD124" i="57"/>
  <c r="AD211" i="57"/>
  <c r="AG510" i="57"/>
  <c r="AI510" i="57" s="1"/>
  <c r="AD161" i="57"/>
  <c r="AI409" i="57"/>
  <c r="AI144" i="57"/>
  <c r="AI423" i="57"/>
  <c r="AD169" i="57"/>
  <c r="AD271" i="57"/>
  <c r="AI269" i="57"/>
  <c r="AD505" i="57"/>
  <c r="AD108" i="57"/>
  <c r="AI355" i="57"/>
  <c r="AI60" i="57"/>
  <c r="AD310" i="57"/>
  <c r="AD131" i="57"/>
  <c r="AI460" i="57"/>
  <c r="AD58" i="57"/>
  <c r="AD128" i="57"/>
  <c r="AD533" i="57"/>
  <c r="AI136" i="57"/>
  <c r="AD482" i="57"/>
  <c r="AD305" i="57"/>
  <c r="AD340" i="57"/>
  <c r="AD99" i="57"/>
  <c r="AI49" i="57"/>
  <c r="AD298" i="57"/>
  <c r="AD79" i="57"/>
  <c r="AG363" i="57"/>
  <c r="AI363" i="57" s="1"/>
  <c r="AD396" i="57"/>
  <c r="AI300" i="57"/>
  <c r="AI64" i="57"/>
  <c r="AI261" i="57"/>
  <c r="AD111" i="57"/>
  <c r="AD341" i="57"/>
  <c r="AD184" i="57"/>
  <c r="AD274" i="57"/>
  <c r="AD152" i="57"/>
  <c r="AD116" i="57"/>
  <c r="AG283" i="57"/>
  <c r="AI283" i="57" s="1"/>
  <c r="AD503" i="57"/>
  <c r="AD355" i="57"/>
  <c r="AD368" i="57"/>
  <c r="AD120" i="57"/>
  <c r="AD212" i="57"/>
  <c r="AD422" i="57"/>
  <c r="AD262" i="57"/>
  <c r="AD435" i="57"/>
  <c r="AG75" i="57"/>
  <c r="AI75" i="57" s="1"/>
  <c r="AD89" i="57"/>
  <c r="AD245" i="57"/>
  <c r="AD266" i="57"/>
  <c r="AD238" i="57"/>
  <c r="AD35" i="57"/>
  <c r="AD173" i="57"/>
  <c r="AD288" i="57"/>
  <c r="AD523" i="57"/>
  <c r="AD401" i="57"/>
  <c r="AD246" i="57"/>
  <c r="AD118" i="57"/>
  <c r="AD188" i="57"/>
  <c r="AD339" i="57"/>
  <c r="AD44" i="57"/>
  <c r="AD378" i="57"/>
  <c r="AD451" i="57"/>
  <c r="AD441" i="57"/>
  <c r="AD448" i="57"/>
  <c r="AD419" i="57"/>
  <c r="AD145" i="57"/>
  <c r="AG234" i="57"/>
  <c r="AI234" i="57" s="1"/>
  <c r="AD420" i="57"/>
  <c r="AD92" i="57"/>
  <c r="AD532" i="57"/>
  <c r="AD386" i="57"/>
  <c r="AD235" i="57"/>
  <c r="AD72" i="57"/>
  <c r="AD321" i="57"/>
  <c r="AG85" i="57"/>
  <c r="AI85" i="57" s="1"/>
  <c r="AD115" i="57"/>
  <c r="AD453" i="57"/>
  <c r="AD195" i="57"/>
  <c r="AD191" i="57"/>
  <c r="AD176" i="57"/>
  <c r="AG418" i="57"/>
  <c r="AI418" i="57" s="1"/>
  <c r="AD405" i="57"/>
  <c r="AD504" i="57"/>
  <c r="AD71" i="57"/>
  <c r="AD223" i="57"/>
  <c r="AD55" i="57"/>
  <c r="AI258" i="57"/>
  <c r="AI209" i="57"/>
  <c r="AI35" i="57"/>
  <c r="AI520" i="57"/>
  <c r="AI206" i="57"/>
  <c r="AI113" i="57"/>
  <c r="AI253" i="57"/>
  <c r="AI184" i="57"/>
  <c r="AI425" i="57"/>
  <c r="AI379" i="57"/>
  <c r="AI238" i="57"/>
  <c r="AI513" i="57"/>
  <c r="AI230" i="57"/>
  <c r="AI530" i="57"/>
  <c r="AI315" i="57"/>
  <c r="AI334" i="57"/>
  <c r="AI352" i="57"/>
  <c r="AI477" i="57"/>
  <c r="AI53" i="57"/>
  <c r="AI364" i="57"/>
  <c r="AI159" i="57"/>
  <c r="AI127" i="57"/>
  <c r="AI294" i="57"/>
  <c r="AI515" i="57"/>
  <c r="AI134" i="57"/>
  <c r="AI431" i="57"/>
  <c r="AI308" i="57"/>
  <c r="AI170" i="57"/>
  <c r="AI95" i="57"/>
  <c r="AI427" i="57"/>
  <c r="AI171" i="57"/>
  <c r="AI448" i="57"/>
  <c r="AI441" i="57"/>
  <c r="AI455" i="57"/>
  <c r="AI240" i="57"/>
  <c r="AI220" i="57"/>
  <c r="AI529" i="57"/>
  <c r="AI203" i="57"/>
  <c r="AI73" i="57"/>
  <c r="AI343" i="57"/>
  <c r="AI97" i="57"/>
  <c r="AI519" i="57"/>
  <c r="AI403" i="57"/>
  <c r="AI66" i="57"/>
  <c r="AI391" i="57"/>
  <c r="AI382" i="57"/>
  <c r="AI348" i="57"/>
  <c r="AI422" i="57"/>
  <c r="AI153" i="57"/>
  <c r="AI398" i="57"/>
  <c r="AI393" i="57"/>
  <c r="AI511" i="57"/>
  <c r="AI376" i="57"/>
  <c r="AI396" i="57"/>
  <c r="AI198" i="57"/>
  <c r="AI150" i="57"/>
  <c r="AI133" i="57"/>
  <c r="AI163" i="57"/>
  <c r="AI381" i="57"/>
  <c r="AI416" i="57"/>
  <c r="AI266" i="57"/>
  <c r="AI365" i="57"/>
  <c r="AI400" i="57"/>
  <c r="AI139" i="57"/>
  <c r="AI273" i="57"/>
  <c r="AI196" i="57"/>
  <c r="AD252" i="57"/>
  <c r="AD476" i="57"/>
  <c r="AI174" i="57"/>
  <c r="AI56" i="57"/>
  <c r="AI375" i="57"/>
  <c r="AD119" i="57"/>
  <c r="AI193" i="57"/>
  <c r="AD54" i="57"/>
  <c r="AD103" i="57"/>
  <c r="AI78" i="57"/>
  <c r="AI428" i="57"/>
  <c r="AI225" i="57"/>
  <c r="AI341" i="57"/>
  <c r="AD39" i="57"/>
  <c r="AD51" i="57"/>
  <c r="AD429" i="57"/>
  <c r="AI439" i="57"/>
  <c r="AD389" i="57"/>
  <c r="AD313" i="57"/>
  <c r="AI518" i="57"/>
  <c r="AD290" i="57"/>
  <c r="AD163" i="57"/>
  <c r="AI67" i="57"/>
  <c r="AD365" i="57"/>
  <c r="AD315" i="57"/>
  <c r="AI435" i="57"/>
  <c r="AI472" i="57"/>
  <c r="AI245" i="57"/>
  <c r="AD497" i="57"/>
  <c r="AG497" i="57"/>
  <c r="AI497" i="57" s="1"/>
  <c r="AD478" i="57"/>
  <c r="AD512" i="57"/>
  <c r="AD327" i="57"/>
  <c r="AD402" i="57"/>
  <c r="AD390" i="57"/>
  <c r="AI145" i="57"/>
  <c r="AD500" i="57"/>
  <c r="AD354" i="57"/>
  <c r="AD522" i="57"/>
  <c r="AD382" i="57"/>
  <c r="AI302" i="57"/>
  <c r="AD165" i="57"/>
  <c r="AD106" i="57"/>
  <c r="AD324" i="57"/>
  <c r="AI185" i="57"/>
  <c r="AD289" i="57"/>
  <c r="AD243" i="57"/>
  <c r="AI394" i="57"/>
  <c r="AI301" i="57"/>
  <c r="AD60" i="57"/>
  <c r="AI438" i="57"/>
  <c r="AI84" i="57"/>
  <c r="AD521" i="57"/>
  <c r="AI451" i="57"/>
  <c r="AI71" i="57"/>
  <c r="AI310" i="57"/>
  <c r="AD268" i="57"/>
  <c r="AD263" i="57"/>
  <c r="AI286" i="57"/>
  <c r="AD229" i="57"/>
  <c r="AI387" i="57"/>
  <c r="AI265" i="57"/>
  <c r="AD110" i="57"/>
  <c r="AI89" i="57"/>
  <c r="AI271" i="57"/>
  <c r="AD286" i="57"/>
  <c r="AD218" i="57"/>
  <c r="AD180" i="57"/>
  <c r="AD334" i="57"/>
  <c r="AI146" i="57"/>
  <c r="AD398" i="57"/>
  <c r="AI318" i="57"/>
  <c r="AI102" i="57"/>
  <c r="AD272" i="57"/>
  <c r="AI373" i="57"/>
  <c r="AI229" i="57"/>
  <c r="AD408" i="57"/>
  <c r="AD213" i="57"/>
  <c r="AD391" i="57"/>
  <c r="AI181" i="57"/>
  <c r="AD156" i="57"/>
  <c r="AI509" i="57"/>
  <c r="AI436" i="57"/>
  <c r="AD217" i="57"/>
  <c r="AD352" i="57"/>
  <c r="AD241" i="57"/>
  <c r="AD87" i="57"/>
  <c r="AD423" i="57"/>
  <c r="AI83" i="57"/>
  <c r="AI371" i="57"/>
  <c r="AI345" i="57"/>
  <c r="AD326" i="57"/>
  <c r="AD177" i="57"/>
  <c r="AI446" i="57"/>
  <c r="AI47" i="57"/>
  <c r="AD93" i="57"/>
  <c r="AI421" i="57"/>
  <c r="AG458" i="57"/>
  <c r="AI458" i="57" s="1"/>
  <c r="AI224" i="57"/>
  <c r="AD475" i="57"/>
  <c r="AI342" i="57"/>
  <c r="AE183" i="57"/>
  <c r="AI183" i="57"/>
  <c r="AD242" i="57"/>
  <c r="AI219" i="57"/>
  <c r="AD430" i="57"/>
  <c r="AI122" i="57"/>
  <c r="AI313" i="57"/>
  <c r="AD170" i="57"/>
  <c r="AI506" i="57"/>
  <c r="AI255" i="57"/>
  <c r="AI350" i="57"/>
  <c r="AI461" i="57"/>
  <c r="AI466" i="57"/>
  <c r="AI91" i="57"/>
  <c r="AI52" i="57"/>
  <c r="AD442" i="57"/>
  <c r="AG442" i="57"/>
  <c r="AI442" i="57" s="1"/>
  <c r="AD196" i="57"/>
  <c r="AD471" i="57"/>
  <c r="AI124" i="57"/>
  <c r="AD147" i="57"/>
  <c r="AD410" i="57"/>
  <c r="AD132" i="57"/>
  <c r="AI367" i="57"/>
  <c r="AD524" i="57"/>
  <c r="AD260" i="57"/>
  <c r="AI321" i="57"/>
  <c r="AD216" i="57"/>
  <c r="AD208" i="57"/>
  <c r="AD209" i="57"/>
  <c r="AD369" i="57"/>
  <c r="AD496" i="57"/>
  <c r="AD77" i="57"/>
  <c r="AI299" i="57"/>
  <c r="AD399" i="57"/>
  <c r="AI257" i="57"/>
  <c r="AI432" i="57"/>
  <c r="AG149" i="57"/>
  <c r="AI149" i="57" s="1"/>
  <c r="AD149" i="57"/>
  <c r="AD84" i="57"/>
  <c r="AD472" i="57"/>
  <c r="AI140" i="57"/>
  <c r="AI499" i="57"/>
  <c r="AD308" i="57"/>
  <c r="AG374" i="57"/>
  <c r="AI374" i="57" s="1"/>
  <c r="AD374" i="57"/>
  <c r="AD350" i="57"/>
  <c r="AD240" i="57"/>
  <c r="AD94" i="57"/>
  <c r="AI526" i="57"/>
  <c r="AI317" i="57"/>
  <c r="AD466" i="57"/>
  <c r="AD474" i="57"/>
  <c r="AD506" i="57"/>
  <c r="AD102" i="57"/>
  <c r="AD61" i="57"/>
  <c r="AD437" i="57"/>
  <c r="AG282" i="57"/>
  <c r="AI282" i="57" s="1"/>
  <c r="AD282" i="57"/>
  <c r="AI270" i="57"/>
  <c r="AD397" i="57"/>
  <c r="AD151" i="57"/>
  <c r="AD214" i="57"/>
  <c r="AI406" i="57"/>
  <c r="AG96" i="57"/>
  <c r="AI96" i="57" s="1"/>
  <c r="AD96" i="57"/>
  <c r="AD224" i="57"/>
  <c r="AI290" i="57"/>
  <c r="AG164" i="57"/>
  <c r="AI164" i="57" s="1"/>
  <c r="AD164" i="57"/>
  <c r="AI186" i="57"/>
  <c r="AD325" i="57"/>
  <c r="AI110" i="57"/>
  <c r="AI121" i="57"/>
  <c r="AD123" i="57"/>
  <c r="AD139" i="57"/>
  <c r="AD489" i="57"/>
  <c r="AI415" i="57"/>
  <c r="AI452" i="57"/>
  <c r="AI424" i="57"/>
  <c r="AI503" i="57"/>
  <c r="AI326" i="57"/>
  <c r="AI156" i="57"/>
  <c r="AI311" i="57"/>
  <c r="AD247" i="57"/>
  <c r="AD473" i="57"/>
  <c r="AD444" i="57"/>
  <c r="AD113" i="57"/>
  <c r="AI189" i="57"/>
  <c r="AI165" i="57"/>
  <c r="AD264" i="57"/>
  <c r="AG264" i="57"/>
  <c r="AI264" i="57" s="1"/>
  <c r="AI106" i="57"/>
  <c r="AI246" i="57"/>
  <c r="AI327" i="57"/>
  <c r="AI194" i="57"/>
  <c r="AI232" i="57"/>
  <c r="AD251" i="57"/>
  <c r="AD412" i="57"/>
  <c r="AD154" i="57"/>
  <c r="AD443" i="57"/>
  <c r="AD244" i="57"/>
  <c r="AG244" i="57"/>
  <c r="AI244" i="57" s="1"/>
  <c r="AD202" i="57"/>
  <c r="AI236" i="57"/>
  <c r="AD333" i="57"/>
  <c r="AD414" i="57"/>
  <c r="AI116" i="57"/>
  <c r="AG323" i="57"/>
  <c r="AI323" i="57" s="1"/>
  <c r="AD323" i="57"/>
  <c r="AD277" i="57"/>
  <c r="AI279" i="57"/>
  <c r="AD179" i="57"/>
  <c r="AI429" i="57"/>
  <c r="AI77" i="57"/>
  <c r="AD42" i="57"/>
  <c r="AD73" i="57"/>
  <c r="AD515" i="57"/>
  <c r="AD129" i="57"/>
  <c r="AD381" i="57"/>
  <c r="AD477" i="57"/>
  <c r="AI476" i="57"/>
  <c r="AI517" i="57"/>
  <c r="AG168" i="57"/>
  <c r="AI168" i="57" s="1"/>
  <c r="AD162" i="57"/>
  <c r="AI449" i="57"/>
  <c r="AD171" i="57"/>
  <c r="AD295" i="57"/>
  <c r="AD461" i="57"/>
  <c r="AD281" i="57"/>
  <c r="AI332" i="57"/>
  <c r="AD236" i="57"/>
  <c r="AI372" i="57"/>
  <c r="AI223" i="57"/>
  <c r="AI344" i="57"/>
  <c r="AG349" i="57"/>
  <c r="AI349" i="57" s="1"/>
  <c r="AD356" i="57"/>
  <c r="AG356" i="57"/>
  <c r="AI356" i="57" s="1"/>
  <c r="AD470" i="57"/>
  <c r="AG470" i="57"/>
  <c r="AI470" i="57" s="1"/>
  <c r="AI335" i="57"/>
  <c r="AI297" i="57"/>
  <c r="AI357" i="57"/>
  <c r="AI433" i="57"/>
  <c r="AI492" i="57"/>
  <c r="AG81" i="57"/>
  <c r="AI81" i="57" s="1"/>
  <c r="AD81" i="57"/>
  <c r="AI57" i="57"/>
  <c r="AD385" i="57"/>
  <c r="AD210" i="57"/>
  <c r="AD46" i="57"/>
  <c r="AD300" i="57"/>
  <c r="AD220" i="57"/>
  <c r="AD359" i="57"/>
  <c r="AD479" i="57"/>
  <c r="AI248" i="57"/>
  <c r="AD228" i="57"/>
  <c r="AD499" i="57"/>
  <c r="AD513" i="57"/>
  <c r="AD432" i="57"/>
  <c r="AG76" i="57"/>
  <c r="AI76" i="57" s="1"/>
  <c r="AD76" i="57"/>
  <c r="AD377" i="57"/>
  <c r="AG377" i="57"/>
  <c r="AI377" i="57" s="1"/>
  <c r="AD65" i="57"/>
  <c r="AI111" i="57"/>
  <c r="AI490" i="57"/>
  <c r="AD187" i="57"/>
  <c r="AG187" i="57"/>
  <c r="AI187" i="57" s="1"/>
  <c r="AG221" i="57"/>
  <c r="AI221" i="57" s="1"/>
  <c r="AD221" i="57"/>
  <c r="AG480" i="57"/>
  <c r="AI480" i="57" s="1"/>
  <c r="AD480" i="57"/>
  <c r="AG331" i="57"/>
  <c r="AI331" i="57" s="1"/>
  <c r="AD331" i="57"/>
  <c r="AG407" i="57"/>
  <c r="AI407" i="57" s="1"/>
  <c r="AD407" i="57"/>
  <c r="AD425" i="57"/>
  <c r="AI314" i="57"/>
  <c r="AI324" i="57"/>
  <c r="AI37" i="57"/>
  <c r="AG493" i="57"/>
  <c r="AI493" i="57" s="1"/>
  <c r="AD493" i="57"/>
  <c r="AI494" i="57"/>
  <c r="AI182" i="57"/>
  <c r="AI120" i="57"/>
  <c r="AI155" i="57"/>
  <c r="AG459" i="57"/>
  <c r="AI459" i="57" s="1"/>
  <c r="AD459" i="57"/>
  <c r="AI217" i="57"/>
  <c r="AD344" i="57"/>
  <c r="AI306" i="57"/>
  <c r="AI115" i="57"/>
  <c r="AI521" i="57"/>
  <c r="AE79" i="57"/>
  <c r="AI79" i="57"/>
  <c r="AI336" i="57"/>
  <c r="AE502" i="57"/>
  <c r="AI502" i="57"/>
  <c r="AI289" i="57"/>
  <c r="AD488" i="57"/>
  <c r="AG488" i="57"/>
  <c r="AI488" i="57" s="1"/>
  <c r="AG231" i="57"/>
  <c r="AI231" i="57" s="1"/>
  <c r="AD231" i="57"/>
  <c r="AH458" i="57"/>
  <c r="AH126" i="57"/>
  <c r="AI483" i="57"/>
  <c r="AG172" i="57"/>
  <c r="AI172" i="57" s="1"/>
  <c r="AD172" i="57"/>
  <c r="AG192" i="57"/>
  <c r="AI192" i="57" s="1"/>
  <c r="AD192" i="57"/>
  <c r="AD160" i="57"/>
  <c r="AG160" i="57"/>
  <c r="AI160" i="57" s="1"/>
  <c r="AD299" i="57"/>
  <c r="AD80" i="57"/>
  <c r="AD100" i="57"/>
  <c r="AG100" i="57"/>
  <c r="AI100" i="57" s="1"/>
  <c r="AG222" i="57"/>
  <c r="AI222" i="57" s="1"/>
  <c r="AD222" i="57"/>
  <c r="AI191" i="57"/>
  <c r="AG361" i="57"/>
  <c r="AI361" i="57" s="1"/>
  <c r="AD361" i="57"/>
  <c r="AD66" i="57"/>
  <c r="AI131" i="57"/>
  <c r="AE522" i="57"/>
  <c r="AI522" i="57"/>
  <c r="AD486" i="57"/>
  <c r="AD101" i="57"/>
  <c r="AG392" i="57"/>
  <c r="AI392" i="57" s="1"/>
  <c r="AD392" i="57"/>
  <c r="AI202" i="57"/>
  <c r="AD384" i="57"/>
  <c r="AG384" i="57"/>
  <c r="AI384" i="57" s="1"/>
  <c r="AI414" i="57"/>
  <c r="AI114" i="57"/>
  <c r="AI108" i="57"/>
  <c r="AG464" i="57"/>
  <c r="AI464" i="57" s="1"/>
  <c r="AD464" i="57"/>
  <c r="AG36" i="57"/>
  <c r="AI36" i="57" s="1"/>
  <c r="AD36" i="57"/>
  <c r="AI207" i="57"/>
  <c r="AI278" i="57"/>
  <c r="AH138" i="57"/>
  <c r="AC534" i="57"/>
  <c r="G20" i="57" s="1"/>
  <c r="Z20" i="57" s="1"/>
  <c r="AD452" i="57"/>
  <c r="AI204" i="57"/>
  <c r="AD400" i="57"/>
  <c r="AD83" i="57"/>
  <c r="AI478" i="57"/>
  <c r="AI514" i="57"/>
  <c r="AG495" i="57"/>
  <c r="AI495" i="57" s="1"/>
  <c r="AD495" i="57"/>
  <c r="AD394" i="57"/>
  <c r="AI486" i="57"/>
  <c r="AD50" i="57"/>
  <c r="AD481" i="57"/>
  <c r="AG481" i="57"/>
  <c r="AI481" i="57" s="1"/>
  <c r="AD328" i="57"/>
  <c r="AG328" i="57"/>
  <c r="AI328" i="57" s="1"/>
  <c r="AD301" i="57"/>
  <c r="AI74" i="57"/>
  <c r="AG167" i="57"/>
  <c r="AI167" i="57" s="1"/>
  <c r="AD167" i="57"/>
  <c r="AH82" i="57"/>
  <c r="AH62" i="57"/>
  <c r="AD338" i="57"/>
  <c r="AD287" i="57"/>
  <c r="AI154" i="57"/>
  <c r="AG148" i="57"/>
  <c r="AI148" i="57" s="1"/>
  <c r="AD148" i="57"/>
  <c r="AG227" i="57"/>
  <c r="AI227" i="57" s="1"/>
  <c r="AD227" i="57"/>
  <c r="AI295" i="57"/>
  <c r="AI359" i="57"/>
  <c r="AD409" i="57"/>
  <c r="AI176" i="57"/>
  <c r="AI152" i="57"/>
  <c r="AH530" i="57"/>
  <c r="AH151" i="57"/>
  <c r="AH77" i="57"/>
  <c r="AH37" i="57"/>
  <c r="AH146" i="57"/>
  <c r="AH168" i="57"/>
  <c r="AH153" i="57"/>
  <c r="AH46" i="57"/>
  <c r="AH145" i="57"/>
  <c r="AH174" i="57"/>
  <c r="AH164" i="57"/>
  <c r="AH470" i="57"/>
  <c r="AH422" i="57"/>
  <c r="AH486" i="57"/>
  <c r="AH401" i="57"/>
  <c r="AH436" i="57"/>
  <c r="AH199" i="57"/>
  <c r="AH415" i="57"/>
  <c r="AH512" i="57"/>
  <c r="AH119" i="57"/>
  <c r="AH292" i="57"/>
  <c r="AH228" i="57"/>
  <c r="AH202" i="57"/>
  <c r="AH356" i="57"/>
  <c r="AH198" i="57"/>
  <c r="AH114" i="57"/>
  <c r="AH87" i="57"/>
  <c r="AH56" i="57"/>
  <c r="AH249" i="57"/>
  <c r="AH440" i="57"/>
  <c r="AH466" i="57"/>
  <c r="AH396" i="57"/>
  <c r="AH235" i="57"/>
  <c r="AH497" i="57"/>
  <c r="AH208" i="57"/>
  <c r="AH473" i="57"/>
  <c r="AH95" i="57"/>
  <c r="AH532" i="57"/>
  <c r="AH243" i="57"/>
  <c r="AH296" i="57"/>
  <c r="AH449" i="57"/>
  <c r="AH259" i="57"/>
  <c r="AH462" i="57"/>
  <c r="AH203" i="57"/>
  <c r="AH161" i="57"/>
  <c r="AH182" i="57"/>
  <c r="AH525" i="57"/>
  <c r="AH364" i="57"/>
  <c r="AH334" i="57"/>
  <c r="AH289" i="57"/>
  <c r="AH460" i="57"/>
  <c r="AH479" i="57"/>
  <c r="AH434" i="57"/>
  <c r="AH495" i="57"/>
  <c r="AH491" i="57"/>
  <c r="AH451" i="57"/>
  <c r="AH218" i="57"/>
  <c r="AH352" i="57"/>
  <c r="AH533" i="57"/>
  <c r="AH286" i="57"/>
  <c r="AH459" i="57"/>
  <c r="AH269" i="57"/>
  <c r="AH339" i="57"/>
  <c r="AH238" i="57"/>
  <c r="AH279" i="57"/>
  <c r="AH188" i="57"/>
  <c r="AH320" i="57"/>
  <c r="AH410" i="57"/>
  <c r="AH287" i="57"/>
  <c r="AH313" i="57"/>
  <c r="AH326" i="57"/>
  <c r="AH179" i="57"/>
  <c r="AH445" i="57"/>
  <c r="AH74" i="57"/>
  <c r="AH97" i="57"/>
  <c r="AH103" i="57"/>
  <c r="AH132" i="57"/>
  <c r="AH72" i="57"/>
  <c r="AH140" i="57"/>
  <c r="AH353" i="57"/>
  <c r="AH214" i="57"/>
  <c r="AH159" i="57"/>
  <c r="AH347" i="57"/>
  <c r="AH229" i="57"/>
  <c r="AH370" i="57"/>
  <c r="AH256" i="57"/>
  <c r="AH257" i="57"/>
  <c r="AH505" i="57"/>
  <c r="AH84" i="57"/>
  <c r="AH189" i="57"/>
  <c r="AH106" i="57"/>
  <c r="AH303" i="57"/>
  <c r="AH467" i="57"/>
  <c r="AH340" i="57"/>
  <c r="AH395" i="57"/>
  <c r="AH481" i="57"/>
  <c r="AH147" i="57"/>
  <c r="AH338" i="57"/>
  <c r="AH461" i="57"/>
  <c r="AH130" i="57"/>
  <c r="AH488" i="57"/>
  <c r="AH442" i="57"/>
  <c r="AH493" i="57"/>
  <c r="AH131" i="57"/>
  <c r="AH332" i="57"/>
  <c r="AH394" i="57"/>
  <c r="AH321" i="57"/>
  <c r="AH107" i="57"/>
  <c r="AH290" i="57"/>
  <c r="AH515" i="57"/>
  <c r="AH441" i="57"/>
  <c r="AH317" i="57"/>
  <c r="AH109" i="57"/>
  <c r="AH75" i="57"/>
  <c r="AH397" i="57"/>
  <c r="AH263" i="57"/>
  <c r="AH523" i="57"/>
  <c r="AH136" i="57"/>
  <c r="AH416" i="57"/>
  <c r="AH465" i="57"/>
  <c r="AH252" i="57"/>
  <c r="AH414" i="57"/>
  <c r="AH59" i="57"/>
  <c r="AH524" i="57"/>
  <c r="AH223" i="57"/>
  <c r="AH122" i="57"/>
  <c r="AH254" i="57"/>
  <c r="AH502" i="57"/>
  <c r="AH345" i="57"/>
  <c r="AH413" i="57"/>
  <c r="AH40" i="57"/>
  <c r="AH341" i="57"/>
  <c r="AD33" i="44"/>
  <c r="AD34" i="44"/>
  <c r="AD35" i="44"/>
  <c r="AD36" i="44"/>
  <c r="AD37" i="44"/>
  <c r="AD38" i="44"/>
  <c r="AD39" i="44"/>
  <c r="AD40" i="44"/>
  <c r="AD41" i="44"/>
  <c r="AD42" i="44"/>
  <c r="AD43" i="44"/>
  <c r="AD44" i="44"/>
  <c r="AD45" i="44"/>
  <c r="AD46" i="44"/>
  <c r="AD47" i="44"/>
  <c r="AD48" i="44"/>
  <c r="AD49" i="44"/>
  <c r="AD50" i="44"/>
  <c r="AD51" i="44"/>
  <c r="AD52" i="44"/>
  <c r="AD53" i="44"/>
  <c r="AD54" i="44"/>
  <c r="AD55" i="44"/>
  <c r="AD56" i="44"/>
  <c r="AD57" i="44"/>
  <c r="AD58" i="44"/>
  <c r="AD59" i="44"/>
  <c r="AD60" i="44"/>
  <c r="AD61" i="44"/>
  <c r="AD62" i="44"/>
  <c r="AD63" i="44"/>
  <c r="AD64" i="44"/>
  <c r="AD65" i="44"/>
  <c r="AD66" i="44"/>
  <c r="AD67" i="44"/>
  <c r="AD68" i="44"/>
  <c r="AD69" i="44"/>
  <c r="AD70" i="44"/>
  <c r="AD71" i="44"/>
  <c r="AD72" i="44"/>
  <c r="AD73" i="44"/>
  <c r="AD74" i="44"/>
  <c r="AD75" i="44"/>
  <c r="AD76" i="44"/>
  <c r="AD77" i="44"/>
  <c r="E8" i="13"/>
  <c r="E7" i="13"/>
  <c r="E6" i="13"/>
  <c r="E5" i="13"/>
  <c r="E4" i="13"/>
  <c r="D8" i="13"/>
  <c r="D7" i="13"/>
  <c r="D6" i="13"/>
  <c r="D5" i="13"/>
  <c r="D4" i="13"/>
  <c r="C8" i="13"/>
  <c r="C7" i="13"/>
  <c r="C6" i="13"/>
  <c r="C5" i="13"/>
  <c r="C4" i="13"/>
  <c r="E6" i="12"/>
  <c r="D6" i="12"/>
  <c r="C6" i="12"/>
  <c r="C5" i="12"/>
  <c r="D5" i="12"/>
  <c r="E5" i="12"/>
  <c r="E4" i="12"/>
  <c r="C4" i="12"/>
  <c r="D4" i="12"/>
  <c r="G11" i="48"/>
  <c r="G12" i="48"/>
  <c r="G13" i="48"/>
  <c r="G14" i="48"/>
  <c r="G15" i="48"/>
  <c r="G16" i="48"/>
  <c r="G17" i="48"/>
  <c r="G18" i="48"/>
  <c r="G19" i="48"/>
  <c r="G20" i="48"/>
  <c r="G21" i="48"/>
  <c r="G22" i="48"/>
  <c r="G23" i="48"/>
  <c r="G24" i="48"/>
  <c r="G25" i="48"/>
  <c r="G26" i="48"/>
  <c r="G27" i="48"/>
  <c r="G28" i="48"/>
  <c r="G29" i="48"/>
  <c r="G30" i="48"/>
  <c r="G31" i="48"/>
  <c r="G32" i="48"/>
  <c r="G33" i="48"/>
  <c r="G34" i="48"/>
  <c r="G35" i="48"/>
  <c r="G36" i="48"/>
  <c r="G37" i="48"/>
  <c r="G38" i="48"/>
  <c r="G39" i="48"/>
  <c r="G40" i="48"/>
  <c r="G41" i="48"/>
  <c r="G42" i="48"/>
  <c r="G43" i="48"/>
  <c r="G44" i="48"/>
  <c r="G45" i="48"/>
  <c r="G46" i="48"/>
  <c r="G47" i="48"/>
  <c r="G48" i="48"/>
  <c r="G49" i="48"/>
  <c r="G50" i="48"/>
  <c r="G51" i="48"/>
  <c r="G52" i="48"/>
  <c r="G53" i="48"/>
  <c r="G54" i="48"/>
  <c r="G55" i="48"/>
  <c r="G56" i="48"/>
  <c r="G57" i="48"/>
  <c r="G58" i="48"/>
  <c r="G59" i="48"/>
  <c r="F11" i="48"/>
  <c r="F12" i="48"/>
  <c r="F13" i="48"/>
  <c r="F14" i="48"/>
  <c r="F15" i="48"/>
  <c r="F16" i="48"/>
  <c r="F17" i="48"/>
  <c r="F18" i="48"/>
  <c r="F19" i="48"/>
  <c r="F20" i="48"/>
  <c r="F21" i="48"/>
  <c r="F22" i="48"/>
  <c r="F23" i="48"/>
  <c r="F24" i="48"/>
  <c r="F25" i="48"/>
  <c r="F26" i="48"/>
  <c r="F27" i="48"/>
  <c r="F28" i="48"/>
  <c r="F29" i="48"/>
  <c r="F30" i="48"/>
  <c r="F31" i="48"/>
  <c r="F32" i="48"/>
  <c r="F33" i="48"/>
  <c r="F34" i="48"/>
  <c r="F35" i="48"/>
  <c r="F36" i="48"/>
  <c r="F37" i="48"/>
  <c r="F38" i="48"/>
  <c r="F39" i="48"/>
  <c r="F40" i="48"/>
  <c r="F41" i="48"/>
  <c r="F42" i="48"/>
  <c r="F43" i="48"/>
  <c r="F44" i="48"/>
  <c r="F45" i="48"/>
  <c r="F46" i="48"/>
  <c r="F47" i="48"/>
  <c r="F48" i="48"/>
  <c r="F49" i="48"/>
  <c r="F50" i="48"/>
  <c r="F51" i="48"/>
  <c r="F52" i="48"/>
  <c r="F53" i="48"/>
  <c r="F54" i="48"/>
  <c r="F55" i="48"/>
  <c r="F56" i="48"/>
  <c r="F57" i="48"/>
  <c r="F58" i="48"/>
  <c r="F59" i="48"/>
  <c r="F10" i="48"/>
  <c r="E11" i="48"/>
  <c r="E12" i="48"/>
  <c r="E13" i="48"/>
  <c r="E14" i="48"/>
  <c r="E15" i="48"/>
  <c r="E16" i="48"/>
  <c r="E17" i="48"/>
  <c r="E18" i="48"/>
  <c r="E19" i="48"/>
  <c r="E20" i="48"/>
  <c r="E21" i="48"/>
  <c r="E22" i="48"/>
  <c r="E23" i="48"/>
  <c r="E24" i="48"/>
  <c r="E25" i="48"/>
  <c r="E26" i="48"/>
  <c r="E27" i="48"/>
  <c r="E28" i="48"/>
  <c r="E29" i="48"/>
  <c r="E30" i="48"/>
  <c r="E31" i="48"/>
  <c r="E32" i="48"/>
  <c r="E33" i="48"/>
  <c r="E34" i="48"/>
  <c r="E35" i="48"/>
  <c r="E36" i="48"/>
  <c r="E37" i="48"/>
  <c r="E38" i="48"/>
  <c r="E39" i="48"/>
  <c r="E40" i="48"/>
  <c r="E41" i="48"/>
  <c r="E42" i="48"/>
  <c r="E43" i="48"/>
  <c r="E44" i="48"/>
  <c r="E45" i="48"/>
  <c r="E46" i="48"/>
  <c r="E47" i="48"/>
  <c r="E48" i="48"/>
  <c r="E49" i="48"/>
  <c r="E50" i="48"/>
  <c r="E51" i="48"/>
  <c r="E52" i="48"/>
  <c r="E53" i="48"/>
  <c r="E54" i="48"/>
  <c r="E55" i="48"/>
  <c r="E56" i="48"/>
  <c r="E57" i="48"/>
  <c r="E58" i="48"/>
  <c r="E59" i="48"/>
  <c r="E10" i="48"/>
  <c r="D11" i="48"/>
  <c r="D12" i="48"/>
  <c r="D13" i="48"/>
  <c r="D14" i="48"/>
  <c r="D15" i="48"/>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6" i="48"/>
  <c r="D47" i="48"/>
  <c r="D48" i="48"/>
  <c r="D49" i="48"/>
  <c r="D50" i="48"/>
  <c r="D51" i="48"/>
  <c r="D52" i="48"/>
  <c r="D53" i="48"/>
  <c r="D54" i="48"/>
  <c r="D55" i="48"/>
  <c r="D56" i="48"/>
  <c r="D57" i="48"/>
  <c r="D58" i="48"/>
  <c r="D59" i="48"/>
  <c r="D10" i="48"/>
  <c r="C11" i="48"/>
  <c r="C12" i="48"/>
  <c r="C13" i="48"/>
  <c r="C14" i="48"/>
  <c r="C15" i="48"/>
  <c r="C16" i="48"/>
  <c r="C17" i="48"/>
  <c r="C18" i="48"/>
  <c r="C19" i="48"/>
  <c r="C20" i="48"/>
  <c r="C21" i="48"/>
  <c r="C22" i="48"/>
  <c r="C23" i="48"/>
  <c r="C24" i="48"/>
  <c r="C25" i="48"/>
  <c r="C26" i="48"/>
  <c r="C27" i="48"/>
  <c r="C28" i="48"/>
  <c r="C29" i="48"/>
  <c r="C30" i="48"/>
  <c r="C31" i="48"/>
  <c r="C32" i="48"/>
  <c r="C33" i="48"/>
  <c r="C34" i="48"/>
  <c r="C35" i="48"/>
  <c r="C36" i="48"/>
  <c r="C37" i="48"/>
  <c r="C38" i="48"/>
  <c r="C39" i="48"/>
  <c r="C40" i="48"/>
  <c r="C41" i="48"/>
  <c r="C42" i="48"/>
  <c r="C43" i="48"/>
  <c r="C44" i="48"/>
  <c r="C45" i="48"/>
  <c r="C46" i="48"/>
  <c r="C47" i="48"/>
  <c r="C48" i="48"/>
  <c r="C49" i="48"/>
  <c r="C50" i="48"/>
  <c r="C51" i="48"/>
  <c r="C52" i="48"/>
  <c r="C53" i="48"/>
  <c r="C54" i="48"/>
  <c r="C55" i="48"/>
  <c r="C56" i="48"/>
  <c r="C57" i="48"/>
  <c r="C58" i="48"/>
  <c r="C59" i="48"/>
  <c r="C10" i="48"/>
  <c r="F9" i="48"/>
  <c r="G7" i="48"/>
  <c r="G6" i="48"/>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G78" i="44"/>
  <c r="G7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C11" i="47"/>
  <c r="D11" i="47"/>
  <c r="C12" i="47"/>
  <c r="D12" i="47"/>
  <c r="C13" i="47"/>
  <c r="D13" i="47"/>
  <c r="C14" i="47"/>
  <c r="D14" i="47"/>
  <c r="C15" i="47"/>
  <c r="D15" i="47"/>
  <c r="C16" i="47"/>
  <c r="D16" i="47"/>
  <c r="C17" i="47"/>
  <c r="D17" i="47"/>
  <c r="C18" i="47"/>
  <c r="D18" i="47"/>
  <c r="C19" i="47"/>
  <c r="D19" i="47"/>
  <c r="C20" i="47"/>
  <c r="D20" i="47"/>
  <c r="C21" i="47"/>
  <c r="D21" i="47"/>
  <c r="C22" i="47"/>
  <c r="D22" i="47"/>
  <c r="C23" i="47"/>
  <c r="D23" i="47"/>
  <c r="C24" i="47"/>
  <c r="D24" i="47"/>
  <c r="C25" i="47"/>
  <c r="D25" i="47"/>
  <c r="C26" i="47"/>
  <c r="D26" i="47"/>
  <c r="C27" i="47"/>
  <c r="D27" i="47"/>
  <c r="C28" i="47"/>
  <c r="D28" i="47"/>
  <c r="C29" i="47"/>
  <c r="D29" i="47"/>
  <c r="C30" i="47"/>
  <c r="D30" i="47"/>
  <c r="C31" i="47"/>
  <c r="D31" i="47"/>
  <c r="C32" i="47"/>
  <c r="D32" i="47"/>
  <c r="C33" i="47"/>
  <c r="D33" i="47"/>
  <c r="C34" i="47"/>
  <c r="D34" i="47"/>
  <c r="C35" i="47"/>
  <c r="D35" i="47"/>
  <c r="C36" i="47"/>
  <c r="D36" i="47"/>
  <c r="C37" i="47"/>
  <c r="D37" i="47"/>
  <c r="C38" i="47"/>
  <c r="D38" i="47"/>
  <c r="C39" i="47"/>
  <c r="D39" i="47"/>
  <c r="C40" i="47"/>
  <c r="D40" i="47"/>
  <c r="C41" i="47"/>
  <c r="D41" i="47"/>
  <c r="C42" i="47"/>
  <c r="D42" i="47"/>
  <c r="C43" i="47"/>
  <c r="D43" i="47"/>
  <c r="C44" i="47"/>
  <c r="D44" i="47"/>
  <c r="C45" i="47"/>
  <c r="D45" i="47"/>
  <c r="C46" i="47"/>
  <c r="D46" i="47"/>
  <c r="C47" i="47"/>
  <c r="D47" i="47"/>
  <c r="C48" i="47"/>
  <c r="D48" i="47"/>
  <c r="C49" i="47"/>
  <c r="D49" i="47"/>
  <c r="C50" i="47"/>
  <c r="D50" i="47"/>
  <c r="C51" i="47"/>
  <c r="D51" i="47"/>
  <c r="C52" i="47"/>
  <c r="D52" i="47"/>
  <c r="C53" i="47"/>
  <c r="D53" i="47"/>
  <c r="C54" i="47"/>
  <c r="D54" i="47"/>
  <c r="C55" i="47"/>
  <c r="D55" i="47"/>
  <c r="C56" i="47"/>
  <c r="D56" i="47"/>
  <c r="C57" i="47"/>
  <c r="D57" i="47"/>
  <c r="C58" i="47"/>
  <c r="D58" i="47"/>
  <c r="C59" i="47"/>
  <c r="D59" i="47"/>
  <c r="D10" i="47"/>
  <c r="C10" i="47"/>
  <c r="E11" i="47"/>
  <c r="E12" i="47"/>
  <c r="E13" i="47"/>
  <c r="E14" i="47"/>
  <c r="E15" i="47"/>
  <c r="E16" i="47"/>
  <c r="E17" i="47"/>
  <c r="E18" i="47"/>
  <c r="E19" i="47"/>
  <c r="E20" i="47"/>
  <c r="E21" i="47"/>
  <c r="E22" i="47"/>
  <c r="E23" i="47"/>
  <c r="E24" i="47"/>
  <c r="E25" i="47"/>
  <c r="E26" i="47"/>
  <c r="E27" i="47"/>
  <c r="E28" i="47"/>
  <c r="E29" i="47"/>
  <c r="E30" i="47"/>
  <c r="E31" i="47"/>
  <c r="E32" i="47"/>
  <c r="E33" i="47"/>
  <c r="E34" i="47"/>
  <c r="E35" i="47"/>
  <c r="E36" i="47"/>
  <c r="E37" i="47"/>
  <c r="E38" i="47"/>
  <c r="E39" i="47"/>
  <c r="E40" i="47"/>
  <c r="E41" i="47"/>
  <c r="E42" i="47"/>
  <c r="E43" i="47"/>
  <c r="E44" i="47"/>
  <c r="E45" i="47"/>
  <c r="E46" i="47"/>
  <c r="E47" i="47"/>
  <c r="E48" i="47"/>
  <c r="E49" i="47"/>
  <c r="E50" i="47"/>
  <c r="E51" i="47"/>
  <c r="E52" i="47"/>
  <c r="E53" i="47"/>
  <c r="E54" i="47"/>
  <c r="E55" i="47"/>
  <c r="E56" i="47"/>
  <c r="E57" i="47"/>
  <c r="E58" i="47"/>
  <c r="E59" i="47"/>
  <c r="E10" i="47"/>
  <c r="G11" i="47"/>
  <c r="G12" i="47"/>
  <c r="G13" i="47"/>
  <c r="G14" i="47"/>
  <c r="G15" i="47"/>
  <c r="G16" i="47"/>
  <c r="G17" i="47"/>
  <c r="G18" i="47"/>
  <c r="G19" i="47"/>
  <c r="G20"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50" i="47"/>
  <c r="G51" i="47"/>
  <c r="G52" i="47"/>
  <c r="G53" i="47"/>
  <c r="G54" i="47"/>
  <c r="G55" i="47"/>
  <c r="G56" i="47"/>
  <c r="G57" i="47"/>
  <c r="G58" i="47"/>
  <c r="G59" i="47"/>
  <c r="G10" i="47"/>
  <c r="F11" i="47"/>
  <c r="F12" i="47"/>
  <c r="F13" i="47"/>
  <c r="F14" i="47"/>
  <c r="F15" i="47"/>
  <c r="F16" i="47"/>
  <c r="F17" i="47"/>
  <c r="F18" i="47"/>
  <c r="F19" i="47"/>
  <c r="F20" i="47"/>
  <c r="F21" i="47"/>
  <c r="F22" i="47"/>
  <c r="F23" i="47"/>
  <c r="F24" i="47"/>
  <c r="F25" i="47"/>
  <c r="F26" i="47"/>
  <c r="F27" i="47"/>
  <c r="F28" i="47"/>
  <c r="F29" i="47"/>
  <c r="F30" i="47"/>
  <c r="F31" i="47"/>
  <c r="F32" i="47"/>
  <c r="F33" i="47"/>
  <c r="F34" i="47"/>
  <c r="F35" i="47"/>
  <c r="F36" i="47"/>
  <c r="F37" i="47"/>
  <c r="F38" i="47"/>
  <c r="F39" i="47"/>
  <c r="F40" i="47"/>
  <c r="F41" i="47"/>
  <c r="F42" i="47"/>
  <c r="F43" i="47"/>
  <c r="F44" i="47"/>
  <c r="F45" i="47"/>
  <c r="F46" i="47"/>
  <c r="F47" i="47"/>
  <c r="F48" i="47"/>
  <c r="F49" i="47"/>
  <c r="F50" i="47"/>
  <c r="F51" i="47"/>
  <c r="F52" i="47"/>
  <c r="F53" i="47"/>
  <c r="F54" i="47"/>
  <c r="F55" i="47"/>
  <c r="F56" i="47"/>
  <c r="F57" i="47"/>
  <c r="F58" i="47"/>
  <c r="F59" i="47"/>
  <c r="F10" i="47"/>
  <c r="F9" i="47"/>
  <c r="G7" i="47"/>
  <c r="G6" i="47"/>
  <c r="E31" i="46"/>
  <c r="D5" i="46"/>
  <c r="D20" i="46" s="1"/>
  <c r="AF534" i="57" l="1"/>
  <c r="AI45" i="57"/>
  <c r="AI534" i="57" s="1"/>
  <c r="D17" i="46"/>
  <c r="D18" i="46"/>
  <c r="F14" i="46"/>
  <c r="F16" i="46"/>
  <c r="F17" i="46"/>
  <c r="AN136" i="57"/>
  <c r="AE534" i="57"/>
  <c r="G21" i="57" s="1"/>
  <c r="Z21" i="57" s="1"/>
  <c r="AD534" i="57"/>
  <c r="AG534" i="57"/>
  <c r="AN135" i="57"/>
  <c r="AH534" i="57"/>
  <c r="F18" i="46"/>
  <c r="D7" i="46"/>
  <c r="D7" i="48" s="1"/>
  <c r="F19" i="46"/>
  <c r="I5" i="46"/>
  <c r="G5" i="48" s="1"/>
  <c r="F20" i="46"/>
  <c r="D5" i="48"/>
  <c r="D14" i="46"/>
  <c r="D15" i="46"/>
  <c r="D16" i="46"/>
  <c r="D19" i="46"/>
  <c r="D6" i="46"/>
  <c r="D6" i="48" s="1"/>
  <c r="H27" i="44"/>
  <c r="O29" i="44"/>
  <c r="O30" i="44"/>
  <c r="O31" i="44"/>
  <c r="O32" i="44"/>
  <c r="O33" i="44"/>
  <c r="O34" i="44"/>
  <c r="O35" i="44"/>
  <c r="O36" i="44"/>
  <c r="O37" i="44"/>
  <c r="O38" i="44"/>
  <c r="O39" i="44"/>
  <c r="O40" i="44"/>
  <c r="O41" i="44"/>
  <c r="O42" i="44"/>
  <c r="O43" i="44"/>
  <c r="O44" i="44"/>
  <c r="O45" i="44"/>
  <c r="O46" i="44"/>
  <c r="O47" i="44"/>
  <c r="O48" i="44"/>
  <c r="O49" i="44"/>
  <c r="O50" i="44"/>
  <c r="O51" i="44"/>
  <c r="O52" i="44"/>
  <c r="O53" i="44"/>
  <c r="O54" i="44"/>
  <c r="O55" i="44"/>
  <c r="O56" i="44"/>
  <c r="O57" i="44"/>
  <c r="O58" i="44"/>
  <c r="O59" i="44"/>
  <c r="O60" i="44"/>
  <c r="O61" i="44"/>
  <c r="O62" i="44"/>
  <c r="O63" i="44"/>
  <c r="O64" i="44"/>
  <c r="O65" i="44"/>
  <c r="O66" i="44"/>
  <c r="O67" i="44"/>
  <c r="O68" i="44"/>
  <c r="O69" i="44"/>
  <c r="O70" i="44"/>
  <c r="O71" i="44"/>
  <c r="O72" i="44"/>
  <c r="O73" i="44"/>
  <c r="O74" i="44"/>
  <c r="O75" i="44"/>
  <c r="O76" i="44"/>
  <c r="O77" i="44"/>
  <c r="O28" i="44"/>
  <c r="D2" i="44"/>
  <c r="D21" i="46" s="1"/>
  <c r="O28" i="1"/>
  <c r="D2" i="1"/>
  <c r="D21" i="33" s="1"/>
  <c r="D84" i="44"/>
  <c r="AB77" i="44"/>
  <c r="AA77" i="44"/>
  <c r="Z77" i="44"/>
  <c r="W77" i="44"/>
  <c r="S77" i="44"/>
  <c r="P77" i="44"/>
  <c r="N77" i="44"/>
  <c r="M77" i="44"/>
  <c r="L77" i="44"/>
  <c r="K77" i="44"/>
  <c r="J77" i="44"/>
  <c r="AB76" i="44"/>
  <c r="AA76" i="44"/>
  <c r="Z76" i="44"/>
  <c r="W76" i="44"/>
  <c r="S76" i="44"/>
  <c r="P76" i="44"/>
  <c r="N76" i="44"/>
  <c r="M76" i="44"/>
  <c r="L76" i="44"/>
  <c r="K76" i="44"/>
  <c r="J76" i="44"/>
  <c r="AB75" i="44"/>
  <c r="AA75" i="44"/>
  <c r="Z75" i="44"/>
  <c r="W75" i="44"/>
  <c r="S75" i="44"/>
  <c r="P75" i="44"/>
  <c r="N75" i="44"/>
  <c r="M75" i="44"/>
  <c r="L75" i="44"/>
  <c r="K75" i="44"/>
  <c r="J75" i="44"/>
  <c r="AB74" i="44"/>
  <c r="AA74" i="44"/>
  <c r="Z74" i="44"/>
  <c r="W74" i="44"/>
  <c r="S74" i="44"/>
  <c r="P74" i="44"/>
  <c r="N74" i="44"/>
  <c r="M74" i="44"/>
  <c r="L74" i="44"/>
  <c r="K74" i="44"/>
  <c r="J74" i="44"/>
  <c r="AB73" i="44"/>
  <c r="AA73" i="44"/>
  <c r="Z73" i="44"/>
  <c r="W73" i="44"/>
  <c r="S73" i="44"/>
  <c r="P73" i="44"/>
  <c r="N73" i="44"/>
  <c r="M73" i="44"/>
  <c r="L73" i="44"/>
  <c r="K73" i="44"/>
  <c r="J73" i="44"/>
  <c r="AB72" i="44"/>
  <c r="AA72" i="44"/>
  <c r="Z72" i="44"/>
  <c r="W72" i="44"/>
  <c r="S72" i="44"/>
  <c r="P72" i="44"/>
  <c r="N72" i="44"/>
  <c r="M72" i="44"/>
  <c r="L72" i="44"/>
  <c r="K72" i="44"/>
  <c r="J72" i="44"/>
  <c r="AB71" i="44"/>
  <c r="AA71" i="44"/>
  <c r="Z71" i="44"/>
  <c r="W71" i="44"/>
  <c r="S71" i="44"/>
  <c r="P71" i="44"/>
  <c r="N71" i="44"/>
  <c r="M71" i="44"/>
  <c r="L71" i="44"/>
  <c r="K71" i="44"/>
  <c r="J71" i="44"/>
  <c r="AB70" i="44"/>
  <c r="AA70" i="44"/>
  <c r="Z70" i="44"/>
  <c r="W70" i="44"/>
  <c r="S70" i="44"/>
  <c r="P70" i="44"/>
  <c r="N70" i="44"/>
  <c r="M70" i="44"/>
  <c r="L70" i="44"/>
  <c r="K70" i="44"/>
  <c r="J70" i="44"/>
  <c r="AB69" i="44"/>
  <c r="AA69" i="44"/>
  <c r="Z69" i="44"/>
  <c r="W69" i="44"/>
  <c r="S69" i="44"/>
  <c r="P69" i="44"/>
  <c r="N69" i="44"/>
  <c r="M69" i="44"/>
  <c r="L69" i="44"/>
  <c r="K69" i="44"/>
  <c r="J69" i="44"/>
  <c r="AB68" i="44"/>
  <c r="AA68" i="44"/>
  <c r="Z68" i="44"/>
  <c r="W68" i="44"/>
  <c r="S68" i="44"/>
  <c r="P68" i="44"/>
  <c r="N68" i="44"/>
  <c r="M68" i="44"/>
  <c r="L68" i="44"/>
  <c r="K68" i="44"/>
  <c r="J68" i="44"/>
  <c r="AB67" i="44"/>
  <c r="AA67" i="44"/>
  <c r="Z67" i="44"/>
  <c r="W67" i="44"/>
  <c r="S67" i="44"/>
  <c r="P67" i="44"/>
  <c r="N67" i="44"/>
  <c r="M67" i="44"/>
  <c r="L67" i="44"/>
  <c r="K67" i="44"/>
  <c r="J67" i="44"/>
  <c r="AB66" i="44"/>
  <c r="AA66" i="44"/>
  <c r="Z66" i="44"/>
  <c r="W66" i="44"/>
  <c r="S66" i="44"/>
  <c r="P66" i="44"/>
  <c r="N66" i="44"/>
  <c r="M66" i="44"/>
  <c r="L66" i="44"/>
  <c r="K66" i="44"/>
  <c r="J66" i="44"/>
  <c r="AB65" i="44"/>
  <c r="AA65" i="44"/>
  <c r="Z65" i="44"/>
  <c r="W65" i="44"/>
  <c r="S65" i="44"/>
  <c r="P65" i="44"/>
  <c r="N65" i="44"/>
  <c r="M65" i="44"/>
  <c r="L65" i="44"/>
  <c r="K65" i="44"/>
  <c r="J65" i="44"/>
  <c r="AB64" i="44"/>
  <c r="AA64" i="44"/>
  <c r="Z64" i="44"/>
  <c r="W64" i="44"/>
  <c r="S64" i="44"/>
  <c r="P64" i="44"/>
  <c r="N64" i="44"/>
  <c r="M64" i="44"/>
  <c r="L64" i="44"/>
  <c r="K64" i="44"/>
  <c r="J64" i="44"/>
  <c r="AB63" i="44"/>
  <c r="AA63" i="44"/>
  <c r="Z63" i="44"/>
  <c r="W63" i="44"/>
  <c r="S63" i="44"/>
  <c r="P63" i="44"/>
  <c r="N63" i="44"/>
  <c r="M63" i="44"/>
  <c r="L63" i="44"/>
  <c r="K63" i="44"/>
  <c r="J63" i="44"/>
  <c r="AB62" i="44"/>
  <c r="AA62" i="44"/>
  <c r="Z62" i="44"/>
  <c r="W62" i="44"/>
  <c r="S62" i="44"/>
  <c r="P62" i="44"/>
  <c r="N62" i="44"/>
  <c r="M62" i="44"/>
  <c r="L62" i="44"/>
  <c r="K62" i="44"/>
  <c r="J62" i="44"/>
  <c r="AB61" i="44"/>
  <c r="AA61" i="44"/>
  <c r="Z61" i="44"/>
  <c r="W61" i="44"/>
  <c r="S61" i="44"/>
  <c r="P61" i="44"/>
  <c r="N61" i="44"/>
  <c r="M61" i="44"/>
  <c r="L61" i="44"/>
  <c r="K61" i="44"/>
  <c r="J61" i="44"/>
  <c r="AB60" i="44"/>
  <c r="AA60" i="44"/>
  <c r="Z60" i="44"/>
  <c r="W60" i="44"/>
  <c r="S60" i="44"/>
  <c r="P60" i="44"/>
  <c r="N60" i="44"/>
  <c r="M60" i="44"/>
  <c r="L60" i="44"/>
  <c r="K60" i="44"/>
  <c r="J60" i="44"/>
  <c r="AB59" i="44"/>
  <c r="AA59" i="44"/>
  <c r="Z59" i="44"/>
  <c r="W59" i="44"/>
  <c r="S59" i="44"/>
  <c r="P59" i="44"/>
  <c r="N59" i="44"/>
  <c r="M59" i="44"/>
  <c r="L59" i="44"/>
  <c r="K59" i="44"/>
  <c r="J59" i="44"/>
  <c r="AB58" i="44"/>
  <c r="AA58" i="44"/>
  <c r="Z58" i="44"/>
  <c r="W58" i="44"/>
  <c r="S58" i="44"/>
  <c r="P58" i="44"/>
  <c r="N58" i="44"/>
  <c r="M58" i="44"/>
  <c r="L58" i="44"/>
  <c r="K58" i="44"/>
  <c r="J58" i="44"/>
  <c r="AB57" i="44"/>
  <c r="AA57" i="44"/>
  <c r="Z57" i="44"/>
  <c r="W57" i="44"/>
  <c r="S57" i="44"/>
  <c r="P57" i="44"/>
  <c r="N57" i="44"/>
  <c r="M57" i="44"/>
  <c r="L57" i="44"/>
  <c r="K57" i="44"/>
  <c r="J57" i="44"/>
  <c r="AB56" i="44"/>
  <c r="AA56" i="44"/>
  <c r="Z56" i="44"/>
  <c r="W56" i="44"/>
  <c r="S56" i="44"/>
  <c r="P56" i="44"/>
  <c r="N56" i="44"/>
  <c r="M56" i="44"/>
  <c r="L56" i="44"/>
  <c r="K56" i="44"/>
  <c r="J56" i="44"/>
  <c r="AB55" i="44"/>
  <c r="AA55" i="44"/>
  <c r="Z55" i="44"/>
  <c r="W55" i="44"/>
  <c r="S55" i="44"/>
  <c r="P55" i="44"/>
  <c r="N55" i="44"/>
  <c r="M55" i="44"/>
  <c r="L55" i="44"/>
  <c r="K55" i="44"/>
  <c r="J55" i="44"/>
  <c r="AB54" i="44"/>
  <c r="AA54" i="44"/>
  <c r="Z54" i="44"/>
  <c r="W54" i="44"/>
  <c r="S54" i="44"/>
  <c r="P54" i="44"/>
  <c r="N54" i="44"/>
  <c r="M54" i="44"/>
  <c r="L54" i="44"/>
  <c r="K54" i="44"/>
  <c r="J54" i="44"/>
  <c r="AB53" i="44"/>
  <c r="AA53" i="44"/>
  <c r="Z53" i="44"/>
  <c r="W53" i="44"/>
  <c r="S53" i="44"/>
  <c r="P53" i="44"/>
  <c r="N53" i="44"/>
  <c r="M53" i="44"/>
  <c r="L53" i="44"/>
  <c r="K53" i="44"/>
  <c r="J53" i="44"/>
  <c r="AB52" i="44"/>
  <c r="AA52" i="44"/>
  <c r="Z52" i="44"/>
  <c r="W52" i="44"/>
  <c r="S52" i="44"/>
  <c r="P52" i="44"/>
  <c r="N52" i="44"/>
  <c r="M52" i="44"/>
  <c r="L52" i="44"/>
  <c r="K52" i="44"/>
  <c r="J52" i="44"/>
  <c r="AB51" i="44"/>
  <c r="AA51" i="44"/>
  <c r="Z51" i="44"/>
  <c r="W51" i="44"/>
  <c r="S51" i="44"/>
  <c r="P51" i="44"/>
  <c r="N51" i="44"/>
  <c r="M51" i="44"/>
  <c r="L51" i="44"/>
  <c r="K51" i="44"/>
  <c r="J51" i="44"/>
  <c r="AB50" i="44"/>
  <c r="AA50" i="44"/>
  <c r="Z50" i="44"/>
  <c r="W50" i="44"/>
  <c r="S50" i="44"/>
  <c r="P50" i="44"/>
  <c r="N50" i="44"/>
  <c r="M50" i="44"/>
  <c r="L50" i="44"/>
  <c r="K50" i="44"/>
  <c r="J50" i="44"/>
  <c r="AB49" i="44"/>
  <c r="AA49" i="44"/>
  <c r="Z49" i="44"/>
  <c r="W49" i="44"/>
  <c r="S49" i="44"/>
  <c r="P49" i="44"/>
  <c r="N49" i="44"/>
  <c r="M49" i="44"/>
  <c r="L49" i="44"/>
  <c r="K49" i="44"/>
  <c r="J49" i="44"/>
  <c r="AB48" i="44"/>
  <c r="AA48" i="44"/>
  <c r="Z48" i="44"/>
  <c r="W48" i="44"/>
  <c r="S48" i="44"/>
  <c r="P48" i="44"/>
  <c r="N48" i="44"/>
  <c r="M48" i="44"/>
  <c r="L48" i="44"/>
  <c r="K48" i="44"/>
  <c r="J48" i="44"/>
  <c r="AB47" i="44"/>
  <c r="AA47" i="44"/>
  <c r="Z47" i="44"/>
  <c r="W47" i="44"/>
  <c r="S47" i="44"/>
  <c r="P47" i="44"/>
  <c r="N47" i="44"/>
  <c r="M47" i="44"/>
  <c r="L47" i="44"/>
  <c r="K47" i="44"/>
  <c r="J47" i="44"/>
  <c r="AB46" i="44"/>
  <c r="AA46" i="44"/>
  <c r="Z46" i="44"/>
  <c r="W46" i="44"/>
  <c r="S46" i="44"/>
  <c r="P46" i="44"/>
  <c r="N46" i="44"/>
  <c r="M46" i="44"/>
  <c r="L46" i="44"/>
  <c r="K46" i="44"/>
  <c r="J46" i="44"/>
  <c r="AB45" i="44"/>
  <c r="AA45" i="44"/>
  <c r="Z45" i="44"/>
  <c r="W45" i="44"/>
  <c r="S45" i="44"/>
  <c r="P45" i="44"/>
  <c r="N45" i="44"/>
  <c r="M45" i="44"/>
  <c r="L45" i="44"/>
  <c r="K45" i="44"/>
  <c r="J45" i="44"/>
  <c r="AB44" i="44"/>
  <c r="AA44" i="44"/>
  <c r="Z44" i="44"/>
  <c r="W44" i="44"/>
  <c r="S44" i="44"/>
  <c r="P44" i="44"/>
  <c r="N44" i="44"/>
  <c r="M44" i="44"/>
  <c r="L44" i="44"/>
  <c r="K44" i="44"/>
  <c r="J44" i="44"/>
  <c r="AB43" i="44"/>
  <c r="AA43" i="44"/>
  <c r="Z43" i="44"/>
  <c r="W43" i="44"/>
  <c r="S43" i="44"/>
  <c r="P43" i="44"/>
  <c r="N43" i="44"/>
  <c r="M43" i="44"/>
  <c r="L43" i="44"/>
  <c r="K43" i="44"/>
  <c r="J43" i="44"/>
  <c r="AB42" i="44"/>
  <c r="AA42" i="44"/>
  <c r="Z42" i="44"/>
  <c r="W42" i="44"/>
  <c r="S42" i="44"/>
  <c r="P42" i="44"/>
  <c r="N42" i="44"/>
  <c r="M42" i="44"/>
  <c r="L42" i="44"/>
  <c r="K42" i="44"/>
  <c r="J42" i="44"/>
  <c r="AB41" i="44"/>
  <c r="AA41" i="44"/>
  <c r="Z41" i="44"/>
  <c r="W41" i="44"/>
  <c r="S41" i="44"/>
  <c r="P41" i="44"/>
  <c r="N41" i="44"/>
  <c r="M41" i="44"/>
  <c r="L41" i="44"/>
  <c r="K41" i="44"/>
  <c r="J41" i="44"/>
  <c r="AB40" i="44"/>
  <c r="AA40" i="44"/>
  <c r="Z40" i="44"/>
  <c r="W40" i="44"/>
  <c r="S40" i="44"/>
  <c r="P40" i="44"/>
  <c r="N40" i="44"/>
  <c r="M40" i="44"/>
  <c r="L40" i="44"/>
  <c r="K40" i="44"/>
  <c r="J40" i="44"/>
  <c r="AB39" i="44"/>
  <c r="AA39" i="44"/>
  <c r="Z39" i="44"/>
  <c r="W39" i="44"/>
  <c r="S39" i="44"/>
  <c r="P39" i="44"/>
  <c r="N39" i="44"/>
  <c r="M39" i="44"/>
  <c r="L39" i="44"/>
  <c r="K39" i="44"/>
  <c r="J39" i="44"/>
  <c r="AB38" i="44"/>
  <c r="AA38" i="44"/>
  <c r="Z38" i="44"/>
  <c r="W38" i="44"/>
  <c r="S38" i="44"/>
  <c r="P38" i="44"/>
  <c r="N38" i="44"/>
  <c r="M38" i="44"/>
  <c r="L38" i="44"/>
  <c r="K38" i="44"/>
  <c r="J38" i="44"/>
  <c r="AB37" i="44"/>
  <c r="AA37" i="44"/>
  <c r="Z37" i="44"/>
  <c r="W37" i="44"/>
  <c r="S37" i="44"/>
  <c r="P37" i="44"/>
  <c r="N37" i="44"/>
  <c r="M37" i="44"/>
  <c r="L37" i="44"/>
  <c r="K37" i="44"/>
  <c r="J37" i="44"/>
  <c r="AB36" i="44"/>
  <c r="AA36" i="44"/>
  <c r="Z36" i="44"/>
  <c r="W36" i="44"/>
  <c r="S36" i="44"/>
  <c r="P36" i="44"/>
  <c r="N36" i="44"/>
  <c r="M36" i="44"/>
  <c r="L36" i="44"/>
  <c r="K36" i="44"/>
  <c r="J36" i="44"/>
  <c r="AB35" i="44"/>
  <c r="AA35" i="44"/>
  <c r="Z35" i="44"/>
  <c r="W35" i="44"/>
  <c r="S35" i="44"/>
  <c r="P35" i="44"/>
  <c r="N35" i="44"/>
  <c r="M35" i="44"/>
  <c r="L35" i="44"/>
  <c r="K35" i="44"/>
  <c r="J35" i="44"/>
  <c r="AB34" i="44"/>
  <c r="AA34" i="44"/>
  <c r="Z34" i="44"/>
  <c r="W34" i="44"/>
  <c r="S34" i="44"/>
  <c r="P34" i="44"/>
  <c r="N34" i="44"/>
  <c r="M34" i="44"/>
  <c r="L34" i="44"/>
  <c r="K34" i="44"/>
  <c r="J34" i="44"/>
  <c r="AB33" i="44"/>
  <c r="AA33" i="44"/>
  <c r="Z33" i="44"/>
  <c r="W33" i="44"/>
  <c r="S33" i="44"/>
  <c r="P33" i="44"/>
  <c r="N33" i="44"/>
  <c r="M33" i="44"/>
  <c r="L33" i="44"/>
  <c r="K33" i="44"/>
  <c r="J33" i="44"/>
  <c r="M32" i="44"/>
  <c r="P32" i="44" s="1"/>
  <c r="L32" i="44"/>
  <c r="M31" i="44"/>
  <c r="L31" i="44"/>
  <c r="M30" i="44"/>
  <c r="L30" i="44"/>
  <c r="M29" i="44"/>
  <c r="L29" i="44"/>
  <c r="M28" i="44"/>
  <c r="L28" i="44"/>
  <c r="R27" i="44"/>
  <c r="AK26" i="44"/>
  <c r="E2" i="46" s="1"/>
  <c r="E2" i="48" s="1"/>
  <c r="AJ26" i="44"/>
  <c r="C24" i="44" s="1"/>
  <c r="AI26" i="44"/>
  <c r="D8" i="44"/>
  <c r="K32" i="44" s="1"/>
  <c r="D7" i="44"/>
  <c r="AO4" i="44"/>
  <c r="AO3" i="44"/>
  <c r="AI3" i="44"/>
  <c r="N29" i="44" s="1"/>
  <c r="D3" i="44"/>
  <c r="AH26" i="44" s="1"/>
  <c r="AO2" i="44"/>
  <c r="AI2" i="44"/>
  <c r="AH15" i="44" s="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S39" i="1"/>
  <c r="S40" i="1"/>
  <c r="S41" i="1"/>
  <c r="S42" i="1"/>
  <c r="S55" i="1"/>
  <c r="S56" i="1"/>
  <c r="S57" i="1"/>
  <c r="S58" i="1"/>
  <c r="S71" i="1"/>
  <c r="S72" i="1"/>
  <c r="S73" i="1"/>
  <c r="S74"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M29" i="1"/>
  <c r="P29" i="1" s="1"/>
  <c r="M30" i="1"/>
  <c r="P30" i="1" s="1"/>
  <c r="M31" i="1"/>
  <c r="P31" i="1" s="1"/>
  <c r="M32" i="1"/>
  <c r="P32" i="1" s="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28"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R27" i="1"/>
  <c r="J63" i="42"/>
  <c r="J64" i="42"/>
  <c r="J65" i="42"/>
  <c r="J66" i="42"/>
  <c r="J67" i="42"/>
  <c r="J62" i="42"/>
  <c r="J61" i="42"/>
  <c r="J60" i="42"/>
  <c r="J59" i="42"/>
  <c r="J53" i="42"/>
  <c r="J51" i="42"/>
  <c r="J52" i="42"/>
  <c r="J50" i="42"/>
  <c r="J49" i="42"/>
  <c r="J48" i="42"/>
  <c r="J47" i="42"/>
  <c r="J46" i="42"/>
  <c r="J45" i="42"/>
  <c r="J44" i="42"/>
  <c r="J43" i="42"/>
  <c r="J42" i="42"/>
  <c r="J41" i="42"/>
  <c r="J40" i="42"/>
  <c r="J39" i="42"/>
  <c r="J38" i="42"/>
  <c r="J37" i="42"/>
  <c r="J36" i="42"/>
  <c r="J26" i="42"/>
  <c r="J25" i="42"/>
  <c r="J24" i="42"/>
  <c r="J23" i="42"/>
  <c r="J22" i="42"/>
  <c r="J13" i="42"/>
  <c r="J12" i="42"/>
  <c r="J11" i="42"/>
  <c r="J10" i="42"/>
  <c r="J9" i="42"/>
  <c r="J8" i="42"/>
  <c r="J7" i="42"/>
  <c r="J6" i="42"/>
  <c r="J5" i="42"/>
  <c r="I17" i="42"/>
  <c r="I6" i="42"/>
  <c r="I5" i="42"/>
  <c r="J4" i="42"/>
  <c r="I4" i="42"/>
  <c r="H27" i="1"/>
  <c r="R33" i="44" l="1" a="1"/>
  <c r="R33" i="44" s="1"/>
  <c r="R40" i="44" a="1"/>
  <c r="R40" i="44" s="1"/>
  <c r="R41" i="44" a="1"/>
  <c r="R41" i="44" s="1"/>
  <c r="T41" i="44" s="1"/>
  <c r="AF41" i="44" s="1" a="1"/>
  <c r="AF41" i="44" s="1"/>
  <c r="R48" i="44" a="1"/>
  <c r="R48" i="44" s="1"/>
  <c r="R56" i="44" a="1"/>
  <c r="R56" i="44" s="1"/>
  <c r="T56" i="44" s="1"/>
  <c r="AE56" i="44" s="1" a="1"/>
  <c r="AE56" i="44" s="1"/>
  <c r="R64" i="44" a="1"/>
  <c r="R64" i="44" s="1"/>
  <c r="T64" i="44" s="1"/>
  <c r="AE64" i="44" s="1" a="1"/>
  <c r="AE64" i="44" s="1"/>
  <c r="R72" i="44" a="1"/>
  <c r="R72" i="44" s="1"/>
  <c r="AN121" i="57"/>
  <c r="AN125" i="57" s="1"/>
  <c r="AN133" i="57" s="1"/>
  <c r="D30" i="57" s="1"/>
  <c r="AN120" i="57"/>
  <c r="AN124" i="57" s="1"/>
  <c r="AN132" i="57" s="1"/>
  <c r="D29" i="57" s="1"/>
  <c r="R36" i="44" a="1"/>
  <c r="R36" i="44" s="1"/>
  <c r="T36" i="44" s="1"/>
  <c r="AE36" i="44" s="1" a="1"/>
  <c r="AE36" i="44" s="1"/>
  <c r="R44" i="44" a="1"/>
  <c r="R44" i="44" s="1"/>
  <c r="T44" i="44" s="1"/>
  <c r="AE44" i="44" s="1" a="1"/>
  <c r="AE44" i="44" s="1"/>
  <c r="R52" i="44" a="1"/>
  <c r="R52" i="44" s="1"/>
  <c r="T52" i="44" s="1"/>
  <c r="AF52" i="44" s="1" a="1"/>
  <c r="AF52" i="44" s="1"/>
  <c r="R60" i="44" a="1"/>
  <c r="R60" i="44" s="1"/>
  <c r="R68" i="44" a="1"/>
  <c r="R68" i="44" s="1"/>
  <c r="T68" i="44" s="1"/>
  <c r="AE68" i="44" s="1" a="1"/>
  <c r="AE68" i="44" s="1"/>
  <c r="R76" i="44" a="1"/>
  <c r="R76" i="44" s="1"/>
  <c r="T76" i="44" s="1"/>
  <c r="AE76" i="44" s="1" a="1"/>
  <c r="AE76" i="44" s="1"/>
  <c r="R67" i="1" a="1"/>
  <c r="R67" i="1" s="1"/>
  <c r="R51" i="1" a="1"/>
  <c r="R51" i="1" s="1"/>
  <c r="R57" i="44" a="1"/>
  <c r="R57" i="44" s="1"/>
  <c r="T57" i="44" s="1"/>
  <c r="AC57" i="44" s="1" a="1"/>
  <c r="AC57" i="44" s="1"/>
  <c r="R37" i="44" a="1"/>
  <c r="R37" i="44" s="1"/>
  <c r="T37" i="44" s="1"/>
  <c r="AE37" i="44" s="1" a="1"/>
  <c r="AE37" i="44" s="1"/>
  <c r="R45" i="44" a="1"/>
  <c r="R45" i="44" s="1"/>
  <c r="T45" i="44" s="1"/>
  <c r="AF45" i="44" s="1" a="1"/>
  <c r="AF45" i="44" s="1"/>
  <c r="R53" i="44" a="1"/>
  <c r="R53" i="44" s="1"/>
  <c r="T53" i="44" s="1"/>
  <c r="AF53" i="44" s="1" a="1"/>
  <c r="AF53" i="44" s="1"/>
  <c r="R61" i="44" a="1"/>
  <c r="R61" i="44" s="1"/>
  <c r="T61" i="44" s="1"/>
  <c r="AF61" i="44" s="1" a="1"/>
  <c r="AF61" i="44" s="1"/>
  <c r="R69" i="44" a="1"/>
  <c r="R69" i="44" s="1"/>
  <c r="T69" i="44" s="1"/>
  <c r="AF69" i="44" s="1" a="1"/>
  <c r="AF69" i="44" s="1"/>
  <c r="R77" i="44" a="1"/>
  <c r="R77" i="44" s="1"/>
  <c r="T77" i="44" s="1"/>
  <c r="R34" i="44" a="1"/>
  <c r="R34" i="44" s="1"/>
  <c r="T34" i="44" s="1"/>
  <c r="R42" i="44" a="1"/>
  <c r="R42" i="44" s="1"/>
  <c r="T42" i="44" s="1"/>
  <c r="R50" i="44" a="1"/>
  <c r="R50" i="44" s="1"/>
  <c r="T50" i="44" s="1"/>
  <c r="AF50" i="44" s="1" a="1"/>
  <c r="AF50" i="44" s="1"/>
  <c r="R58" i="44" a="1"/>
  <c r="R58" i="44" s="1"/>
  <c r="T58" i="44" s="1"/>
  <c r="AC58" i="44" s="1" a="1"/>
  <c r="AC58" i="44" s="1"/>
  <c r="R66" i="44" a="1"/>
  <c r="R66" i="44" s="1"/>
  <c r="T66" i="44" s="1"/>
  <c r="AC66" i="44" s="1" a="1"/>
  <c r="AC66" i="44" s="1"/>
  <c r="R74" i="44" a="1"/>
  <c r="R74" i="44" s="1"/>
  <c r="T74" i="44" s="1"/>
  <c r="N32" i="44"/>
  <c r="R32" i="44" s="1" a="1"/>
  <c r="R32" i="44" s="1"/>
  <c r="S32" i="44" s="1"/>
  <c r="R35" i="44" a="1"/>
  <c r="R35" i="44" s="1"/>
  <c r="T35" i="44" s="1"/>
  <c r="AC35" i="44" s="1" a="1"/>
  <c r="AC35" i="44" s="1"/>
  <c r="R43" i="44" a="1"/>
  <c r="R43" i="44" s="1"/>
  <c r="T43" i="44" s="1"/>
  <c r="AF43" i="44" s="1" a="1"/>
  <c r="AF43" i="44" s="1"/>
  <c r="R51" i="44" a="1"/>
  <c r="R51" i="44" s="1"/>
  <c r="T51" i="44" s="1"/>
  <c r="AF51" i="44" s="1" a="1"/>
  <c r="AF51" i="44" s="1"/>
  <c r="R59" i="44" a="1"/>
  <c r="R59" i="44" s="1"/>
  <c r="T59" i="44" s="1"/>
  <c r="AC59" i="44" s="1" a="1"/>
  <c r="AC59" i="44" s="1"/>
  <c r="R67" i="44" a="1"/>
  <c r="R67" i="44" s="1"/>
  <c r="T67" i="44" s="1"/>
  <c r="AC67" i="44" s="1" a="1"/>
  <c r="AC67" i="44" s="1"/>
  <c r="R75" i="44" a="1"/>
  <c r="R75" i="44" s="1"/>
  <c r="T75" i="44" s="1"/>
  <c r="AC75" i="44" s="1" a="1"/>
  <c r="AC75" i="44" s="1"/>
  <c r="R73" i="44" a="1"/>
  <c r="R73" i="44" s="1"/>
  <c r="T73" i="44" s="1"/>
  <c r="AF73" i="44" s="1" a="1"/>
  <c r="AF73" i="44" s="1"/>
  <c r="K30" i="44"/>
  <c r="F15" i="46"/>
  <c r="K31" i="44"/>
  <c r="R35" i="1" a="1"/>
  <c r="R35" i="1" s="1"/>
  <c r="R73" i="1" a="1"/>
  <c r="R73" i="1" s="1"/>
  <c r="R57" i="1" a="1"/>
  <c r="R57" i="1" s="1"/>
  <c r="R41" i="1" a="1"/>
  <c r="R41" i="1" s="1"/>
  <c r="R72" i="1" a="1"/>
  <c r="R72" i="1" s="1"/>
  <c r="R56" i="1" a="1"/>
  <c r="R56" i="1" s="1"/>
  <c r="R40" i="1" a="1"/>
  <c r="R40" i="1" s="1"/>
  <c r="R69" i="1" a="1"/>
  <c r="R69" i="1" s="1"/>
  <c r="R53" i="1" a="1"/>
  <c r="R53" i="1" s="1"/>
  <c r="R37" i="1" a="1"/>
  <c r="R37" i="1" s="1"/>
  <c r="R68" i="1" a="1"/>
  <c r="R68" i="1" s="1"/>
  <c r="R52" i="1" a="1"/>
  <c r="R52" i="1" s="1"/>
  <c r="R36" i="1" a="1"/>
  <c r="R36" i="1" s="1"/>
  <c r="R50" i="1" a="1"/>
  <c r="R50" i="1" s="1"/>
  <c r="R48" i="1" a="1"/>
  <c r="R48" i="1" s="1"/>
  <c r="R45" i="1" a="1"/>
  <c r="R45" i="1" s="1"/>
  <c r="R76" i="1" a="1"/>
  <c r="R76" i="1" s="1"/>
  <c r="R60" i="1" a="1"/>
  <c r="R60" i="1" s="1"/>
  <c r="R44" i="1" a="1"/>
  <c r="R44" i="1" s="1"/>
  <c r="S75" i="1"/>
  <c r="R75" i="1" a="1"/>
  <c r="R75" i="1" s="1"/>
  <c r="S59" i="1"/>
  <c r="R59" i="1" a="1"/>
  <c r="R59" i="1" s="1"/>
  <c r="S43" i="1"/>
  <c r="R43" i="1" a="1"/>
  <c r="R43" i="1" s="1"/>
  <c r="R77" i="1" a="1"/>
  <c r="R77" i="1" s="1"/>
  <c r="R74" i="1" a="1"/>
  <c r="R74" i="1" s="1"/>
  <c r="R58" i="1" a="1"/>
  <c r="R58" i="1" s="1"/>
  <c r="R42" i="1" a="1"/>
  <c r="R42" i="1" s="1"/>
  <c r="S66" i="1"/>
  <c r="R66" i="1" a="1"/>
  <c r="R66" i="1" s="1"/>
  <c r="R49" i="1" a="1"/>
  <c r="R49" i="1" s="1"/>
  <c r="R64" i="1" a="1"/>
  <c r="R64" i="1" s="1"/>
  <c r="R63" i="1" a="1"/>
  <c r="R63" i="1" s="1"/>
  <c r="R62" i="1" a="1"/>
  <c r="R62" i="1" s="1"/>
  <c r="S34" i="1"/>
  <c r="R34" i="1" a="1"/>
  <c r="R34" i="1" s="1"/>
  <c r="R65" i="1" a="1"/>
  <c r="R65" i="1" s="1"/>
  <c r="R47" i="1" a="1"/>
  <c r="R47" i="1" s="1"/>
  <c r="R46" i="1" a="1"/>
  <c r="R46" i="1" s="1"/>
  <c r="R61" i="1" a="1"/>
  <c r="R61" i="1" s="1"/>
  <c r="R71" i="1" a="1"/>
  <c r="R71" i="1" s="1"/>
  <c r="R55" i="1" a="1"/>
  <c r="R55" i="1" s="1"/>
  <c r="R39" i="1" a="1"/>
  <c r="R39" i="1" s="1"/>
  <c r="R33" i="1" a="1"/>
  <c r="R33" i="1" s="1"/>
  <c r="R70" i="1" a="1"/>
  <c r="R70" i="1" s="1"/>
  <c r="R54" i="1" a="1"/>
  <c r="R54" i="1" s="1"/>
  <c r="R38" i="1" a="1"/>
  <c r="R38" i="1" s="1"/>
  <c r="S28" i="44"/>
  <c r="R49" i="44" a="1"/>
  <c r="R49" i="44" s="1"/>
  <c r="T49" i="44" s="1"/>
  <c r="AF49" i="44" s="1" a="1"/>
  <c r="AF49" i="44" s="1"/>
  <c r="R65" i="44" a="1"/>
  <c r="R65" i="44" s="1"/>
  <c r="T65" i="44" s="1"/>
  <c r="AF65" i="44" s="1" a="1"/>
  <c r="AF65" i="44" s="1"/>
  <c r="D19" i="44"/>
  <c r="P29" i="44"/>
  <c r="R29" i="44" a="1"/>
  <c r="R29" i="44" s="1"/>
  <c r="S29" i="44" s="1"/>
  <c r="AN7" i="44"/>
  <c r="R39" i="44" a="1"/>
  <c r="R39" i="44" s="1"/>
  <c r="T39" i="44" s="1"/>
  <c r="AE39" i="44" s="1" a="1"/>
  <c r="AE39" i="44" s="1"/>
  <c r="R47" i="44" a="1"/>
  <c r="R47" i="44" s="1"/>
  <c r="T47" i="44" s="1"/>
  <c r="AC47" i="44" s="1" a="1"/>
  <c r="AC47" i="44" s="1"/>
  <c r="R55" i="44" a="1"/>
  <c r="R55" i="44" s="1"/>
  <c r="T55" i="44" s="1"/>
  <c r="AC55" i="44" s="1" a="1"/>
  <c r="AC55" i="44" s="1"/>
  <c r="R63" i="44" a="1"/>
  <c r="R63" i="44" s="1"/>
  <c r="T63" i="44" s="1"/>
  <c r="AF63" i="44" s="1" a="1"/>
  <c r="AF63" i="44" s="1"/>
  <c r="R71" i="44" a="1"/>
  <c r="R71" i="44" s="1"/>
  <c r="T71" i="44" s="1"/>
  <c r="AC71" i="44" s="1" a="1"/>
  <c r="AC71" i="44" s="1"/>
  <c r="AO7" i="44"/>
  <c r="R38" i="44" a="1"/>
  <c r="R38" i="44" s="1"/>
  <c r="T38" i="44" s="1"/>
  <c r="AF38" i="44" s="1" a="1"/>
  <c r="AF38" i="44" s="1"/>
  <c r="R46" i="44" a="1"/>
  <c r="R46" i="44" s="1"/>
  <c r="T46" i="44" s="1"/>
  <c r="AE46" i="44" s="1" a="1"/>
  <c r="AE46" i="44" s="1"/>
  <c r="R54" i="44" a="1"/>
  <c r="R54" i="44" s="1"/>
  <c r="T54" i="44" s="1"/>
  <c r="AE54" i="44" s="1" a="1"/>
  <c r="AE54" i="44" s="1"/>
  <c r="R62" i="44" a="1"/>
  <c r="R62" i="44" s="1"/>
  <c r="T62" i="44" s="1"/>
  <c r="AF62" i="44" s="1" a="1"/>
  <c r="AF62" i="44" s="1"/>
  <c r="R70" i="44" a="1"/>
  <c r="R70" i="44" s="1"/>
  <c r="T70" i="44" s="1"/>
  <c r="AF70" i="44" s="1" a="1"/>
  <c r="AF70" i="44" s="1"/>
  <c r="P28" i="1"/>
  <c r="T33" i="44"/>
  <c r="AF33" i="44" s="1" a="1"/>
  <c r="AF33" i="44" s="1"/>
  <c r="T60" i="44"/>
  <c r="AE60" i="44" s="1" a="1"/>
  <c r="AE60" i="44" s="1"/>
  <c r="T40" i="44"/>
  <c r="AF40" i="44" s="1" a="1"/>
  <c r="AF40" i="44" s="1"/>
  <c r="T72" i="44"/>
  <c r="AE72" i="44" s="1" a="1"/>
  <c r="AE72" i="44" s="1"/>
  <c r="P28" i="44"/>
  <c r="AL26" i="44"/>
  <c r="AN26" i="44" s="1"/>
  <c r="J32" i="44" s="1"/>
  <c r="C25" i="44"/>
  <c r="AI15" i="44"/>
  <c r="AJ15" i="44"/>
  <c r="T48" i="44"/>
  <c r="AF48" i="44" s="1" a="1"/>
  <c r="AF48" i="44" s="1"/>
  <c r="P31" i="44"/>
  <c r="S31" i="44"/>
  <c r="K28" i="44"/>
  <c r="N28" i="44"/>
  <c r="R28" i="44" s="1" a="1"/>
  <c r="R28" i="44" s="1"/>
  <c r="K29" i="44"/>
  <c r="P30" i="44"/>
  <c r="N31" i="44"/>
  <c r="R31" i="44" s="1" a="1"/>
  <c r="R31" i="44" s="1"/>
  <c r="N30" i="44"/>
  <c r="R30" i="44" s="1" a="1"/>
  <c r="R30" i="44" s="1"/>
  <c r="S30" i="44" s="1"/>
  <c r="S38" i="1"/>
  <c r="S70" i="1"/>
  <c r="S54" i="1"/>
  <c r="S69" i="1"/>
  <c r="S53" i="1"/>
  <c r="S37" i="1"/>
  <c r="S68" i="1"/>
  <c r="S36" i="1"/>
  <c r="S67" i="1"/>
  <c r="S51" i="1"/>
  <c r="S35" i="1"/>
  <c r="S52" i="1"/>
  <c r="S50" i="1"/>
  <c r="S65" i="1"/>
  <c r="S49" i="1"/>
  <c r="S33" i="1"/>
  <c r="S64" i="1"/>
  <c r="S48" i="1"/>
  <c r="S32" i="1"/>
  <c r="S63" i="1"/>
  <c r="S47" i="1"/>
  <c r="S62" i="1"/>
  <c r="S46" i="1"/>
  <c r="S77" i="1"/>
  <c r="S61" i="1"/>
  <c r="S45" i="1"/>
  <c r="S76" i="1"/>
  <c r="S60" i="1"/>
  <c r="S44" i="1"/>
  <c r="D31" i="57" l="1"/>
  <c r="AN122" i="57"/>
  <c r="AN123" i="57" s="1"/>
  <c r="AN126" i="57"/>
  <c r="AN127" i="57" s="1"/>
  <c r="AE75" i="44" a="1"/>
  <c r="AE75" i="44" s="1"/>
  <c r="AE67" i="44" a="1"/>
  <c r="AE67" i="44" s="1"/>
  <c r="AF75" i="44" a="1"/>
  <c r="AF75" i="44" s="1"/>
  <c r="AF67" i="44" a="1"/>
  <c r="AF67" i="44" s="1"/>
  <c r="AC51" i="44" a="1"/>
  <c r="AC51" i="44" s="1"/>
  <c r="AE51" i="44" a="1"/>
  <c r="AE51" i="44" s="1"/>
  <c r="AC72" i="44" a="1"/>
  <c r="AC72" i="44" s="1"/>
  <c r="AF72" i="44" a="1"/>
  <c r="AF72" i="44" s="1"/>
  <c r="AC40" i="44" a="1"/>
  <c r="AC40" i="44" s="1"/>
  <c r="AC48" i="44" a="1"/>
  <c r="AC48" i="44" s="1"/>
  <c r="AE40" i="44" a="1"/>
  <c r="AE40" i="44" s="1"/>
  <c r="AE57" i="44" a="1"/>
  <c r="AE57" i="44" s="1"/>
  <c r="AE73" i="44" a="1"/>
  <c r="AE73" i="44" s="1"/>
  <c r="AF57" i="44" a="1"/>
  <c r="AF57" i="44" s="1"/>
  <c r="AC41" i="44" a="1"/>
  <c r="AC41" i="44" s="1"/>
  <c r="AE52" i="44" a="1"/>
  <c r="AE52" i="44" s="1"/>
  <c r="AF74" i="44" a="1"/>
  <c r="AF74" i="44" s="1"/>
  <c r="AE74" i="44" a="1"/>
  <c r="AE74" i="44" s="1"/>
  <c r="AC74" i="44" a="1"/>
  <c r="AC74" i="44" s="1"/>
  <c r="AE41" i="44" a="1"/>
  <c r="AE41" i="44" s="1"/>
  <c r="AE48" i="44" a="1"/>
  <c r="AE48" i="44" s="1"/>
  <c r="AE66" i="44" a="1"/>
  <c r="AE66" i="44" s="1"/>
  <c r="AE55" i="44" a="1"/>
  <c r="AE55" i="44" s="1"/>
  <c r="AE59" i="44" a="1"/>
  <c r="AE59" i="44" s="1"/>
  <c r="AF66" i="44" a="1"/>
  <c r="AF66" i="44" s="1"/>
  <c r="AE47" i="44" a="1"/>
  <c r="AE47" i="44" s="1"/>
  <c r="AF59" i="44" a="1"/>
  <c r="AF59" i="44" s="1"/>
  <c r="AE65" i="44" a="1"/>
  <c r="AE65" i="44" s="1"/>
  <c r="AC33" i="44" a="1"/>
  <c r="AC33" i="44" s="1"/>
  <c r="AC43" i="44" a="1"/>
  <c r="AC43" i="44" s="1"/>
  <c r="AF47" i="44" a="1"/>
  <c r="AF47" i="44" s="1"/>
  <c r="AE33" i="44" a="1"/>
  <c r="AE33" i="44" s="1"/>
  <c r="AF68" i="44" a="1"/>
  <c r="AF68" i="44" s="1"/>
  <c r="AF39" i="44" a="1"/>
  <c r="AF39" i="44" s="1"/>
  <c r="AE70" i="44" a="1"/>
  <c r="AE70" i="44" s="1"/>
  <c r="AC68" i="44" a="1"/>
  <c r="AC68" i="44" s="1"/>
  <c r="AC70" i="44" a="1"/>
  <c r="AC70" i="44" s="1"/>
  <c r="AC39" i="44" a="1"/>
  <c r="AC39" i="44" s="1"/>
  <c r="AE53" i="44" a="1"/>
  <c r="AE53" i="44" s="1"/>
  <c r="AF54" i="44" a="1"/>
  <c r="AF54" i="44" s="1"/>
  <c r="AC52" i="44" a="1"/>
  <c r="AC52" i="44" s="1"/>
  <c r="AF77" i="44" a="1"/>
  <c r="AF77" i="44" s="1"/>
  <c r="AE77" i="44" a="1"/>
  <c r="AE77" i="44" s="1"/>
  <c r="AC77" i="44" a="1"/>
  <c r="AC77" i="44" s="1"/>
  <c r="AF34" i="44" a="1"/>
  <c r="AF34" i="44" s="1"/>
  <c r="AC34" i="44" a="1"/>
  <c r="AC34" i="44" s="1"/>
  <c r="AE34" i="44" a="1"/>
  <c r="AE34" i="44" s="1"/>
  <c r="AF42" i="44" a="1"/>
  <c r="AF42" i="44" s="1"/>
  <c r="AE42" i="44" a="1"/>
  <c r="AE42" i="44" s="1"/>
  <c r="AC42" i="44" a="1"/>
  <c r="AC42" i="44" s="1"/>
  <c r="AE45" i="44" a="1"/>
  <c r="AE45" i="44" s="1"/>
  <c r="AE69" i="44" a="1"/>
  <c r="AE69" i="44" s="1"/>
  <c r="AC45" i="44" a="1"/>
  <c r="AC45" i="44" s="1"/>
  <c r="AC53" i="44" a="1"/>
  <c r="AC53" i="44" s="1"/>
  <c r="AF37" i="44" a="1"/>
  <c r="AF37" i="44" s="1"/>
  <c r="AC46" i="44" a="1"/>
  <c r="AC46" i="44" s="1"/>
  <c r="AE38" i="44" a="1"/>
  <c r="AE38" i="44" s="1"/>
  <c r="AC38" i="44" a="1"/>
  <c r="AC38" i="44" s="1"/>
  <c r="AC76" i="44" a="1"/>
  <c r="AC76" i="44" s="1"/>
  <c r="AF46" i="44" a="1"/>
  <c r="AF46" i="44" s="1"/>
  <c r="AF64" i="44" a="1"/>
  <c r="AF64" i="44" s="1"/>
  <c r="AF71" i="44" a="1"/>
  <c r="AF71" i="44" s="1"/>
  <c r="AC60" i="44" a="1"/>
  <c r="AC60" i="44" s="1"/>
  <c r="AE58" i="44" a="1"/>
  <c r="AE58" i="44" s="1"/>
  <c r="AC54" i="44" a="1"/>
  <c r="AC54" i="44" s="1"/>
  <c r="AE49" i="44" a="1"/>
  <c r="AE49" i="44" s="1"/>
  <c r="AF76" i="44" a="1"/>
  <c r="AF76" i="44" s="1"/>
  <c r="AF56" i="44" a="1"/>
  <c r="AF56" i="44" s="1"/>
  <c r="AE71" i="44" a="1"/>
  <c r="AE71" i="44" s="1"/>
  <c r="AE35" i="44" a="1"/>
  <c r="AE35" i="44" s="1"/>
  <c r="AF60" i="44" a="1"/>
  <c r="AF60" i="44" s="1"/>
  <c r="AC56" i="44" a="1"/>
  <c r="AC56" i="44" s="1"/>
  <c r="AF58" i="44" a="1"/>
  <c r="AF58" i="44" s="1"/>
  <c r="AF35" i="44" a="1"/>
  <c r="AF35" i="44" s="1"/>
  <c r="AC44" i="44" a="1"/>
  <c r="AC44" i="44" s="1"/>
  <c r="AC64" i="44" a="1"/>
  <c r="AC64" i="44" s="1"/>
  <c r="AE63" i="44" a="1"/>
  <c r="AE63" i="44" s="1"/>
  <c r="AF44" i="44" a="1"/>
  <c r="AF44" i="44" s="1"/>
  <c r="AC62" i="44" a="1"/>
  <c r="AC62" i="44" s="1"/>
  <c r="AC50" i="44" a="1"/>
  <c r="AC50" i="44" s="1"/>
  <c r="AC61" i="44" a="1"/>
  <c r="AC61" i="44" s="1"/>
  <c r="AE62" i="44" a="1"/>
  <c r="AE62" i="44" s="1"/>
  <c r="AE43" i="44" a="1"/>
  <c r="AE43" i="44" s="1"/>
  <c r="AE50" i="44" a="1"/>
  <c r="AE50" i="44" s="1"/>
  <c r="AC63" i="44" a="1"/>
  <c r="AC63" i="44" s="1"/>
  <c r="AC65" i="44" a="1"/>
  <c r="AC65" i="44" s="1"/>
  <c r="AE61" i="44" a="1"/>
  <c r="AE61" i="44" s="1"/>
  <c r="AF36" i="44" a="1"/>
  <c r="AF36" i="44" s="1"/>
  <c r="AC49" i="44" a="1"/>
  <c r="AC49" i="44" s="1"/>
  <c r="AC37" i="44" a="1"/>
  <c r="AC37" i="44" s="1"/>
  <c r="AC69" i="44" a="1"/>
  <c r="AC69" i="44" s="1"/>
  <c r="AC36" i="44" a="1"/>
  <c r="AC36" i="44" s="1"/>
  <c r="AC73" i="44" a="1"/>
  <c r="AC73" i="44" s="1"/>
  <c r="AF55" i="44" a="1"/>
  <c r="AF55" i="44" s="1"/>
  <c r="T32" i="44"/>
  <c r="AF32" i="44" s="1" a="1"/>
  <c r="AF32" i="44" s="1"/>
  <c r="T28" i="44"/>
  <c r="T29" i="44"/>
  <c r="T31" i="44"/>
  <c r="T30" i="44"/>
  <c r="J28" i="44"/>
  <c r="J30" i="44"/>
  <c r="J29" i="44"/>
  <c r="J31" i="44"/>
  <c r="AM26" i="44"/>
  <c r="S28" i="1"/>
  <c r="D84" i="1"/>
  <c r="C23" i="44" l="1"/>
  <c r="X28" i="44"/>
  <c r="Y28" i="44"/>
  <c r="V28" i="44"/>
  <c r="U28" i="44"/>
  <c r="Y29" i="44"/>
  <c r="V29" i="44"/>
  <c r="X29" i="44"/>
  <c r="U29" i="44"/>
  <c r="X30" i="44"/>
  <c r="Y30" i="44"/>
  <c r="U30" i="44"/>
  <c r="V30" i="44"/>
  <c r="AF28" i="44" a="1"/>
  <c r="AF28" i="44" s="1"/>
  <c r="AE32" i="44" a="1"/>
  <c r="AE32" i="44" s="1"/>
  <c r="AC32" i="44" a="1"/>
  <c r="AC32" i="44" s="1"/>
  <c r="AF29" i="44" a="1"/>
  <c r="AF29" i="44" s="1"/>
  <c r="AE29" i="44" a="1"/>
  <c r="AE29" i="44" s="1"/>
  <c r="AC29" i="44" a="1"/>
  <c r="AC29" i="44" s="1"/>
  <c r="AD29" i="44" s="1"/>
  <c r="AE28" i="44" a="1"/>
  <c r="AE28" i="44" s="1"/>
  <c r="AC28" i="44" a="1"/>
  <c r="AC28" i="44" s="1"/>
  <c r="AD28" i="44" s="1"/>
  <c r="AF31" i="44" a="1"/>
  <c r="AF31" i="44" s="1"/>
  <c r="AE31" i="44" a="1"/>
  <c r="AE31" i="44" s="1"/>
  <c r="AC31" i="44" a="1"/>
  <c r="AC31" i="44" s="1"/>
  <c r="AD31" i="44" s="1"/>
  <c r="AF30" i="44" a="1"/>
  <c r="AF30" i="44" s="1"/>
  <c r="AE30" i="44" a="1"/>
  <c r="AE30" i="44" s="1"/>
  <c r="AC30" i="44" a="1"/>
  <c r="AC30" i="44" s="1"/>
  <c r="AD30" i="44" s="1"/>
  <c r="AD32" i="44"/>
  <c r="W28" i="44"/>
  <c r="AA28" i="44" s="1"/>
  <c r="Z32" i="44"/>
  <c r="AB32" i="44" s="1"/>
  <c r="Z30" i="44"/>
  <c r="Z29" i="44"/>
  <c r="AB29" i="44" s="1"/>
  <c r="Z28" i="44"/>
  <c r="AB28" i="44" s="1"/>
  <c r="Z31" i="44"/>
  <c r="AB31" i="44" s="1"/>
  <c r="W32" i="44" l="1"/>
  <c r="AA32" i="44" s="1"/>
  <c r="AE78" i="44"/>
  <c r="AF78" i="44"/>
  <c r="AD78" i="44"/>
  <c r="W31" i="44"/>
  <c r="AA31" i="44" s="1"/>
  <c r="W29" i="44"/>
  <c r="AA29" i="44" s="1"/>
  <c r="V78" i="44"/>
  <c r="V3" i="44" s="1"/>
  <c r="X78" i="44"/>
  <c r="V6" i="44" s="1"/>
  <c r="W30" i="44"/>
  <c r="U78" i="44"/>
  <c r="V4" i="44" s="1"/>
  <c r="AB30" i="44"/>
  <c r="AB78" i="44" s="1"/>
  <c r="Z78" i="44"/>
  <c r="V8" i="44" s="1"/>
  <c r="W8" i="44" s="1"/>
  <c r="Y78" i="44"/>
  <c r="V7" i="44" s="1"/>
  <c r="Q26" i="9" a="1"/>
  <c r="Q26" i="9" s="1"/>
  <c r="Q27" i="9" a="1"/>
  <c r="Q27" i="9" s="1"/>
  <c r="Q28" i="9" a="1"/>
  <c r="Q28" i="9" s="1"/>
  <c r="Q29" i="9" a="1"/>
  <c r="Q29" i="9" s="1"/>
  <c r="Q30" i="9" a="1"/>
  <c r="Q30" i="9" s="1"/>
  <c r="Q31" i="9" a="1"/>
  <c r="Q31" i="9" s="1"/>
  <c r="Q32" i="9" a="1"/>
  <c r="Q32" i="9" s="1"/>
  <c r="Q33" i="9" a="1"/>
  <c r="Q33" i="9" s="1"/>
  <c r="Q34" i="9" a="1"/>
  <c r="Q34" i="9" s="1"/>
  <c r="Q35" i="9" a="1"/>
  <c r="Q35" i="9" s="1"/>
  <c r="Q36" i="9" a="1"/>
  <c r="Q36" i="9" s="1"/>
  <c r="Q37" i="9" a="1"/>
  <c r="Q37" i="9" s="1"/>
  <c r="Q38" i="9" a="1"/>
  <c r="Q38" i="9" s="1"/>
  <c r="Q39" i="9" a="1"/>
  <c r="Q39" i="9" s="1"/>
  <c r="Q40" i="9" a="1"/>
  <c r="Q40" i="9" s="1"/>
  <c r="Q41" i="9" a="1"/>
  <c r="Q41" i="9" s="1"/>
  <c r="Q42" i="9" a="1"/>
  <c r="Q42" i="9" s="1"/>
  <c r="Q43" i="9" a="1"/>
  <c r="Q43" i="9" s="1"/>
  <c r="Q44" i="9" a="1"/>
  <c r="Q44" i="9" s="1"/>
  <c r="Q45" i="9" a="1"/>
  <c r="Q45" i="9" s="1"/>
  <c r="Q46" i="9" a="1"/>
  <c r="Q46" i="9" s="1"/>
  <c r="Q47" i="9" a="1"/>
  <c r="Q47" i="9" s="1"/>
  <c r="Q48" i="9" a="1"/>
  <c r="Q48" i="9" s="1"/>
  <c r="Q49" i="9" a="1"/>
  <c r="Q49" i="9" s="1"/>
  <c r="Q50" i="9" a="1"/>
  <c r="Q50" i="9" s="1"/>
  <c r="Q51" i="9" a="1"/>
  <c r="Q51" i="9" s="1"/>
  <c r="Q52" i="9" a="1"/>
  <c r="Q52" i="9" s="1"/>
  <c r="Q53" i="9" a="1"/>
  <c r="Q53" i="9" s="1"/>
  <c r="Q54" i="9" a="1"/>
  <c r="Q54" i="9" s="1"/>
  <c r="Q55" i="9" a="1"/>
  <c r="Q55" i="9" s="1"/>
  <c r="Q56" i="9" a="1"/>
  <c r="Q56" i="9" s="1"/>
  <c r="Q57" i="9" a="1"/>
  <c r="Q57" i="9" s="1"/>
  <c r="Q58" i="9" a="1"/>
  <c r="Q58" i="9" s="1"/>
  <c r="Q59" i="9" a="1"/>
  <c r="Q59" i="9" s="1"/>
  <c r="Q60" i="9" a="1"/>
  <c r="Q60" i="9" s="1"/>
  <c r="Q61" i="9" a="1"/>
  <c r="Q61" i="9" s="1"/>
  <c r="Q62" i="9" a="1"/>
  <c r="Q62" i="9" s="1"/>
  <c r="Q63" i="9" a="1"/>
  <c r="Q63" i="9" s="1"/>
  <c r="Q64" i="9" a="1"/>
  <c r="Q64" i="9" s="1"/>
  <c r="Q65" i="9" a="1"/>
  <c r="Q65" i="9" s="1"/>
  <c r="Q66" i="9" a="1"/>
  <c r="Q66" i="9" s="1"/>
  <c r="Q67" i="9" a="1"/>
  <c r="Q67" i="9" s="1"/>
  <c r="Q68" i="9" a="1"/>
  <c r="Q68" i="9" s="1"/>
  <c r="Q69" i="9" a="1"/>
  <c r="Q69" i="9" s="1"/>
  <c r="Q70" i="9" a="1"/>
  <c r="Q70" i="9" s="1"/>
  <c r="Q71" i="9" a="1"/>
  <c r="Q71" i="9" s="1"/>
  <c r="Q72" i="9" a="1"/>
  <c r="Q72" i="9" s="1"/>
  <c r="Q73" i="9" a="1"/>
  <c r="Q73" i="9" s="1"/>
  <c r="Q74" i="9" a="1"/>
  <c r="Q74" i="9" s="1"/>
  <c r="Q25" i="9" a="1"/>
  <c r="Q25" i="9" s="1"/>
  <c r="H3" i="23"/>
  <c r="D21" i="44" l="1"/>
  <c r="U11" i="44" s="1"/>
  <c r="U12" i="44" s="1"/>
  <c r="AA30" i="44"/>
  <c r="AA78" i="44" s="1"/>
  <c r="W78" i="44"/>
  <c r="V5" i="44" s="1"/>
  <c r="W5" i="44" s="1"/>
  <c r="J27" i="9"/>
  <c r="J28" i="9"/>
  <c r="J29" i="9"/>
  <c r="J30" i="9"/>
  <c r="J31" i="9"/>
  <c r="J32" i="9"/>
  <c r="J33" i="9"/>
  <c r="J34" i="9"/>
  <c r="J35" i="9"/>
  <c r="J36" i="9"/>
  <c r="J38" i="9"/>
  <c r="J39" i="9"/>
  <c r="J40" i="9"/>
  <c r="J41" i="9"/>
  <c r="J42" i="9"/>
  <c r="J43" i="9"/>
  <c r="J44" i="9"/>
  <c r="J45" i="9"/>
  <c r="J46" i="9"/>
  <c r="J47" i="9"/>
  <c r="J48" i="9"/>
  <c r="J49" i="9"/>
  <c r="J50" i="9"/>
  <c r="J51" i="9"/>
  <c r="J52" i="9"/>
  <c r="J53" i="9"/>
  <c r="J54" i="9"/>
  <c r="J55" i="9"/>
  <c r="J56" i="9"/>
  <c r="J57" i="9"/>
  <c r="J58" i="9"/>
  <c r="J59" i="9"/>
  <c r="J60" i="9"/>
  <c r="J61" i="9"/>
  <c r="J62" i="9"/>
  <c r="J63" i="9"/>
  <c r="J64" i="9"/>
  <c r="J65" i="9"/>
  <c r="J66" i="9"/>
  <c r="J67" i="9"/>
  <c r="J68" i="9"/>
  <c r="J69" i="9"/>
  <c r="J70" i="9"/>
  <c r="J71" i="9"/>
  <c r="J72" i="9"/>
  <c r="J73" i="9"/>
  <c r="J74" i="9"/>
  <c r="J37" i="9"/>
  <c r="F13" i="9" l="1"/>
  <c r="F15" i="9"/>
  <c r="F14" i="9"/>
  <c r="D19" i="11"/>
  <c r="D18" i="11"/>
  <c r="D14" i="7"/>
  <c r="D13" i="7"/>
  <c r="I11" i="10"/>
  <c r="I10" i="10"/>
  <c r="AM5" i="10"/>
  <c r="AN5" i="10"/>
  <c r="AO5" i="10"/>
  <c r="AM6" i="10"/>
  <c r="AN6" i="10"/>
  <c r="AO6" i="10"/>
  <c r="AM7" i="10"/>
  <c r="AN7" i="10"/>
  <c r="AO7" i="10"/>
  <c r="AM8" i="10"/>
  <c r="AN8" i="10"/>
  <c r="AO8" i="10"/>
  <c r="AL6" i="10"/>
  <c r="AL7" i="10"/>
  <c r="AL8" i="10"/>
  <c r="AL5" i="10"/>
  <c r="E13" i="8"/>
  <c r="E12" i="8"/>
  <c r="E16" i="8"/>
  <c r="E2" i="36"/>
  <c r="AI3" i="1" l="1"/>
  <c r="N32" i="1" s="1"/>
  <c r="R32" i="1" s="1" a="1"/>
  <c r="R32" i="1" s="1"/>
  <c r="AI2" i="1"/>
  <c r="E13" i="31"/>
  <c r="F13" i="31" s="1"/>
  <c r="E14" i="31"/>
  <c r="F14" i="31" s="1"/>
  <c r="E15" i="31"/>
  <c r="F15" i="31" s="1"/>
  <c r="E7" i="31"/>
  <c r="F7" i="31" s="1"/>
  <c r="E8" i="31"/>
  <c r="F8" i="31" s="1"/>
  <c r="E9" i="31"/>
  <c r="F9" i="31" s="1"/>
  <c r="N30" i="1" l="1"/>
  <c r="R30" i="1" s="1" a="1"/>
  <c r="R30" i="1" s="1"/>
  <c r="N31" i="1"/>
  <c r="R31" i="1" s="1" a="1"/>
  <c r="R31" i="1" s="1"/>
  <c r="S31" i="1" s="1"/>
  <c r="N29" i="1"/>
  <c r="R29" i="1" s="1" a="1"/>
  <c r="R29" i="1" s="1"/>
  <c r="N28" i="1"/>
  <c r="R28" i="1" s="1" a="1"/>
  <c r="R28" i="1" s="1"/>
  <c r="C11" i="41"/>
  <c r="D11" i="41"/>
  <c r="E11" i="41"/>
  <c r="F11" i="41"/>
  <c r="G11" i="41"/>
  <c r="I11" i="41"/>
  <c r="J11" i="41"/>
  <c r="K11" i="41"/>
  <c r="L11" i="41"/>
  <c r="C12" i="41"/>
  <c r="D12" i="41"/>
  <c r="E12" i="41"/>
  <c r="F12" i="41"/>
  <c r="G12" i="41"/>
  <c r="I12" i="41"/>
  <c r="J12" i="41"/>
  <c r="K12" i="41"/>
  <c r="L12" i="41"/>
  <c r="C13" i="41"/>
  <c r="D13" i="41"/>
  <c r="E13" i="41"/>
  <c r="F13" i="41"/>
  <c r="G13" i="41"/>
  <c r="I13" i="41"/>
  <c r="J13" i="41"/>
  <c r="K13" i="41"/>
  <c r="L13" i="41"/>
  <c r="C14" i="41"/>
  <c r="D14" i="41"/>
  <c r="E14" i="41"/>
  <c r="F14" i="41"/>
  <c r="G14" i="41"/>
  <c r="I14" i="41"/>
  <c r="J14" i="41"/>
  <c r="K14" i="41"/>
  <c r="L14" i="41"/>
  <c r="C15" i="41"/>
  <c r="D15" i="41"/>
  <c r="E15" i="41"/>
  <c r="F15" i="41"/>
  <c r="G15" i="41"/>
  <c r="I15" i="41"/>
  <c r="J15" i="41"/>
  <c r="K15" i="41"/>
  <c r="L15" i="41"/>
  <c r="C16" i="41"/>
  <c r="D16" i="41"/>
  <c r="E16" i="41"/>
  <c r="F16" i="41"/>
  <c r="G16" i="41"/>
  <c r="I16" i="41"/>
  <c r="J16" i="41"/>
  <c r="K16" i="41"/>
  <c r="L16" i="41"/>
  <c r="C17" i="41"/>
  <c r="D17" i="41"/>
  <c r="E17" i="41"/>
  <c r="F17" i="41"/>
  <c r="G17" i="41"/>
  <c r="I17" i="41"/>
  <c r="J17" i="41"/>
  <c r="K17" i="41"/>
  <c r="L17" i="41"/>
  <c r="C18" i="41"/>
  <c r="D18" i="41"/>
  <c r="E18" i="41"/>
  <c r="F18" i="41"/>
  <c r="G18" i="41"/>
  <c r="I18" i="41"/>
  <c r="J18" i="41"/>
  <c r="K18" i="41"/>
  <c r="L18" i="41"/>
  <c r="C19" i="41"/>
  <c r="D19" i="41"/>
  <c r="E19" i="41"/>
  <c r="F19" i="41"/>
  <c r="G19" i="41"/>
  <c r="I19" i="41"/>
  <c r="J19" i="41"/>
  <c r="K19" i="41"/>
  <c r="L19" i="41"/>
  <c r="C20" i="41"/>
  <c r="D20" i="41"/>
  <c r="E20" i="41"/>
  <c r="F20" i="41"/>
  <c r="G20" i="41"/>
  <c r="I20" i="41"/>
  <c r="J20" i="41"/>
  <c r="K20" i="41"/>
  <c r="L20" i="41"/>
  <c r="C21" i="41"/>
  <c r="D21" i="41"/>
  <c r="E21" i="41"/>
  <c r="F21" i="41"/>
  <c r="G21" i="41"/>
  <c r="I21" i="41"/>
  <c r="J21" i="41"/>
  <c r="K21" i="41"/>
  <c r="L21" i="41"/>
  <c r="C22" i="41"/>
  <c r="D22" i="41"/>
  <c r="E22" i="41"/>
  <c r="F22" i="41"/>
  <c r="G22" i="41"/>
  <c r="I22" i="41"/>
  <c r="J22" i="41"/>
  <c r="K22" i="41"/>
  <c r="L22" i="41"/>
  <c r="C23" i="41"/>
  <c r="D23" i="41"/>
  <c r="E23" i="41"/>
  <c r="F23" i="41"/>
  <c r="G23" i="41"/>
  <c r="I23" i="41"/>
  <c r="J23" i="41"/>
  <c r="K23" i="41"/>
  <c r="L23" i="41"/>
  <c r="C24" i="41"/>
  <c r="D24" i="41"/>
  <c r="E24" i="41"/>
  <c r="F24" i="41"/>
  <c r="G24" i="41"/>
  <c r="I24" i="41"/>
  <c r="J24" i="41"/>
  <c r="K24" i="41"/>
  <c r="L24" i="41"/>
  <c r="C25" i="41"/>
  <c r="D25" i="41"/>
  <c r="E25" i="41"/>
  <c r="F25" i="41"/>
  <c r="G25" i="41"/>
  <c r="I25" i="41"/>
  <c r="J25" i="41"/>
  <c r="K25" i="41"/>
  <c r="L25" i="41"/>
  <c r="C26" i="41"/>
  <c r="D26" i="41"/>
  <c r="E26" i="41"/>
  <c r="F26" i="41"/>
  <c r="G26" i="41"/>
  <c r="I26" i="41"/>
  <c r="J26" i="41"/>
  <c r="K26" i="41"/>
  <c r="L26" i="41"/>
  <c r="C27" i="41"/>
  <c r="D27" i="41"/>
  <c r="E27" i="41"/>
  <c r="F27" i="41"/>
  <c r="G27" i="41"/>
  <c r="I27" i="41"/>
  <c r="J27" i="41"/>
  <c r="K27" i="41"/>
  <c r="L27" i="41"/>
  <c r="C28" i="41"/>
  <c r="D28" i="41"/>
  <c r="E28" i="41"/>
  <c r="F28" i="41"/>
  <c r="G28" i="41"/>
  <c r="I28" i="41"/>
  <c r="J28" i="41"/>
  <c r="K28" i="41"/>
  <c r="L28" i="41"/>
  <c r="C29" i="41"/>
  <c r="D29" i="41"/>
  <c r="E29" i="41"/>
  <c r="F29" i="41"/>
  <c r="G29" i="41"/>
  <c r="I29" i="41"/>
  <c r="J29" i="41"/>
  <c r="K29" i="41"/>
  <c r="L29" i="41"/>
  <c r="C30" i="41"/>
  <c r="D30" i="41"/>
  <c r="E30" i="41"/>
  <c r="F30" i="41"/>
  <c r="G30" i="41"/>
  <c r="I30" i="41"/>
  <c r="J30" i="41"/>
  <c r="K30" i="41"/>
  <c r="L30" i="41"/>
  <c r="C31" i="41"/>
  <c r="D31" i="41"/>
  <c r="E31" i="41"/>
  <c r="F31" i="41"/>
  <c r="G31" i="41"/>
  <c r="I31" i="41"/>
  <c r="J31" i="41"/>
  <c r="K31" i="41"/>
  <c r="L31" i="41"/>
  <c r="C32" i="41"/>
  <c r="D32" i="41"/>
  <c r="E32" i="41"/>
  <c r="F32" i="41"/>
  <c r="G32" i="41"/>
  <c r="I32" i="41"/>
  <c r="J32" i="41"/>
  <c r="K32" i="41"/>
  <c r="L32" i="41"/>
  <c r="C33" i="41"/>
  <c r="D33" i="41"/>
  <c r="E33" i="41"/>
  <c r="F33" i="41"/>
  <c r="G33" i="41"/>
  <c r="I33" i="41"/>
  <c r="J33" i="41"/>
  <c r="K33" i="41"/>
  <c r="L33" i="41"/>
  <c r="C34" i="41"/>
  <c r="D34" i="41"/>
  <c r="E34" i="41"/>
  <c r="F34" i="41"/>
  <c r="G34" i="41"/>
  <c r="I34" i="41"/>
  <c r="J34" i="41"/>
  <c r="K34" i="41"/>
  <c r="L34" i="41"/>
  <c r="C35" i="41"/>
  <c r="D35" i="41"/>
  <c r="E35" i="41"/>
  <c r="F35" i="41"/>
  <c r="G35" i="41"/>
  <c r="I35" i="41"/>
  <c r="J35" i="41"/>
  <c r="K35" i="41"/>
  <c r="L35" i="41"/>
  <c r="C36" i="41"/>
  <c r="D36" i="41"/>
  <c r="E36" i="41"/>
  <c r="F36" i="41"/>
  <c r="G36" i="41"/>
  <c r="I36" i="41"/>
  <c r="J36" i="41"/>
  <c r="K36" i="41"/>
  <c r="L36" i="41"/>
  <c r="C37" i="41"/>
  <c r="D37" i="41"/>
  <c r="E37" i="41"/>
  <c r="F37" i="41"/>
  <c r="G37" i="41"/>
  <c r="I37" i="41"/>
  <c r="J37" i="41"/>
  <c r="K37" i="41"/>
  <c r="L37" i="41"/>
  <c r="C38" i="41"/>
  <c r="D38" i="41"/>
  <c r="E38" i="41"/>
  <c r="F38" i="41"/>
  <c r="G38" i="41"/>
  <c r="I38" i="41"/>
  <c r="J38" i="41"/>
  <c r="K38" i="41"/>
  <c r="L38" i="41"/>
  <c r="C39" i="41"/>
  <c r="D39" i="41"/>
  <c r="E39" i="41"/>
  <c r="F39" i="41"/>
  <c r="G39" i="41"/>
  <c r="I39" i="41"/>
  <c r="J39" i="41"/>
  <c r="K39" i="41"/>
  <c r="L39" i="41"/>
  <c r="C40" i="41"/>
  <c r="D40" i="41"/>
  <c r="E40" i="41"/>
  <c r="F40" i="41"/>
  <c r="G40" i="41"/>
  <c r="I40" i="41"/>
  <c r="J40" i="41"/>
  <c r="K40" i="41"/>
  <c r="L40" i="41"/>
  <c r="C41" i="41"/>
  <c r="D41" i="41"/>
  <c r="E41" i="41"/>
  <c r="F41" i="41"/>
  <c r="G41" i="41"/>
  <c r="I41" i="41"/>
  <c r="J41" i="41"/>
  <c r="K41" i="41"/>
  <c r="L41" i="41"/>
  <c r="C42" i="41"/>
  <c r="D42" i="41"/>
  <c r="E42" i="41"/>
  <c r="F42" i="41"/>
  <c r="G42" i="41"/>
  <c r="I42" i="41"/>
  <c r="J42" i="41"/>
  <c r="K42" i="41"/>
  <c r="L42" i="41"/>
  <c r="C43" i="41"/>
  <c r="D43" i="41"/>
  <c r="E43" i="41"/>
  <c r="F43" i="41"/>
  <c r="G43" i="41"/>
  <c r="I43" i="41"/>
  <c r="J43" i="41"/>
  <c r="K43" i="41"/>
  <c r="L43" i="41"/>
  <c r="C44" i="41"/>
  <c r="D44" i="41"/>
  <c r="E44" i="41"/>
  <c r="F44" i="41"/>
  <c r="G44" i="41"/>
  <c r="I44" i="41"/>
  <c r="J44" i="41"/>
  <c r="K44" i="41"/>
  <c r="L44" i="41"/>
  <c r="C45" i="41"/>
  <c r="D45" i="41"/>
  <c r="E45" i="41"/>
  <c r="F45" i="41"/>
  <c r="G45" i="41"/>
  <c r="I45" i="41"/>
  <c r="J45" i="41"/>
  <c r="K45" i="41"/>
  <c r="L45" i="41"/>
  <c r="C46" i="41"/>
  <c r="D46" i="41"/>
  <c r="E46" i="41"/>
  <c r="F46" i="41"/>
  <c r="G46" i="41"/>
  <c r="I46" i="41"/>
  <c r="J46" i="41"/>
  <c r="K46" i="41"/>
  <c r="L46" i="41"/>
  <c r="C47" i="41"/>
  <c r="D47" i="41"/>
  <c r="E47" i="41"/>
  <c r="F47" i="41"/>
  <c r="G47" i="41"/>
  <c r="I47" i="41"/>
  <c r="J47" i="41"/>
  <c r="K47" i="41"/>
  <c r="L47" i="41"/>
  <c r="C48" i="41"/>
  <c r="D48" i="41"/>
  <c r="E48" i="41"/>
  <c r="F48" i="41"/>
  <c r="G48" i="41"/>
  <c r="I48" i="41"/>
  <c r="J48" i="41"/>
  <c r="K48" i="41"/>
  <c r="L48" i="41"/>
  <c r="C49" i="41"/>
  <c r="D49" i="41"/>
  <c r="E49" i="41"/>
  <c r="F49" i="41"/>
  <c r="G49" i="41"/>
  <c r="I49" i="41"/>
  <c r="J49" i="41"/>
  <c r="K49" i="41"/>
  <c r="L49" i="41"/>
  <c r="C50" i="41"/>
  <c r="D50" i="41"/>
  <c r="E50" i="41"/>
  <c r="F50" i="41"/>
  <c r="G50" i="41"/>
  <c r="I50" i="41"/>
  <c r="J50" i="41"/>
  <c r="K50" i="41"/>
  <c r="L50" i="41"/>
  <c r="C51" i="41"/>
  <c r="D51" i="41"/>
  <c r="E51" i="41"/>
  <c r="F51" i="41"/>
  <c r="G51" i="41"/>
  <c r="I51" i="41"/>
  <c r="J51" i="41"/>
  <c r="K51" i="41"/>
  <c r="L51" i="41"/>
  <c r="C52" i="41"/>
  <c r="D52" i="41"/>
  <c r="E52" i="41"/>
  <c r="F52" i="41"/>
  <c r="G52" i="41"/>
  <c r="I52" i="41"/>
  <c r="J52" i="41"/>
  <c r="K52" i="41"/>
  <c r="L52" i="41"/>
  <c r="C53" i="41"/>
  <c r="D53" i="41"/>
  <c r="E53" i="41"/>
  <c r="F53" i="41"/>
  <c r="G53" i="41"/>
  <c r="I53" i="41"/>
  <c r="J53" i="41"/>
  <c r="K53" i="41"/>
  <c r="L53" i="41"/>
  <c r="C54" i="41"/>
  <c r="D54" i="41"/>
  <c r="E54" i="41"/>
  <c r="F54" i="41"/>
  <c r="G54" i="41"/>
  <c r="I54" i="41"/>
  <c r="J54" i="41"/>
  <c r="K54" i="41"/>
  <c r="L54" i="41"/>
  <c r="C55" i="41"/>
  <c r="D55" i="41"/>
  <c r="E55" i="41"/>
  <c r="F55" i="41"/>
  <c r="G55" i="41"/>
  <c r="I55" i="41"/>
  <c r="J55" i="41"/>
  <c r="K55" i="41"/>
  <c r="L55" i="41"/>
  <c r="C56" i="41"/>
  <c r="D56" i="41"/>
  <c r="E56" i="41"/>
  <c r="F56" i="41"/>
  <c r="G56" i="41"/>
  <c r="I56" i="41"/>
  <c r="J56" i="41"/>
  <c r="K56" i="41"/>
  <c r="L56" i="41"/>
  <c r="C57" i="41"/>
  <c r="D57" i="41"/>
  <c r="E57" i="41"/>
  <c r="F57" i="41"/>
  <c r="G57" i="41"/>
  <c r="I57" i="41"/>
  <c r="J57" i="41"/>
  <c r="K57" i="41"/>
  <c r="L57" i="41"/>
  <c r="C58" i="41"/>
  <c r="D58" i="41"/>
  <c r="E58" i="41"/>
  <c r="F58" i="41"/>
  <c r="G58" i="41"/>
  <c r="I58" i="41"/>
  <c r="J58" i="41"/>
  <c r="K58" i="41"/>
  <c r="L58" i="41"/>
  <c r="C59" i="41"/>
  <c r="D59" i="41"/>
  <c r="E59" i="41"/>
  <c r="F59" i="41"/>
  <c r="G59" i="41"/>
  <c r="I59" i="41"/>
  <c r="J59" i="41"/>
  <c r="K59" i="41"/>
  <c r="L59" i="41"/>
  <c r="L10" i="41"/>
  <c r="K10" i="41"/>
  <c r="J10" i="41"/>
  <c r="I10" i="41"/>
  <c r="G10" i="41"/>
  <c r="F10" i="41"/>
  <c r="E10" i="41"/>
  <c r="C10" i="41"/>
  <c r="D10" i="41"/>
  <c r="S30" i="1" l="1"/>
  <c r="T30" i="1" s="1"/>
  <c r="T76" i="1"/>
  <c r="T39" i="1"/>
  <c r="Z39" i="1"/>
  <c r="T72" i="1"/>
  <c r="Z72" i="1"/>
  <c r="W72" i="1"/>
  <c r="T71" i="1"/>
  <c r="T38" i="1"/>
  <c r="Z38" i="1"/>
  <c r="W38" i="1"/>
  <c r="T69" i="1"/>
  <c r="Z69" i="1"/>
  <c r="W69" i="1"/>
  <c r="T68" i="1"/>
  <c r="T51" i="1"/>
  <c r="Z51" i="1"/>
  <c r="T65" i="1"/>
  <c r="Z65" i="1"/>
  <c r="W65" i="1"/>
  <c r="T35" i="1"/>
  <c r="Z35" i="1"/>
  <c r="T49" i="1"/>
  <c r="T33" i="1"/>
  <c r="Z33" i="1"/>
  <c r="W33" i="1"/>
  <c r="T66" i="1"/>
  <c r="W66" i="1"/>
  <c r="Z66" i="1"/>
  <c r="T48" i="1"/>
  <c r="Z48" i="1"/>
  <c r="T58" i="1"/>
  <c r="Z58" i="1"/>
  <c r="T60" i="1"/>
  <c r="Z60" i="1"/>
  <c r="T42" i="1"/>
  <c r="Z42" i="1"/>
  <c r="T73" i="1"/>
  <c r="Z73" i="1"/>
  <c r="T54" i="1"/>
  <c r="Z54" i="1"/>
  <c r="W54" i="1"/>
  <c r="T52" i="1"/>
  <c r="T62" i="1"/>
  <c r="Z62" i="1"/>
  <c r="T34" i="1"/>
  <c r="Z34" i="1"/>
  <c r="T46" i="1"/>
  <c r="T77" i="1"/>
  <c r="Z77" i="1"/>
  <c r="T57" i="1"/>
  <c r="Z57" i="1"/>
  <c r="T75" i="1"/>
  <c r="T55" i="1"/>
  <c r="Z55" i="1"/>
  <c r="T36" i="1"/>
  <c r="Z36" i="1"/>
  <c r="T50" i="1"/>
  <c r="Z50" i="1"/>
  <c r="T70" i="1"/>
  <c r="W70" i="1"/>
  <c r="T61" i="1"/>
  <c r="Z61" i="1"/>
  <c r="T41" i="1"/>
  <c r="Z41" i="1"/>
  <c r="T74" i="1"/>
  <c r="W74" i="1"/>
  <c r="Z74" i="1"/>
  <c r="T56" i="1"/>
  <c r="Z56" i="1"/>
  <c r="W56" i="1"/>
  <c r="T53" i="1"/>
  <c r="Z53" i="1"/>
  <c r="W53" i="1"/>
  <c r="T63" i="1"/>
  <c r="Z63" i="1"/>
  <c r="T44" i="1"/>
  <c r="Z44" i="1"/>
  <c r="T45" i="1"/>
  <c r="Z45" i="1"/>
  <c r="T40" i="1"/>
  <c r="Z40" i="1"/>
  <c r="T37" i="1"/>
  <c r="Z37" i="1"/>
  <c r="T67" i="1"/>
  <c r="Z67" i="1"/>
  <c r="T64" i="1"/>
  <c r="W64" i="1"/>
  <c r="T59" i="1"/>
  <c r="Z59" i="1"/>
  <c r="T47" i="1"/>
  <c r="W47" i="1"/>
  <c r="Z47" i="1"/>
  <c r="T43" i="1"/>
  <c r="T32" i="1"/>
  <c r="T31" i="1"/>
  <c r="S29" i="1"/>
  <c r="T29" i="1" s="1"/>
  <c r="T28" i="1"/>
  <c r="L7" i="41"/>
  <c r="L6" i="41"/>
  <c r="L5" i="41"/>
  <c r="C23" i="1" l="1"/>
  <c r="U30" i="1"/>
  <c r="Y30" i="1"/>
  <c r="X30" i="1"/>
  <c r="V30" i="1"/>
  <c r="Z64" i="1"/>
  <c r="W63" i="1"/>
  <c r="Z68" i="1"/>
  <c r="Z49" i="1"/>
  <c r="W76" i="1"/>
  <c r="W46" i="1"/>
  <c r="W36" i="1"/>
  <c r="W58" i="1"/>
  <c r="W73" i="1"/>
  <c r="W51" i="1"/>
  <c r="W37" i="1"/>
  <c r="W44" i="1"/>
  <c r="W45" i="1"/>
  <c r="W61" i="1"/>
  <c r="W40" i="1"/>
  <c r="Z70" i="1"/>
  <c r="W48" i="1"/>
  <c r="W71" i="1"/>
  <c r="Z76" i="1"/>
  <c r="W67" i="1"/>
  <c r="W75" i="1"/>
  <c r="W41" i="1"/>
  <c r="W34" i="1"/>
  <c r="W57" i="1"/>
  <c r="W59" i="1"/>
  <c r="W77" i="1"/>
  <c r="Z43" i="1"/>
  <c r="Z46" i="1"/>
  <c r="Z71" i="1"/>
  <c r="W39" i="1"/>
  <c r="W62" i="1"/>
  <c r="W43" i="1"/>
  <c r="Z75" i="1"/>
  <c r="Z52" i="1"/>
  <c r="W42" i="1"/>
  <c r="W35" i="1"/>
  <c r="W50" i="1"/>
  <c r="W60" i="1"/>
  <c r="W55" i="1"/>
  <c r="W49" i="1"/>
  <c r="F10" i="39"/>
  <c r="E30" i="40"/>
  <c r="D5" i="40"/>
  <c r="H11" i="39"/>
  <c r="H12" i="39"/>
  <c r="H13" i="39"/>
  <c r="H14" i="39"/>
  <c r="H15" i="39"/>
  <c r="H16" i="39"/>
  <c r="H17" i="39"/>
  <c r="H18" i="39"/>
  <c r="H19" i="39"/>
  <c r="H20" i="39"/>
  <c r="H21" i="39"/>
  <c r="H22" i="39"/>
  <c r="H23" i="39"/>
  <c r="H24" i="39"/>
  <c r="H25" i="39"/>
  <c r="H26" i="39"/>
  <c r="H27" i="39"/>
  <c r="H28" i="39"/>
  <c r="H29" i="39"/>
  <c r="H30" i="39"/>
  <c r="H31" i="39"/>
  <c r="H32" i="39"/>
  <c r="H33" i="39"/>
  <c r="H34" i="39"/>
  <c r="H35" i="39"/>
  <c r="H36" i="39"/>
  <c r="H37" i="39"/>
  <c r="H38" i="39"/>
  <c r="H39" i="39"/>
  <c r="H40" i="39"/>
  <c r="H41" i="39"/>
  <c r="H42" i="39"/>
  <c r="H43" i="39"/>
  <c r="H44" i="39"/>
  <c r="H45" i="39"/>
  <c r="H46" i="39"/>
  <c r="H47" i="39"/>
  <c r="H48" i="39"/>
  <c r="H49" i="39"/>
  <c r="H50" i="39"/>
  <c r="H51" i="39"/>
  <c r="H52" i="39"/>
  <c r="H53" i="39"/>
  <c r="H54" i="39"/>
  <c r="H55" i="39"/>
  <c r="H56" i="39"/>
  <c r="H57" i="39"/>
  <c r="H58" i="39"/>
  <c r="H59" i="39"/>
  <c r="H10" i="39"/>
  <c r="F11" i="39"/>
  <c r="G11" i="39" s="1"/>
  <c r="F12" i="39"/>
  <c r="G12" i="39" s="1"/>
  <c r="F13" i="39"/>
  <c r="G13" i="39" s="1"/>
  <c r="F14" i="39"/>
  <c r="G14" i="39" s="1"/>
  <c r="F15" i="39"/>
  <c r="G15" i="39" s="1"/>
  <c r="F16" i="39"/>
  <c r="G16" i="39" s="1"/>
  <c r="F17" i="39"/>
  <c r="G17" i="39" s="1"/>
  <c r="F18" i="39"/>
  <c r="G18" i="39" s="1"/>
  <c r="F19" i="39"/>
  <c r="G19" i="39" s="1"/>
  <c r="F20" i="39"/>
  <c r="G20" i="39" s="1"/>
  <c r="F21" i="39"/>
  <c r="G21" i="39" s="1"/>
  <c r="F22" i="39"/>
  <c r="G22" i="39" s="1"/>
  <c r="F23" i="39"/>
  <c r="G23" i="39" s="1"/>
  <c r="F24" i="39"/>
  <c r="G24" i="39" s="1"/>
  <c r="F25" i="39"/>
  <c r="G25" i="39" s="1"/>
  <c r="F26" i="39"/>
  <c r="G26" i="39" s="1"/>
  <c r="F27" i="39"/>
  <c r="G27" i="39" s="1"/>
  <c r="F28" i="39"/>
  <c r="G28" i="39" s="1"/>
  <c r="F29" i="39"/>
  <c r="G29" i="39" s="1"/>
  <c r="F30" i="39"/>
  <c r="G30" i="39" s="1"/>
  <c r="F31" i="39"/>
  <c r="G31" i="39" s="1"/>
  <c r="F32" i="39"/>
  <c r="G32" i="39" s="1"/>
  <c r="F33" i="39"/>
  <c r="G33" i="39" s="1"/>
  <c r="F34" i="39"/>
  <c r="G34" i="39" s="1"/>
  <c r="F35" i="39"/>
  <c r="G35" i="39" s="1"/>
  <c r="F36" i="39"/>
  <c r="G36" i="39" s="1"/>
  <c r="F37" i="39"/>
  <c r="G37" i="39" s="1"/>
  <c r="F38" i="39"/>
  <c r="G38" i="39" s="1"/>
  <c r="F39" i="39"/>
  <c r="G39" i="39" s="1"/>
  <c r="F40" i="39"/>
  <c r="G40" i="39" s="1"/>
  <c r="F41" i="39"/>
  <c r="G41" i="39" s="1"/>
  <c r="F42" i="39"/>
  <c r="G42" i="39" s="1"/>
  <c r="F43" i="39"/>
  <c r="G43" i="39" s="1"/>
  <c r="F44" i="39"/>
  <c r="G44" i="39" s="1"/>
  <c r="F45" i="39"/>
  <c r="G45" i="39" s="1"/>
  <c r="F46" i="39"/>
  <c r="G46" i="39" s="1"/>
  <c r="F47" i="39"/>
  <c r="G47" i="39" s="1"/>
  <c r="F48" i="39"/>
  <c r="G48" i="39" s="1"/>
  <c r="F49" i="39"/>
  <c r="G49" i="39" s="1"/>
  <c r="F50" i="39"/>
  <c r="G50" i="39" s="1"/>
  <c r="F51" i="39"/>
  <c r="G51" i="39" s="1"/>
  <c r="F52" i="39"/>
  <c r="G52" i="39" s="1"/>
  <c r="F53" i="39"/>
  <c r="G53" i="39" s="1"/>
  <c r="F54" i="39"/>
  <c r="G54" i="39" s="1"/>
  <c r="F55" i="39"/>
  <c r="G55" i="39" s="1"/>
  <c r="F56" i="39"/>
  <c r="G56" i="39" s="1"/>
  <c r="F57" i="39"/>
  <c r="G57" i="39" s="1"/>
  <c r="F58" i="39"/>
  <c r="G58" i="39" s="1"/>
  <c r="F59" i="39"/>
  <c r="G59" i="39" s="1"/>
  <c r="E11" i="39"/>
  <c r="E12" i="39"/>
  <c r="E13" i="39"/>
  <c r="E14" i="39"/>
  <c r="E15" i="39"/>
  <c r="E16" i="39"/>
  <c r="E17" i="39"/>
  <c r="E18" i="39"/>
  <c r="E19" i="39"/>
  <c r="E20" i="39"/>
  <c r="E21" i="39"/>
  <c r="E22" i="39"/>
  <c r="E23" i="39"/>
  <c r="E24" i="39"/>
  <c r="E25" i="39"/>
  <c r="E26" i="39"/>
  <c r="E27" i="39"/>
  <c r="E28" i="39"/>
  <c r="E29" i="39"/>
  <c r="E30" i="39"/>
  <c r="E31" i="39"/>
  <c r="E32" i="39"/>
  <c r="E33" i="39"/>
  <c r="E34" i="39"/>
  <c r="E35" i="39"/>
  <c r="E36" i="39"/>
  <c r="E37" i="39"/>
  <c r="E38" i="39"/>
  <c r="E39" i="39"/>
  <c r="E40" i="39"/>
  <c r="E41" i="39"/>
  <c r="E42" i="39"/>
  <c r="E43" i="39"/>
  <c r="E44" i="39"/>
  <c r="E45" i="39"/>
  <c r="E46" i="39"/>
  <c r="E47" i="39"/>
  <c r="E48" i="39"/>
  <c r="E49" i="39"/>
  <c r="E50" i="39"/>
  <c r="E51" i="39"/>
  <c r="E52" i="39"/>
  <c r="E53" i="39"/>
  <c r="E54" i="39"/>
  <c r="E55" i="39"/>
  <c r="E56" i="39"/>
  <c r="E57" i="39"/>
  <c r="E58" i="39"/>
  <c r="E59" i="39"/>
  <c r="E10" i="39"/>
  <c r="D11" i="39"/>
  <c r="D12" i="39"/>
  <c r="D13" i="39"/>
  <c r="D14" i="39"/>
  <c r="D15" i="39"/>
  <c r="D16" i="39"/>
  <c r="D17" i="39"/>
  <c r="D18" i="39"/>
  <c r="D19"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10" i="39"/>
  <c r="C11" i="39"/>
  <c r="C12" i="39"/>
  <c r="C13" i="39"/>
  <c r="C14" i="39"/>
  <c r="C15" i="39"/>
  <c r="C16" i="39"/>
  <c r="C17" i="39"/>
  <c r="C18" i="39"/>
  <c r="C19" i="39"/>
  <c r="C20" i="39"/>
  <c r="C21" i="39"/>
  <c r="C22" i="39"/>
  <c r="C23" i="39"/>
  <c r="C24" i="39"/>
  <c r="C25" i="39"/>
  <c r="C26" i="39"/>
  <c r="C27" i="39"/>
  <c r="C28" i="39"/>
  <c r="C29" i="39"/>
  <c r="C30" i="39"/>
  <c r="C31" i="39"/>
  <c r="C32" i="39"/>
  <c r="C33" i="39"/>
  <c r="C34" i="39"/>
  <c r="C35" i="39"/>
  <c r="C36" i="39"/>
  <c r="C37" i="39"/>
  <c r="C38" i="39"/>
  <c r="C39" i="39"/>
  <c r="C40" i="39"/>
  <c r="C41" i="39"/>
  <c r="C42" i="39"/>
  <c r="C43" i="39"/>
  <c r="C44" i="39"/>
  <c r="C45" i="39"/>
  <c r="C46" i="39"/>
  <c r="C47" i="39"/>
  <c r="C48" i="39"/>
  <c r="C49" i="39"/>
  <c r="C50" i="39"/>
  <c r="C51" i="39"/>
  <c r="C52" i="39"/>
  <c r="C53" i="39"/>
  <c r="C54" i="39"/>
  <c r="C55" i="39"/>
  <c r="C56" i="39"/>
  <c r="C57" i="39"/>
  <c r="C58" i="39"/>
  <c r="C59" i="39"/>
  <c r="C10" i="39"/>
  <c r="H7" i="39"/>
  <c r="H6" i="39"/>
  <c r="H5" i="39"/>
  <c r="E36" i="38"/>
  <c r="D5" i="38"/>
  <c r="D7" i="38" s="1"/>
  <c r="D7" i="39" s="1"/>
  <c r="D5" i="36"/>
  <c r="D31" i="36" s="1"/>
  <c r="E35" i="37"/>
  <c r="D5" i="37"/>
  <c r="D7" i="37" s="1"/>
  <c r="E42" i="36"/>
  <c r="C11" i="35"/>
  <c r="C12" i="35"/>
  <c r="C13" i="35"/>
  <c r="C14" i="35"/>
  <c r="C15" i="35"/>
  <c r="C16" i="35"/>
  <c r="C17" i="35"/>
  <c r="C18" i="35"/>
  <c r="C19" i="35"/>
  <c r="C20" i="35"/>
  <c r="C21" i="35"/>
  <c r="C22" i="35"/>
  <c r="C23" i="35"/>
  <c r="C24" i="35"/>
  <c r="C25" i="35"/>
  <c r="C26" i="35"/>
  <c r="C27" i="35"/>
  <c r="C28" i="35"/>
  <c r="C29" i="35"/>
  <c r="C30" i="35"/>
  <c r="C31" i="35"/>
  <c r="C32" i="35"/>
  <c r="C33" i="35"/>
  <c r="C34" i="35"/>
  <c r="C35" i="35"/>
  <c r="C36" i="35"/>
  <c r="C37" i="35"/>
  <c r="C38" i="35"/>
  <c r="C39" i="35"/>
  <c r="C40" i="35"/>
  <c r="C41" i="35"/>
  <c r="C42" i="35"/>
  <c r="C43" i="35"/>
  <c r="C44" i="35"/>
  <c r="C45" i="35"/>
  <c r="C46" i="35"/>
  <c r="C47" i="35"/>
  <c r="C48" i="35"/>
  <c r="C49" i="35"/>
  <c r="C50" i="35"/>
  <c r="C51" i="35"/>
  <c r="C52" i="35"/>
  <c r="C53" i="35"/>
  <c r="C54" i="35"/>
  <c r="C55" i="35"/>
  <c r="C56" i="35"/>
  <c r="C57" i="35"/>
  <c r="C58" i="35"/>
  <c r="C59" i="35"/>
  <c r="C10" i="35"/>
  <c r="M10" i="35"/>
  <c r="M11" i="35"/>
  <c r="M12" i="35"/>
  <c r="M13" i="35"/>
  <c r="M14" i="35"/>
  <c r="M15" i="35"/>
  <c r="M16" i="35"/>
  <c r="M17" i="35"/>
  <c r="M18" i="35"/>
  <c r="M19" i="35"/>
  <c r="M20" i="35"/>
  <c r="M21" i="35"/>
  <c r="M22" i="35"/>
  <c r="M23" i="35"/>
  <c r="M24" i="35"/>
  <c r="M25" i="35"/>
  <c r="M26" i="35"/>
  <c r="M27" i="35"/>
  <c r="M28" i="35"/>
  <c r="M29" i="35"/>
  <c r="M30" i="35"/>
  <c r="M31" i="35"/>
  <c r="M32" i="35"/>
  <c r="M33" i="35"/>
  <c r="M34" i="35"/>
  <c r="M35" i="35"/>
  <c r="M36" i="35"/>
  <c r="M37" i="35"/>
  <c r="M38" i="35"/>
  <c r="M39" i="35"/>
  <c r="M40" i="35"/>
  <c r="M41" i="35"/>
  <c r="M42" i="35"/>
  <c r="M43" i="35"/>
  <c r="M44" i="35"/>
  <c r="M45" i="35"/>
  <c r="M46" i="35"/>
  <c r="M47" i="35"/>
  <c r="M48" i="35"/>
  <c r="M49" i="35"/>
  <c r="M50" i="35"/>
  <c r="M51" i="35"/>
  <c r="M52" i="35"/>
  <c r="M53" i="35"/>
  <c r="M54" i="35"/>
  <c r="M55" i="35"/>
  <c r="M56" i="35"/>
  <c r="M57" i="35"/>
  <c r="M58" i="35"/>
  <c r="M59" i="35"/>
  <c r="J11" i="35"/>
  <c r="K11" i="35"/>
  <c r="L11" i="35"/>
  <c r="J12" i="35"/>
  <c r="K12" i="35"/>
  <c r="L12" i="35"/>
  <c r="J13" i="35"/>
  <c r="K13" i="35"/>
  <c r="L13" i="35"/>
  <c r="J14" i="35"/>
  <c r="K14" i="35"/>
  <c r="L14" i="35"/>
  <c r="J15" i="35"/>
  <c r="K15" i="35"/>
  <c r="L15" i="35"/>
  <c r="J16" i="35"/>
  <c r="K16" i="35"/>
  <c r="L16" i="35"/>
  <c r="J17" i="35"/>
  <c r="K17" i="35"/>
  <c r="L17" i="35"/>
  <c r="J18" i="35"/>
  <c r="K18" i="35"/>
  <c r="L18" i="35"/>
  <c r="J19" i="35"/>
  <c r="K19" i="35"/>
  <c r="L19" i="35"/>
  <c r="J20" i="35"/>
  <c r="K20" i="35"/>
  <c r="L20" i="35"/>
  <c r="J21" i="35"/>
  <c r="K21" i="35"/>
  <c r="L21" i="35"/>
  <c r="J22" i="35"/>
  <c r="K22" i="35"/>
  <c r="L22" i="35"/>
  <c r="J23" i="35"/>
  <c r="K23" i="35"/>
  <c r="L23" i="35"/>
  <c r="J24" i="35"/>
  <c r="K24" i="35"/>
  <c r="L24" i="35"/>
  <c r="J25" i="35"/>
  <c r="K25" i="35"/>
  <c r="L25" i="35"/>
  <c r="J26" i="35"/>
  <c r="K26" i="35"/>
  <c r="L26" i="35"/>
  <c r="J27" i="35"/>
  <c r="K27" i="35"/>
  <c r="L27" i="35"/>
  <c r="J28" i="35"/>
  <c r="K28" i="35"/>
  <c r="L28" i="35"/>
  <c r="J29" i="35"/>
  <c r="K29" i="35"/>
  <c r="L29" i="35"/>
  <c r="J30" i="35"/>
  <c r="K30" i="35"/>
  <c r="L30" i="35"/>
  <c r="J31" i="35"/>
  <c r="K31" i="35"/>
  <c r="L31" i="35"/>
  <c r="J32" i="35"/>
  <c r="K32" i="35"/>
  <c r="L32" i="35"/>
  <c r="J33" i="35"/>
  <c r="K33" i="35"/>
  <c r="L33" i="35"/>
  <c r="J34" i="35"/>
  <c r="K34" i="35"/>
  <c r="L34" i="35"/>
  <c r="J35" i="35"/>
  <c r="K35" i="35"/>
  <c r="L35" i="35"/>
  <c r="J36" i="35"/>
  <c r="K36" i="35"/>
  <c r="L36" i="35"/>
  <c r="J37" i="35"/>
  <c r="K37" i="35"/>
  <c r="L37" i="35"/>
  <c r="J38" i="35"/>
  <c r="K38" i="35"/>
  <c r="L38" i="35"/>
  <c r="J39" i="35"/>
  <c r="K39" i="35"/>
  <c r="L39" i="35"/>
  <c r="J40" i="35"/>
  <c r="K40" i="35"/>
  <c r="L40" i="35"/>
  <c r="J41" i="35"/>
  <c r="K41" i="35"/>
  <c r="L41" i="35"/>
  <c r="J42" i="35"/>
  <c r="K42" i="35"/>
  <c r="L42" i="35"/>
  <c r="J43" i="35"/>
  <c r="K43" i="35"/>
  <c r="L43" i="35"/>
  <c r="J44" i="35"/>
  <c r="K44" i="35"/>
  <c r="L44" i="35"/>
  <c r="J45" i="35"/>
  <c r="K45" i="35"/>
  <c r="L45" i="35"/>
  <c r="J46" i="35"/>
  <c r="K46" i="35"/>
  <c r="L46" i="35"/>
  <c r="J47" i="35"/>
  <c r="K47" i="35"/>
  <c r="L47" i="35"/>
  <c r="J48" i="35"/>
  <c r="K48" i="35"/>
  <c r="L48" i="35"/>
  <c r="J49" i="35"/>
  <c r="K49" i="35"/>
  <c r="L49" i="35"/>
  <c r="J50" i="35"/>
  <c r="K50" i="35"/>
  <c r="L50" i="35"/>
  <c r="J51" i="35"/>
  <c r="K51" i="35"/>
  <c r="L51" i="35"/>
  <c r="J52" i="35"/>
  <c r="K52" i="35"/>
  <c r="L52" i="35"/>
  <c r="J53" i="35"/>
  <c r="K53" i="35"/>
  <c r="L53" i="35"/>
  <c r="J54" i="35"/>
  <c r="K54" i="35"/>
  <c r="L54" i="35"/>
  <c r="J55" i="35"/>
  <c r="K55" i="35"/>
  <c r="L55" i="35"/>
  <c r="J56" i="35"/>
  <c r="K56" i="35"/>
  <c r="L56" i="35"/>
  <c r="J57" i="35"/>
  <c r="K57" i="35"/>
  <c r="L57" i="35"/>
  <c r="J58" i="35"/>
  <c r="K58" i="35"/>
  <c r="L58" i="35"/>
  <c r="J59" i="35"/>
  <c r="K59" i="35"/>
  <c r="L59" i="35"/>
  <c r="L10" i="35"/>
  <c r="K10" i="35"/>
  <c r="J10" i="35"/>
  <c r="I11" i="35"/>
  <c r="I12" i="35"/>
  <c r="I13" i="35"/>
  <c r="I14" i="35"/>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44" i="35"/>
  <c r="I45" i="35"/>
  <c r="I46" i="35"/>
  <c r="I47" i="35"/>
  <c r="I48" i="35"/>
  <c r="I49" i="35"/>
  <c r="I50" i="35"/>
  <c r="I51" i="35"/>
  <c r="I52" i="35"/>
  <c r="I53" i="35"/>
  <c r="I54" i="35"/>
  <c r="I55" i="35"/>
  <c r="I56" i="35"/>
  <c r="I57" i="35"/>
  <c r="I58" i="35"/>
  <c r="I59" i="35"/>
  <c r="I10" i="35"/>
  <c r="G11" i="35"/>
  <c r="G12" i="35"/>
  <c r="G13" i="35"/>
  <c r="G14" i="35"/>
  <c r="G15" i="35"/>
  <c r="G16" i="35"/>
  <c r="G17" i="35"/>
  <c r="G18" i="35"/>
  <c r="G19" i="35"/>
  <c r="G20" i="35"/>
  <c r="G21" i="35"/>
  <c r="G22" i="35"/>
  <c r="G23" i="35"/>
  <c r="G24" i="35"/>
  <c r="G25" i="35"/>
  <c r="G26" i="35"/>
  <c r="G27" i="35"/>
  <c r="G28" i="35"/>
  <c r="G29" i="35"/>
  <c r="G30" i="35"/>
  <c r="G31" i="35"/>
  <c r="G32" i="35"/>
  <c r="G33" i="35"/>
  <c r="G34" i="35"/>
  <c r="G35" i="35"/>
  <c r="G36" i="35"/>
  <c r="G37" i="35"/>
  <c r="G38" i="35"/>
  <c r="G39" i="35"/>
  <c r="G40" i="35"/>
  <c r="G41" i="35"/>
  <c r="G42" i="35"/>
  <c r="G43" i="35"/>
  <c r="G44" i="35"/>
  <c r="G45" i="35"/>
  <c r="G46" i="35"/>
  <c r="G47" i="35"/>
  <c r="G48" i="35"/>
  <c r="G49" i="35"/>
  <c r="G50" i="35"/>
  <c r="G51" i="35"/>
  <c r="G52" i="35"/>
  <c r="G53" i="35"/>
  <c r="G54" i="35"/>
  <c r="G55" i="35"/>
  <c r="G56" i="35"/>
  <c r="G57" i="35"/>
  <c r="G58" i="35"/>
  <c r="G59" i="35"/>
  <c r="G10" i="35"/>
  <c r="F11" i="35"/>
  <c r="F12" i="35"/>
  <c r="F13" i="35"/>
  <c r="F14" i="35"/>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44" i="35"/>
  <c r="F45" i="35"/>
  <c r="F46" i="35"/>
  <c r="F47" i="35"/>
  <c r="F48" i="35"/>
  <c r="F49" i="35"/>
  <c r="F50" i="35"/>
  <c r="F51" i="35"/>
  <c r="F52" i="35"/>
  <c r="F53" i="35"/>
  <c r="F54" i="35"/>
  <c r="F55" i="35"/>
  <c r="F56" i="35"/>
  <c r="F57" i="35"/>
  <c r="F58" i="35"/>
  <c r="F59" i="35"/>
  <c r="F10" i="35"/>
  <c r="E11" i="35"/>
  <c r="E12" i="35"/>
  <c r="E13" i="35"/>
  <c r="E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44" i="35"/>
  <c r="E45" i="35"/>
  <c r="E46" i="35"/>
  <c r="E47" i="35"/>
  <c r="E48" i="35"/>
  <c r="E49" i="35"/>
  <c r="E50" i="35"/>
  <c r="E51" i="35"/>
  <c r="E52" i="35"/>
  <c r="E53" i="35"/>
  <c r="E54" i="35"/>
  <c r="E55" i="35"/>
  <c r="E56" i="35"/>
  <c r="E57" i="35"/>
  <c r="E58" i="35"/>
  <c r="E59" i="35"/>
  <c r="E10" i="35"/>
  <c r="D25" i="35"/>
  <c r="D26" i="35"/>
  <c r="D27" i="35"/>
  <c r="D28" i="35"/>
  <c r="D29" i="35"/>
  <c r="D30" i="35"/>
  <c r="D31" i="35"/>
  <c r="D32" i="35"/>
  <c r="D33" i="35"/>
  <c r="D34" i="35"/>
  <c r="D35" i="35"/>
  <c r="D36" i="35"/>
  <c r="D37" i="35"/>
  <c r="D38" i="35"/>
  <c r="D39" i="35"/>
  <c r="D40" i="35"/>
  <c r="D41" i="35"/>
  <c r="D42" i="35"/>
  <c r="D43" i="35"/>
  <c r="D44" i="35"/>
  <c r="D45" i="35"/>
  <c r="D46" i="35"/>
  <c r="D47" i="35"/>
  <c r="D48" i="35"/>
  <c r="D49" i="35"/>
  <c r="D50" i="35"/>
  <c r="D51" i="35"/>
  <c r="D52" i="35"/>
  <c r="D53" i="35"/>
  <c r="D54" i="35"/>
  <c r="D55" i="35"/>
  <c r="D56" i="35"/>
  <c r="D57" i="35"/>
  <c r="D58" i="35"/>
  <c r="D59" i="35"/>
  <c r="D11" i="35"/>
  <c r="D12" i="35"/>
  <c r="D13" i="35"/>
  <c r="D14" i="35"/>
  <c r="D15" i="35"/>
  <c r="D16" i="35"/>
  <c r="D17" i="35"/>
  <c r="D18" i="35"/>
  <c r="D19" i="35"/>
  <c r="D20" i="35"/>
  <c r="D21" i="35"/>
  <c r="D22" i="35"/>
  <c r="D23" i="35"/>
  <c r="D24" i="35"/>
  <c r="D10" i="35"/>
  <c r="M7" i="35"/>
  <c r="M6" i="35"/>
  <c r="W52" i="1" l="1"/>
  <c r="W68" i="1"/>
  <c r="F28" i="36"/>
  <c r="D32" i="36"/>
  <c r="D16" i="38"/>
  <c r="D25" i="38"/>
  <c r="D18" i="38"/>
  <c r="D22" i="38"/>
  <c r="D23" i="38"/>
  <c r="D24" i="38"/>
  <c r="F15" i="38"/>
  <c r="F16" i="38"/>
  <c r="F17" i="38"/>
  <c r="F17" i="36"/>
  <c r="F22" i="38"/>
  <c r="F18" i="38"/>
  <c r="F19" i="38"/>
  <c r="F25" i="36"/>
  <c r="F25" i="38"/>
  <c r="F29" i="36"/>
  <c r="D29" i="36"/>
  <c r="D14" i="38"/>
  <c r="D16" i="37"/>
  <c r="F14" i="37"/>
  <c r="F16" i="36"/>
  <c r="D17" i="36"/>
  <c r="F31" i="36"/>
  <c r="F18" i="37"/>
  <c r="D15" i="36"/>
  <c r="F20" i="37"/>
  <c r="D17" i="37"/>
  <c r="D18" i="37"/>
  <c r="F18" i="36"/>
  <c r="F23" i="37"/>
  <c r="F19" i="36"/>
  <c r="D20" i="37"/>
  <c r="F20" i="36"/>
  <c r="D24" i="36"/>
  <c r="D21" i="37"/>
  <c r="F25" i="37"/>
  <c r="F30" i="36"/>
  <c r="D14" i="37"/>
  <c r="D15" i="37"/>
  <c r="D19" i="36"/>
  <c r="D18" i="36"/>
  <c r="D19" i="37"/>
  <c r="F21" i="36"/>
  <c r="D22" i="37"/>
  <c r="F16" i="37"/>
  <c r="D16" i="36"/>
  <c r="F17" i="37"/>
  <c r="F32" i="36"/>
  <c r="F19" i="37"/>
  <c r="F14" i="36"/>
  <c r="D20" i="36"/>
  <c r="F21" i="37"/>
  <c r="D21" i="36"/>
  <c r="F22" i="37"/>
  <c r="D22" i="36"/>
  <c r="D23" i="36"/>
  <c r="F24" i="37"/>
  <c r="D25" i="36"/>
  <c r="F22" i="36"/>
  <c r="D26" i="36"/>
  <c r="D23" i="37"/>
  <c r="D14" i="36"/>
  <c r="F23" i="36"/>
  <c r="D27" i="36"/>
  <c r="D24" i="37"/>
  <c r="F24" i="36"/>
  <c r="D28" i="36"/>
  <c r="D25" i="37"/>
  <c r="D15" i="38"/>
  <c r="F16" i="40"/>
  <c r="E5" i="41"/>
  <c r="D19" i="40"/>
  <c r="D18" i="40"/>
  <c r="D17" i="40"/>
  <c r="D16" i="40"/>
  <c r="D15" i="40"/>
  <c r="D14" i="40"/>
  <c r="F15" i="40"/>
  <c r="F17" i="40"/>
  <c r="D17" i="38"/>
  <c r="F23" i="38"/>
  <c r="D19" i="38"/>
  <c r="D20" i="38"/>
  <c r="D21" i="38"/>
  <c r="D7" i="40"/>
  <c r="E7" i="41" s="1"/>
  <c r="D6" i="40"/>
  <c r="E6" i="41" s="1"/>
  <c r="D5" i="39"/>
  <c r="D6" i="38"/>
  <c r="D6" i="39" s="1"/>
  <c r="D30" i="36"/>
  <c r="D7" i="36"/>
  <c r="I5" i="36"/>
  <c r="D6" i="37"/>
  <c r="D6" i="36"/>
  <c r="E2" i="9"/>
  <c r="D21" i="34" s="1"/>
  <c r="E31" i="34"/>
  <c r="D5" i="34"/>
  <c r="F14" i="34" s="1"/>
  <c r="D5" i="33"/>
  <c r="E31" i="33"/>
  <c r="D5" i="47" l="1"/>
  <c r="F17" i="33"/>
  <c r="D14" i="33"/>
  <c r="D7" i="33"/>
  <c r="D7" i="47" s="1"/>
  <c r="I5" i="34"/>
  <c r="M5" i="35" s="1"/>
  <c r="D14" i="34"/>
  <c r="I5" i="33"/>
  <c r="D20" i="33"/>
  <c r="D17" i="33"/>
  <c r="D19" i="33"/>
  <c r="D18" i="33"/>
  <c r="F20" i="33"/>
  <c r="F19" i="33"/>
  <c r="F18" i="33"/>
  <c r="F14" i="33"/>
  <c r="F16" i="33"/>
  <c r="D15" i="33"/>
  <c r="D16" i="33"/>
  <c r="D20" i="34"/>
  <c r="E5" i="35"/>
  <c r="D19" i="34"/>
  <c r="D18" i="34"/>
  <c r="D15" i="34"/>
  <c r="D16" i="34"/>
  <c r="D7" i="34"/>
  <c r="E7" i="35" s="1"/>
  <c r="D6" i="34"/>
  <c r="E6" i="35" s="1"/>
  <c r="D6" i="33"/>
  <c r="D6" i="47" s="1"/>
  <c r="C2" i="7"/>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21" i="10"/>
  <c r="H7" i="29"/>
  <c r="G5" i="47" l="1"/>
  <c r="Q3" i="7"/>
  <c r="O15" i="7"/>
  <c r="E2" i="37" s="1"/>
  <c r="Q2" i="7"/>
  <c r="I6" i="29"/>
  <c r="I7" i="29"/>
  <c r="I5" i="29"/>
  <c r="H8" i="29"/>
  <c r="I8" i="29" s="1"/>
  <c r="C3" i="7"/>
  <c r="C4" i="7" s="1"/>
  <c r="C3" i="11"/>
  <c r="E5" i="31"/>
  <c r="F5" i="31" s="1"/>
  <c r="E6" i="31"/>
  <c r="F6" i="31" s="1"/>
  <c r="E10" i="31"/>
  <c r="F10" i="31" s="1"/>
  <c r="E11" i="31"/>
  <c r="F11" i="31" s="1"/>
  <c r="E12" i="31"/>
  <c r="F12" i="31" s="1"/>
  <c r="E4" i="31"/>
  <c r="F4" i="31" s="1"/>
  <c r="C7" i="7"/>
  <c r="C21" i="7"/>
  <c r="D6" i="7" l="1"/>
  <c r="N18" i="7"/>
  <c r="G6" i="31"/>
  <c r="I6" i="31" s="1"/>
  <c r="G8" i="31"/>
  <c r="I8" i="31" s="1"/>
  <c r="G13" i="31"/>
  <c r="I13" i="31" s="1"/>
  <c r="G7" i="31"/>
  <c r="I7" i="31" s="1"/>
  <c r="G14" i="31"/>
  <c r="I14" i="31" s="1"/>
  <c r="G9" i="31"/>
  <c r="I9" i="31" s="1"/>
  <c r="G15" i="31"/>
  <c r="I15" i="31" s="1"/>
  <c r="N10" i="7"/>
  <c r="F15" i="37"/>
  <c r="G12" i="31"/>
  <c r="I12" i="31" s="1"/>
  <c r="G4" i="31"/>
  <c r="I4" i="31" s="1"/>
  <c r="G10" i="31"/>
  <c r="I10" i="31" s="1"/>
  <c r="G5" i="31"/>
  <c r="I5" i="31" s="1"/>
  <c r="G11" i="31"/>
  <c r="I11" i="31" s="1"/>
  <c r="D2" i="8"/>
  <c r="E8" i="9"/>
  <c r="F15" i="34" s="1"/>
  <c r="F5" i="10"/>
  <c r="F14" i="40" s="1"/>
  <c r="F2" i="10"/>
  <c r="AH24" i="10" s="1"/>
  <c r="D20" i="40" l="1"/>
  <c r="I9" i="10"/>
  <c r="D26" i="38"/>
  <c r="Q3" i="8"/>
  <c r="Q2" i="8"/>
  <c r="D4" i="8" s="1"/>
  <c r="E8" i="8" s="1"/>
  <c r="C23" i="7" a="1"/>
  <c r="C23" i="7" s="1"/>
  <c r="G32" i="8"/>
  <c r="Q16" i="8"/>
  <c r="E15" i="8"/>
  <c r="AH17" i="10"/>
  <c r="AH16" i="10"/>
  <c r="AC21" i="10"/>
  <c r="E2" i="40" s="1"/>
  <c r="E2" i="41" s="1"/>
  <c r="F19" i="40"/>
  <c r="AH19" i="10" l="1"/>
  <c r="AH23" i="10"/>
  <c r="F18" i="40" s="1"/>
  <c r="G18" i="40" s="1"/>
  <c r="F15" i="10"/>
  <c r="AH14" i="10"/>
  <c r="AH12" i="10" l="1"/>
  <c r="AH13" i="10"/>
  <c r="G8" i="30"/>
  <c r="G6" i="30"/>
  <c r="G12" i="30"/>
  <c r="G7" i="30"/>
  <c r="G14" i="30"/>
  <c r="G13" i="30"/>
  <c r="G11" i="30"/>
  <c r="G9" i="30"/>
  <c r="G4" i="30"/>
  <c r="G5" i="30"/>
  <c r="G3" i="30"/>
  <c r="G10" i="30"/>
  <c r="AE14" i="10"/>
  <c r="F3" i="10"/>
  <c r="AB10" i="10" s="1"/>
  <c r="P24" i="10" l="1"/>
  <c r="P40" i="10"/>
  <c r="P56" i="10"/>
  <c r="P21" i="10"/>
  <c r="J21" i="10" s="1"/>
  <c r="P42" i="10"/>
  <c r="J42" i="10" s="1"/>
  <c r="P58" i="10"/>
  <c r="J58" i="10" s="1"/>
  <c r="P43" i="10"/>
  <c r="J43" i="10" s="1"/>
  <c r="P44" i="10"/>
  <c r="J44" i="10" s="1"/>
  <c r="P29" i="10"/>
  <c r="J29" i="10" s="1"/>
  <c r="P61" i="10"/>
  <c r="J61" i="10" s="1"/>
  <c r="P62" i="10"/>
  <c r="J62" i="10" s="1"/>
  <c r="P47" i="10"/>
  <c r="J47" i="10" s="1"/>
  <c r="P32" i="10"/>
  <c r="J32" i="10" s="1"/>
  <c r="P49" i="10"/>
  <c r="J49" i="10" s="1"/>
  <c r="P50" i="10"/>
  <c r="J50" i="10" s="1"/>
  <c r="P35" i="10"/>
  <c r="J35" i="10" s="1"/>
  <c r="P68" i="10"/>
  <c r="J68" i="10" s="1"/>
  <c r="P53" i="10"/>
  <c r="P38" i="10"/>
  <c r="J38" i="10" s="1"/>
  <c r="P70" i="10"/>
  <c r="P39" i="10"/>
  <c r="J39" i="10" s="1"/>
  <c r="P22" i="10"/>
  <c r="J22" i="10" s="1"/>
  <c r="P25" i="10"/>
  <c r="P41" i="10"/>
  <c r="J41" i="10" s="1"/>
  <c r="P57" i="10"/>
  <c r="J57" i="10" s="1"/>
  <c r="P26" i="10"/>
  <c r="J26" i="10" s="1"/>
  <c r="P27" i="10"/>
  <c r="J27" i="10" s="1"/>
  <c r="P59" i="10"/>
  <c r="J59" i="10" s="1"/>
  <c r="P28" i="10"/>
  <c r="J28" i="10" s="1"/>
  <c r="P60" i="10"/>
  <c r="J60" i="10" s="1"/>
  <c r="P45" i="10"/>
  <c r="J45" i="10" s="1"/>
  <c r="P46" i="10"/>
  <c r="J46" i="10" s="1"/>
  <c r="P31" i="10"/>
  <c r="P63" i="10"/>
  <c r="J63" i="10" s="1"/>
  <c r="P64" i="10"/>
  <c r="P33" i="10"/>
  <c r="P65" i="10"/>
  <c r="J65" i="10" s="1"/>
  <c r="P66" i="10"/>
  <c r="J66" i="10" s="1"/>
  <c r="P51" i="10"/>
  <c r="J51" i="10" s="1"/>
  <c r="P36" i="10"/>
  <c r="J36" i="10" s="1"/>
  <c r="P69" i="10"/>
  <c r="J69" i="10" s="1"/>
  <c r="P55" i="10"/>
  <c r="J55" i="10" s="1"/>
  <c r="P30" i="10"/>
  <c r="J30" i="10" s="1"/>
  <c r="P48" i="10"/>
  <c r="J48" i="10" s="1"/>
  <c r="P34" i="10"/>
  <c r="J34" i="10" s="1"/>
  <c r="P67" i="10"/>
  <c r="J67" i="10" s="1"/>
  <c r="P52" i="10"/>
  <c r="J52" i="10" s="1"/>
  <c r="P37" i="10"/>
  <c r="J37" i="10" s="1"/>
  <c r="P54" i="10"/>
  <c r="J54" i="10" s="1"/>
  <c r="P23" i="10"/>
  <c r="AB7" i="10"/>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32" i="8"/>
  <c r="K33" i="8"/>
  <c r="K34" i="8"/>
  <c r="K35" i="8"/>
  <c r="K36" i="8"/>
  <c r="K37" i="8"/>
  <c r="D5" i="8"/>
  <c r="F14" i="38" s="1"/>
  <c r="J25" i="10" l="1"/>
  <c r="H14" i="41" s="1"/>
  <c r="J33" i="10"/>
  <c r="H22" i="41" s="1"/>
  <c r="J70" i="10"/>
  <c r="H59" i="41" s="1"/>
  <c r="J64" i="10"/>
  <c r="H53" i="41" s="1"/>
  <c r="J53" i="10"/>
  <c r="H42" i="41" s="1"/>
  <c r="J40" i="10"/>
  <c r="H29" i="41" s="1"/>
  <c r="J56" i="10"/>
  <c r="H45" i="41" s="1"/>
  <c r="J23" i="10"/>
  <c r="J31" i="10"/>
  <c r="H20" i="41" s="1"/>
  <c r="J24" i="10"/>
  <c r="H13" i="41" s="1"/>
  <c r="F4" i="10"/>
  <c r="B19" i="10" s="1"/>
  <c r="AG21" i="10"/>
  <c r="AH21" i="10"/>
  <c r="T25" i="10" s="1"/>
  <c r="H51" i="41"/>
  <c r="H58" i="41"/>
  <c r="H25" i="41"/>
  <c r="H30" i="41"/>
  <c r="H33" i="41"/>
  <c r="H19" i="41"/>
  <c r="H48" i="41"/>
  <c r="H46" i="41"/>
  <c r="H54" i="41"/>
  <c r="H28" i="41"/>
  <c r="H31" i="41"/>
  <c r="H35" i="41"/>
  <c r="H39" i="41"/>
  <c r="H38" i="41"/>
  <c r="H23" i="41"/>
  <c r="T47" i="10"/>
  <c r="H36" i="41"/>
  <c r="H44" i="41"/>
  <c r="H34" i="41"/>
  <c r="H37" i="41"/>
  <c r="H26" i="41"/>
  <c r="H56" i="41"/>
  <c r="H21" i="41"/>
  <c r="H50" i="41"/>
  <c r="H32" i="41"/>
  <c r="H55" i="41"/>
  <c r="H47" i="41"/>
  <c r="H24" i="41"/>
  <c r="H41" i="41"/>
  <c r="H49" i="41"/>
  <c r="H17" i="41"/>
  <c r="H16" i="41"/>
  <c r="H15" i="41"/>
  <c r="H18" i="41"/>
  <c r="H40" i="41"/>
  <c r="H27" i="41"/>
  <c r="H52" i="41"/>
  <c r="H43" i="41"/>
  <c r="H57" i="41"/>
  <c r="H11" i="41"/>
  <c r="H10" i="41"/>
  <c r="AE35" i="9"/>
  <c r="F19" i="34" s="1"/>
  <c r="G19" i="34" s="1"/>
  <c r="AE37" i="9"/>
  <c r="F18" i="34" s="1"/>
  <c r="G18" i="34" s="1"/>
  <c r="AE39" i="9"/>
  <c r="F17" i="34" s="1"/>
  <c r="G17" i="34" s="1"/>
  <c r="T70" i="10" l="1"/>
  <c r="T43" i="10"/>
  <c r="T32" i="10"/>
  <c r="T26" i="10"/>
  <c r="T57" i="10"/>
  <c r="T21" i="10"/>
  <c r="T59" i="10"/>
  <c r="J71" i="10"/>
  <c r="E3" i="30" s="1"/>
  <c r="F3" i="30" s="1"/>
  <c r="I3" i="30" s="1"/>
  <c r="H12" i="41"/>
  <c r="T30" i="10"/>
  <c r="T28" i="10"/>
  <c r="T54" i="10"/>
  <c r="T50" i="10"/>
  <c r="T52" i="10"/>
  <c r="T36" i="10"/>
  <c r="T42" i="10"/>
  <c r="T34" i="10"/>
  <c r="T68" i="10"/>
  <c r="T60" i="10"/>
  <c r="T67" i="10"/>
  <c r="T44" i="10"/>
  <c r="T37" i="10"/>
  <c r="T39" i="10"/>
  <c r="T46" i="10"/>
  <c r="T38" i="10"/>
  <c r="T35" i="10"/>
  <c r="T48" i="10"/>
  <c r="AH10" i="10"/>
  <c r="R21" i="10" s="1"/>
  <c r="T51" i="10"/>
  <c r="T58" i="10"/>
  <c r="T45" i="10"/>
  <c r="T69" i="10"/>
  <c r="AI10" i="10"/>
  <c r="Q22" i="10" s="1"/>
  <c r="T22" i="10"/>
  <c r="T27" i="10"/>
  <c r="T61" i="10"/>
  <c r="T49" i="10"/>
  <c r="T63" i="10"/>
  <c r="T29" i="10"/>
  <c r="T66" i="10"/>
  <c r="T55" i="10"/>
  <c r="T65" i="10"/>
  <c r="T62" i="10"/>
  <c r="T41" i="10"/>
  <c r="AE17" i="10"/>
  <c r="T33" i="10"/>
  <c r="T23" i="10"/>
  <c r="T53" i="10"/>
  <c r="T56" i="10"/>
  <c r="T24" i="10"/>
  <c r="T40" i="10"/>
  <c r="T31" i="10"/>
  <c r="T64" i="10"/>
  <c r="O15" i="22"/>
  <c r="O14" i="22"/>
  <c r="O13" i="22"/>
  <c r="O12" i="22"/>
  <c r="O11" i="22"/>
  <c r="O10" i="22"/>
  <c r="O9" i="22"/>
  <c r="O8" i="22"/>
  <c r="O7" i="22"/>
  <c r="O6" i="22"/>
  <c r="O5" i="22"/>
  <c r="O4" i="22"/>
  <c r="E8" i="30" l="1"/>
  <c r="F8" i="30" s="1"/>
  <c r="I8" i="30" s="1"/>
  <c r="E7" i="30"/>
  <c r="F7" i="30" s="1"/>
  <c r="I7" i="30" s="1"/>
  <c r="R31" i="10"/>
  <c r="E14" i="30"/>
  <c r="R40" i="10"/>
  <c r="R61" i="10"/>
  <c r="E9" i="30"/>
  <c r="F9" i="30" s="1"/>
  <c r="I9" i="30" s="1"/>
  <c r="E5" i="30"/>
  <c r="F5" i="30" s="1"/>
  <c r="I5" i="30" s="1"/>
  <c r="E12" i="30"/>
  <c r="E10" i="30"/>
  <c r="F10" i="30" s="1"/>
  <c r="I10" i="30" s="1"/>
  <c r="U55" i="10"/>
  <c r="V55" i="10" s="1"/>
  <c r="E6" i="30"/>
  <c r="F6" i="30" s="1"/>
  <c r="I6" i="30" s="1"/>
  <c r="U59" i="10"/>
  <c r="V59" i="10" s="1"/>
  <c r="E4" i="30"/>
  <c r="F4" i="30" s="1"/>
  <c r="I4" i="30" s="1"/>
  <c r="U69" i="10"/>
  <c r="V69" i="10" s="1"/>
  <c r="U58" i="10"/>
  <c r="V58" i="10" s="1"/>
  <c r="U40" i="10"/>
  <c r="V40" i="10" s="1"/>
  <c r="U46" i="10"/>
  <c r="V46" i="10" s="1"/>
  <c r="R41" i="10"/>
  <c r="U53" i="10"/>
  <c r="V53" i="10" s="1"/>
  <c r="U23" i="10"/>
  <c r="V23" i="10" s="1"/>
  <c r="U64" i="10"/>
  <c r="V64" i="10" s="1"/>
  <c r="U51" i="10"/>
  <c r="V51" i="10" s="1"/>
  <c r="R33" i="10"/>
  <c r="R30" i="10"/>
  <c r="R66" i="10"/>
  <c r="R26" i="10"/>
  <c r="R56" i="10"/>
  <c r="S56" i="10" s="1"/>
  <c r="Q65" i="10"/>
  <c r="R24" i="10"/>
  <c r="E13" i="30"/>
  <c r="E11" i="30"/>
  <c r="F11" i="30" s="1"/>
  <c r="I11" i="30" s="1"/>
  <c r="Q56" i="10"/>
  <c r="Q28" i="10"/>
  <c r="R37" i="10"/>
  <c r="Q43" i="10"/>
  <c r="U49" i="10"/>
  <c r="V49" i="10" s="1"/>
  <c r="U65" i="10"/>
  <c r="V65" i="10" s="1"/>
  <c r="R51" i="10"/>
  <c r="R53" i="10"/>
  <c r="U47" i="10"/>
  <c r="V47" i="10" s="1"/>
  <c r="Q67" i="10"/>
  <c r="U42" i="10"/>
  <c r="V42" i="10" s="1"/>
  <c r="Q24" i="10"/>
  <c r="Q30" i="10"/>
  <c r="Q36" i="10"/>
  <c r="U37" i="10"/>
  <c r="V37" i="10" s="1"/>
  <c r="Q27" i="10"/>
  <c r="Q35" i="10"/>
  <c r="R46" i="10"/>
  <c r="R45" i="10"/>
  <c r="U35" i="10"/>
  <c r="V35" i="10" s="1"/>
  <c r="R59" i="10"/>
  <c r="R29" i="10"/>
  <c r="Q42" i="10"/>
  <c r="U62" i="10"/>
  <c r="V62" i="10" s="1"/>
  <c r="R50" i="10"/>
  <c r="R28" i="10"/>
  <c r="Q51" i="10"/>
  <c r="Q61" i="10"/>
  <c r="U22" i="10"/>
  <c r="V22" i="10" s="1"/>
  <c r="U68" i="10"/>
  <c r="V68" i="10" s="1"/>
  <c r="R25" i="10"/>
  <c r="R34" i="10"/>
  <c r="R58" i="10"/>
  <c r="Q37" i="10"/>
  <c r="Q69" i="10"/>
  <c r="R47" i="10"/>
  <c r="U63" i="10"/>
  <c r="V63" i="10" s="1"/>
  <c r="U67" i="10"/>
  <c r="V67" i="10" s="1"/>
  <c r="U21" i="10"/>
  <c r="V21" i="10" s="1"/>
  <c r="R64" i="10"/>
  <c r="U52" i="10"/>
  <c r="V52" i="10" s="1"/>
  <c r="U61" i="10"/>
  <c r="V61" i="10" s="1"/>
  <c r="R38" i="10"/>
  <c r="Q38" i="10"/>
  <c r="U38" i="10"/>
  <c r="V38" i="10" s="1"/>
  <c r="R52" i="10"/>
  <c r="Q59" i="10"/>
  <c r="Q32" i="10"/>
  <c r="U24" i="10"/>
  <c r="V24" i="10" s="1"/>
  <c r="U60" i="10"/>
  <c r="V60" i="10" s="1"/>
  <c r="R68" i="10"/>
  <c r="R60" i="10"/>
  <c r="R32" i="10"/>
  <c r="Q60" i="10"/>
  <c r="Q31" i="10"/>
  <c r="Q26" i="10"/>
  <c r="U54" i="10"/>
  <c r="V54" i="10" s="1"/>
  <c r="U50" i="10"/>
  <c r="V50" i="10" s="1"/>
  <c r="U26" i="10"/>
  <c r="V26" i="10" s="1"/>
  <c r="R55" i="10"/>
  <c r="Q46" i="10"/>
  <c r="Q54" i="10"/>
  <c r="U36" i="10"/>
  <c r="V36" i="10" s="1"/>
  <c r="R57" i="10"/>
  <c r="Q44" i="10"/>
  <c r="Q48" i="10"/>
  <c r="U29" i="10"/>
  <c r="V29" i="10" s="1"/>
  <c r="U25" i="10"/>
  <c r="V25" i="10" s="1"/>
  <c r="R36" i="10"/>
  <c r="R49" i="10"/>
  <c r="R22" i="10"/>
  <c r="S22" i="10" s="1"/>
  <c r="Q34" i="10"/>
  <c r="Q52" i="10"/>
  <c r="U44" i="10"/>
  <c r="V44" i="10" s="1"/>
  <c r="Q64" i="10"/>
  <c r="Q55" i="10"/>
  <c r="Q68" i="10"/>
  <c r="U33" i="10"/>
  <c r="V33" i="10" s="1"/>
  <c r="U56" i="10"/>
  <c r="V56" i="10" s="1"/>
  <c r="R39" i="10"/>
  <c r="R54" i="10"/>
  <c r="Q21" i="10"/>
  <c r="S21" i="10" s="1"/>
  <c r="Q49" i="10"/>
  <c r="Q45" i="10"/>
  <c r="U34" i="10"/>
  <c r="V34" i="10" s="1"/>
  <c r="R43" i="10"/>
  <c r="R44" i="10"/>
  <c r="Q70" i="10"/>
  <c r="Q58" i="10"/>
  <c r="Q50" i="10"/>
  <c r="Q53" i="10"/>
  <c r="U43" i="10"/>
  <c r="V43" i="10" s="1"/>
  <c r="U70" i="10"/>
  <c r="V70" i="10" s="1"/>
  <c r="R23" i="10"/>
  <c r="Q47" i="10"/>
  <c r="Q33" i="10"/>
  <c r="Q40" i="10"/>
  <c r="U32" i="10"/>
  <c r="V32" i="10" s="1"/>
  <c r="U41" i="10"/>
  <c r="V41" i="10" s="1"/>
  <c r="U30" i="10"/>
  <c r="V30" i="10" s="1"/>
  <c r="R69" i="10"/>
  <c r="R48" i="10"/>
  <c r="R65" i="10"/>
  <c r="Q41" i="10"/>
  <c r="Q63" i="10"/>
  <c r="Q39" i="10"/>
  <c r="U31" i="10"/>
  <c r="V31" i="10" s="1"/>
  <c r="R70" i="10"/>
  <c r="Q66" i="10"/>
  <c r="U45" i="10"/>
  <c r="V45" i="10" s="1"/>
  <c r="U48" i="10"/>
  <c r="V48" i="10" s="1"/>
  <c r="R27" i="10"/>
  <c r="R63" i="10"/>
  <c r="Q25" i="10"/>
  <c r="Q29" i="10"/>
  <c r="U66" i="10"/>
  <c r="V66" i="10" s="1"/>
  <c r="U57" i="10"/>
  <c r="V57" i="10" s="1"/>
  <c r="R67" i="10"/>
  <c r="R42" i="10"/>
  <c r="Q23" i="10"/>
  <c r="Q57" i="10"/>
  <c r="Q62" i="10"/>
  <c r="U27" i="10"/>
  <c r="V27" i="10" s="1"/>
  <c r="U28" i="10"/>
  <c r="V28" i="10" s="1"/>
  <c r="U39" i="10"/>
  <c r="V39" i="10" s="1"/>
  <c r="R35" i="10"/>
  <c r="R62" i="10"/>
  <c r="F17" i="10" a="1"/>
  <c r="F17" i="10" s="1"/>
  <c r="T71" i="10"/>
  <c r="M6" i="10" s="1"/>
  <c r="F13" i="30" l="1"/>
  <c r="I13" i="30" s="1"/>
  <c r="F14" i="30"/>
  <c r="I14" i="30" s="1"/>
  <c r="F12" i="30"/>
  <c r="I12" i="30" s="1"/>
  <c r="S61" i="10"/>
  <c r="S41" i="10"/>
  <c r="S50" i="10"/>
  <c r="S31" i="10"/>
  <c r="S60" i="10"/>
  <c r="S40" i="10"/>
  <c r="S44" i="10"/>
  <c r="S55" i="10"/>
  <c r="S33" i="10"/>
  <c r="S32" i="10"/>
  <c r="S62" i="10"/>
  <c r="S37" i="10"/>
  <c r="S23" i="10"/>
  <c r="S36" i="10"/>
  <c r="S66" i="10"/>
  <c r="S30" i="10"/>
  <c r="S65" i="10"/>
  <c r="S29" i="10"/>
  <c r="S28" i="10"/>
  <c r="S47" i="10"/>
  <c r="S59" i="10"/>
  <c r="S52" i="10"/>
  <c r="S70" i="10"/>
  <c r="S24" i="10"/>
  <c r="S53" i="10"/>
  <c r="S64" i="10"/>
  <c r="S51" i="10"/>
  <c r="S54" i="10"/>
  <c r="S38" i="10"/>
  <c r="S68" i="10"/>
  <c r="S35" i="10"/>
  <c r="S46" i="10"/>
  <c r="S58" i="10"/>
  <c r="S34" i="10"/>
  <c r="S26" i="10"/>
  <c r="S42" i="10"/>
  <c r="S48" i="10"/>
  <c r="S43" i="10"/>
  <c r="S69" i="10"/>
  <c r="S45" i="10"/>
  <c r="S39" i="10"/>
  <c r="S57" i="10"/>
  <c r="S49" i="10"/>
  <c r="S67" i="10"/>
  <c r="S25" i="10"/>
  <c r="S63" i="10"/>
  <c r="S27" i="10"/>
  <c r="V71" i="10"/>
  <c r="M8" i="10" s="1"/>
  <c r="O8" i="10" s="1"/>
  <c r="Q71" i="10"/>
  <c r="M3" i="10" s="1"/>
  <c r="R71" i="10"/>
  <c r="M4" i="10" s="1"/>
  <c r="U71" i="10"/>
  <c r="M7" i="10" s="1"/>
  <c r="D3" i="8"/>
  <c r="S71" i="10" l="1"/>
  <c r="M5" i="10" s="1"/>
  <c r="O5" i="10" s="1"/>
  <c r="Q20" i="8"/>
  <c r="N29" i="11"/>
  <c r="L29" i="11"/>
  <c r="N26" i="11"/>
  <c r="L26" i="11"/>
  <c r="D13" i="11"/>
  <c r="D12" i="11"/>
  <c r="P15" i="8" l="1"/>
  <c r="Q22" i="8"/>
  <c r="Q24" i="8"/>
  <c r="Q26" i="8" s="1"/>
  <c r="Q23" i="8"/>
  <c r="Q25" i="8" s="1"/>
  <c r="Q21" i="8"/>
  <c r="D21" i="8"/>
  <c r="G43" i="8"/>
  <c r="G59" i="8"/>
  <c r="G75" i="8"/>
  <c r="G45" i="8"/>
  <c r="G61" i="8"/>
  <c r="G62" i="8"/>
  <c r="G79" i="8"/>
  <c r="G48" i="8"/>
  <c r="G64" i="8"/>
  <c r="G80" i="8"/>
  <c r="G33" i="8"/>
  <c r="G65" i="8"/>
  <c r="G34" i="8"/>
  <c r="G66" i="8"/>
  <c r="G51" i="8"/>
  <c r="G67" i="8"/>
  <c r="G36" i="8"/>
  <c r="G68" i="8"/>
  <c r="G37" i="8"/>
  <c r="G69" i="8"/>
  <c r="G54" i="8"/>
  <c r="G70" i="8"/>
  <c r="G55" i="8"/>
  <c r="G71" i="8"/>
  <c r="G56" i="8"/>
  <c r="G41" i="8"/>
  <c r="G73" i="8"/>
  <c r="G58" i="8"/>
  <c r="G74" i="8"/>
  <c r="Q27" i="8"/>
  <c r="F24" i="38" s="1"/>
  <c r="G44" i="8"/>
  <c r="G60" i="8"/>
  <c r="G76" i="8"/>
  <c r="G77" i="8"/>
  <c r="G46" i="8"/>
  <c r="G78" i="8"/>
  <c r="G47" i="8"/>
  <c r="G63" i="8"/>
  <c r="G49" i="8"/>
  <c r="G81" i="8"/>
  <c r="G50" i="8"/>
  <c r="G35" i="8"/>
  <c r="G52" i="8"/>
  <c r="G53" i="8"/>
  <c r="G38" i="8"/>
  <c r="G39" i="8"/>
  <c r="G40" i="8"/>
  <c r="G72" i="8"/>
  <c r="G57" i="8"/>
  <c r="G42" i="8"/>
  <c r="Q39" i="8"/>
  <c r="E2" i="38" s="1"/>
  <c r="E2" i="39" s="1"/>
  <c r="S39" i="8"/>
  <c r="Q17" i="8"/>
  <c r="L50" i="11"/>
  <c r="C2" i="11"/>
  <c r="F20" i="38" l="1"/>
  <c r="G20" i="38" s="1"/>
  <c r="F21" i="38"/>
  <c r="G21" i="38" s="1"/>
  <c r="Q18" i="8"/>
  <c r="G82" i="8"/>
  <c r="E8" i="28" s="1"/>
  <c r="F8" i="28" s="1"/>
  <c r="Q15" i="8"/>
  <c r="G8" i="28"/>
  <c r="G13" i="28"/>
  <c r="G11" i="28"/>
  <c r="G9" i="28"/>
  <c r="G4" i="28"/>
  <c r="G3" i="28"/>
  <c r="G7" i="28"/>
  <c r="G10" i="28"/>
  <c r="G6" i="28"/>
  <c r="G5" i="28"/>
  <c r="G12" i="28"/>
  <c r="G14" i="28"/>
  <c r="Q19" i="8"/>
  <c r="C28" i="11"/>
  <c r="G10" i="27" s="1"/>
  <c r="M38" i="11"/>
  <c r="L17" i="11"/>
  <c r="M50" i="11"/>
  <c r="N50" i="11"/>
  <c r="N52" i="11" s="1"/>
  <c r="L41" i="11"/>
  <c r="L32" i="11"/>
  <c r="N32" i="11" s="1"/>
  <c r="N34" i="11" s="1"/>
  <c r="N14" i="11"/>
  <c r="N17" i="11"/>
  <c r="C5" i="11"/>
  <c r="F15" i="36" s="1"/>
  <c r="N8" i="11"/>
  <c r="Q13" i="8" l="1"/>
  <c r="E10" i="28"/>
  <c r="F10" i="28" s="1"/>
  <c r="I10" i="28" s="1"/>
  <c r="E9" i="28"/>
  <c r="F9" i="28" s="1"/>
  <c r="I9" i="28" s="1"/>
  <c r="E14" i="28"/>
  <c r="F14" i="28" s="1"/>
  <c r="I14" i="28" s="1"/>
  <c r="E11" i="28"/>
  <c r="F11" i="28" s="1"/>
  <c r="I11" i="28" s="1"/>
  <c r="E7" i="28"/>
  <c r="F7" i="28" s="1"/>
  <c r="I7" i="28" s="1"/>
  <c r="E6" i="28"/>
  <c r="F6" i="28" s="1"/>
  <c r="I6" i="28" s="1"/>
  <c r="E4" i="28"/>
  <c r="F4" i="28" s="1"/>
  <c r="I4" i="28" s="1"/>
  <c r="E13" i="28"/>
  <c r="F13" i="28" s="1"/>
  <c r="I13" i="28" s="1"/>
  <c r="E12" i="28"/>
  <c r="F12" i="28" s="1"/>
  <c r="I12" i="28" s="1"/>
  <c r="E3" i="28"/>
  <c r="F3" i="28" s="1"/>
  <c r="I3" i="28" s="1"/>
  <c r="E5" i="28"/>
  <c r="F5" i="28" s="1"/>
  <c r="I5" i="28" s="1"/>
  <c r="S36" i="8"/>
  <c r="D23" i="8" s="1" a="1"/>
  <c r="D23" i="8" s="1"/>
  <c r="R13" i="8"/>
  <c r="S13" i="8"/>
  <c r="I8" i="28"/>
  <c r="N33" i="11"/>
  <c r="G3" i="27"/>
  <c r="G4" i="27"/>
  <c r="G9" i="27"/>
  <c r="G11" i="27"/>
  <c r="G12" i="27"/>
  <c r="G13" i="27"/>
  <c r="G14" i="27"/>
  <c r="G7" i="27"/>
  <c r="G5" i="27"/>
  <c r="G6" i="27"/>
  <c r="G8" i="27"/>
  <c r="M32" i="11"/>
  <c r="N41" i="11"/>
  <c r="M41" i="11"/>
  <c r="L8" i="11"/>
  <c r="C4" i="11" s="1"/>
  <c r="D8" i="11" s="1"/>
  <c r="Q33" i="8" l="1"/>
  <c r="Q34" i="8" s="1"/>
  <c r="Q30" i="8"/>
  <c r="G3" i="8" s="1"/>
  <c r="N11" i="11"/>
  <c r="Q29" i="8"/>
  <c r="G2" i="8" s="1"/>
  <c r="Q32" i="8"/>
  <c r="G5" i="8" s="1"/>
  <c r="N43" i="11"/>
  <c r="L23" i="11" a="1"/>
  <c r="L23" i="11" s="1"/>
  <c r="N23" i="11" a="1"/>
  <c r="N23" i="11" s="1"/>
  <c r="N20" i="11" a="1"/>
  <c r="N20" i="11" s="1"/>
  <c r="L20" i="11" a="1"/>
  <c r="L20" i="11" s="1"/>
  <c r="L11" i="11"/>
  <c r="F26" i="36" s="1"/>
  <c r="G26" i="36" s="1"/>
  <c r="L14" i="11"/>
  <c r="F27" i="36" s="1"/>
  <c r="G27" i="36" s="1"/>
  <c r="H12" i="35"/>
  <c r="H13" i="35"/>
  <c r="H14" i="35"/>
  <c r="H15" i="35"/>
  <c r="H16" i="35"/>
  <c r="H17" i="35"/>
  <c r="H18" i="35"/>
  <c r="H19" i="35"/>
  <c r="G6" i="8" l="1"/>
  <c r="N51" i="11"/>
  <c r="M52" i="11"/>
  <c r="I4" i="11" s="1"/>
  <c r="M51" i="11"/>
  <c r="M33" i="11"/>
  <c r="M34" i="11"/>
  <c r="M42" i="11"/>
  <c r="M43" i="11"/>
  <c r="Q31" i="8"/>
  <c r="G7" i="8"/>
  <c r="H7" i="8" s="1"/>
  <c r="N42" i="11"/>
  <c r="M44" i="11"/>
  <c r="M37" i="11"/>
  <c r="M53" i="11"/>
  <c r="M47" i="11"/>
  <c r="I5" i="11" s="1"/>
  <c r="H16" i="23"/>
  <c r="H15" i="23"/>
  <c r="H14" i="23"/>
  <c r="H13" i="23"/>
  <c r="H12" i="23"/>
  <c r="H11" i="23"/>
  <c r="H10" i="23"/>
  <c r="H9" i="23"/>
  <c r="H8" i="23"/>
  <c r="H7" i="23"/>
  <c r="H6" i="23"/>
  <c r="H5" i="23"/>
  <c r="H4" i="23"/>
  <c r="AE11" i="9"/>
  <c r="AE17" i="9"/>
  <c r="E3" i="9"/>
  <c r="G4" i="8" l="1"/>
  <c r="H4" i="8" s="1"/>
  <c r="I3" i="11"/>
  <c r="I6" i="11"/>
  <c r="AG32" i="9"/>
  <c r="AM9" i="9"/>
  <c r="E2" i="34" s="1"/>
  <c r="E2" i="35" s="1"/>
  <c r="AL9" i="9"/>
  <c r="E12" i="9"/>
  <c r="E11" i="9"/>
  <c r="E19" i="9"/>
  <c r="H59" i="35"/>
  <c r="H20" i="35"/>
  <c r="H21" i="35"/>
  <c r="H22" i="35"/>
  <c r="H23" i="35"/>
  <c r="H24" i="35"/>
  <c r="H25" i="35"/>
  <c r="H26" i="35"/>
  <c r="H27" i="35"/>
  <c r="H28" i="35"/>
  <c r="H29" i="35"/>
  <c r="H30" i="35"/>
  <c r="H31" i="35"/>
  <c r="H32" i="35"/>
  <c r="H33" i="35"/>
  <c r="H34" i="35"/>
  <c r="H35" i="35"/>
  <c r="H36" i="35"/>
  <c r="H37" i="35"/>
  <c r="H38" i="35"/>
  <c r="H39" i="35"/>
  <c r="H40" i="35"/>
  <c r="H41" i="35"/>
  <c r="H42" i="35"/>
  <c r="H43" i="35"/>
  <c r="H44" i="35"/>
  <c r="H45" i="35"/>
  <c r="H46" i="35"/>
  <c r="H47" i="35"/>
  <c r="H48" i="35"/>
  <c r="H49" i="35"/>
  <c r="H50" i="35"/>
  <c r="H51" i="35"/>
  <c r="H52" i="35"/>
  <c r="H53" i="35"/>
  <c r="H54" i="35"/>
  <c r="H55" i="35"/>
  <c r="H56" i="35"/>
  <c r="H57" i="35"/>
  <c r="H58" i="35"/>
  <c r="J25" i="9" l="1"/>
  <c r="H10" i="35" s="1"/>
  <c r="J26" i="9"/>
  <c r="H11" i="35" s="1"/>
  <c r="F20" i="34"/>
  <c r="D17" i="34"/>
  <c r="J3" i="11"/>
  <c r="E12" i="27"/>
  <c r="F12" i="27" s="1"/>
  <c r="I12" i="27" s="1"/>
  <c r="E5" i="27"/>
  <c r="F5" i="27" s="1"/>
  <c r="I5" i="27" s="1"/>
  <c r="E11" i="27"/>
  <c r="F11" i="27" s="1"/>
  <c r="I11" i="27" s="1"/>
  <c r="C30" i="11" s="1" a="1"/>
  <c r="C30" i="11" s="1"/>
  <c r="E6" i="27"/>
  <c r="F6" i="27" s="1"/>
  <c r="I6" i="27" s="1"/>
  <c r="J6" i="11"/>
  <c r="E14" i="27"/>
  <c r="F14" i="27" s="1"/>
  <c r="I14" i="27" s="1"/>
  <c r="E10" i="27"/>
  <c r="F10" i="27" s="1"/>
  <c r="I10" i="27" s="1"/>
  <c r="E9" i="27"/>
  <c r="F9" i="27" s="1"/>
  <c r="I9" i="27" s="1"/>
  <c r="E7" i="27"/>
  <c r="F7" i="27" s="1"/>
  <c r="I7" i="27" s="1"/>
  <c r="E3" i="27"/>
  <c r="E13" i="27"/>
  <c r="F13" i="27" s="1"/>
  <c r="I13" i="27" s="1"/>
  <c r="E8" i="27"/>
  <c r="F8" i="27" s="1"/>
  <c r="I8" i="27" s="1"/>
  <c r="E4" i="27"/>
  <c r="F4" i="27" s="1"/>
  <c r="I4" i="27" s="1"/>
  <c r="AO4" i="1"/>
  <c r="AO3" i="1"/>
  <c r="AO2" i="1"/>
  <c r="AK24" i="1"/>
  <c r="AJ24" i="1"/>
  <c r="C24" i="1" s="1"/>
  <c r="AI24" i="1"/>
  <c r="D19" i="1"/>
  <c r="D3" i="1"/>
  <c r="D7" i="1"/>
  <c r="D8" i="1"/>
  <c r="K32" i="1" s="1"/>
  <c r="AN9" i="9"/>
  <c r="E2" i="33" l="1"/>
  <c r="K31" i="1"/>
  <c r="K30" i="1"/>
  <c r="K28" i="1"/>
  <c r="K29" i="1"/>
  <c r="J75" i="9"/>
  <c r="AE32" i="9"/>
  <c r="E9" i="9" s="1"/>
  <c r="F16" i="34" s="1"/>
  <c r="F15" i="33"/>
  <c r="F3" i="27"/>
  <c r="I3" i="27" s="1"/>
  <c r="AO7" i="1"/>
  <c r="AN7" i="1"/>
  <c r="AH24" i="1"/>
  <c r="X29" i="1" l="1"/>
  <c r="X28" i="1"/>
  <c r="E2" i="47"/>
  <c r="I2" i="59"/>
  <c r="AF50" i="1" a="1"/>
  <c r="AF50" i="1" s="1"/>
  <c r="AF60" i="1" a="1"/>
  <c r="AF60" i="1" s="1"/>
  <c r="AE41" i="1" a="1"/>
  <c r="AE41" i="1" s="1"/>
  <c r="AE58" i="1" a="1"/>
  <c r="AE58" i="1" s="1"/>
  <c r="AE75" i="1" a="1"/>
  <c r="AE75" i="1" s="1"/>
  <c r="AC37" i="1" a="1"/>
  <c r="AC37" i="1" s="1"/>
  <c r="AC51" i="1" a="1"/>
  <c r="AC51" i="1" s="1"/>
  <c r="AC66" i="1" a="1"/>
  <c r="AC66" i="1" s="1"/>
  <c r="AF64" i="1" a="1"/>
  <c r="AF64" i="1" s="1"/>
  <c r="AC55" i="1" a="1"/>
  <c r="AC55" i="1" s="1"/>
  <c r="AC56" i="1" a="1"/>
  <c r="AC56" i="1" s="1"/>
  <c r="AF66" i="1" a="1"/>
  <c r="AF66" i="1" s="1"/>
  <c r="AE46" i="1" a="1"/>
  <c r="AE46" i="1" s="1"/>
  <c r="AC46" i="1" a="1"/>
  <c r="AC46" i="1" s="1"/>
  <c r="AE55" i="1" a="1"/>
  <c r="AE55" i="1" s="1"/>
  <c r="AF68" i="1" a="1"/>
  <c r="AF68" i="1" s="1"/>
  <c r="AF69" i="1" a="1"/>
  <c r="AF69" i="1" s="1"/>
  <c r="AC49" i="1" a="1"/>
  <c r="AC49" i="1" s="1"/>
  <c r="AF59" i="1" a="1"/>
  <c r="AF59" i="1" s="1"/>
  <c r="AC50" i="1" a="1"/>
  <c r="AC50" i="1" s="1"/>
  <c r="AF72" i="1" a="1"/>
  <c r="AF72" i="1" s="1"/>
  <c r="AE66" i="1" a="1"/>
  <c r="AE66" i="1" s="1"/>
  <c r="AF41" i="1" a="1"/>
  <c r="AF41" i="1" s="1"/>
  <c r="AF61" i="1" a="1"/>
  <c r="AF61" i="1" s="1"/>
  <c r="AF73" i="1" a="1"/>
  <c r="AF73" i="1" s="1"/>
  <c r="AE33" i="1" a="1"/>
  <c r="AE33" i="1" s="1"/>
  <c r="AE50" i="1" a="1"/>
  <c r="AE50" i="1" s="1"/>
  <c r="AE67" i="1" a="1"/>
  <c r="AE67" i="1" s="1"/>
  <c r="AC38" i="1" a="1"/>
  <c r="AC38" i="1" s="1"/>
  <c r="AC52" i="1" a="1"/>
  <c r="AC52" i="1" s="1"/>
  <c r="AC67" i="1" a="1"/>
  <c r="AC67" i="1" s="1"/>
  <c r="AE60" i="1" a="1"/>
  <c r="AE60" i="1" s="1"/>
  <c r="AC70" i="1" a="1"/>
  <c r="AC70" i="1" s="1"/>
  <c r="AF33" i="1" a="1"/>
  <c r="AF33" i="1" s="1"/>
  <c r="AE35" i="1" a="1"/>
  <c r="AE35" i="1" s="1"/>
  <c r="AC42" i="1" a="1"/>
  <c r="AC42" i="1" s="1"/>
  <c r="AF77" i="1" a="1"/>
  <c r="AF77" i="1" s="1"/>
  <c r="AC59" i="1" a="1"/>
  <c r="AC59" i="1" s="1"/>
  <c r="AF35" i="1" a="1"/>
  <c r="AF35" i="1" s="1"/>
  <c r="AF67" i="1" a="1"/>
  <c r="AF67" i="1" s="1"/>
  <c r="AC47" i="1" a="1"/>
  <c r="AC47" i="1" s="1"/>
  <c r="AF57" i="1" a="1"/>
  <c r="AF57" i="1" s="1"/>
  <c r="AC48" i="1" a="1"/>
  <c r="AC48" i="1" s="1"/>
  <c r="AF58" i="1" a="1"/>
  <c r="AF58" i="1" s="1"/>
  <c r="AE48" i="1" a="1"/>
  <c r="AE48" i="1" s="1"/>
  <c r="AC64" i="1" a="1"/>
  <c r="AC64" i="1" s="1"/>
  <c r="AF39" i="1" a="1"/>
  <c r="AF39" i="1" s="1"/>
  <c r="AE74" i="1" a="1"/>
  <c r="AE74" i="1" s="1"/>
  <c r="AF40" i="1" a="1"/>
  <c r="AF40" i="1" s="1"/>
  <c r="AF51" i="1" a="1"/>
  <c r="AF51" i="1" s="1"/>
  <c r="AF62" i="1" a="1"/>
  <c r="AF62" i="1" s="1"/>
  <c r="AE42" i="1" a="1"/>
  <c r="AE42" i="1" s="1"/>
  <c r="AE59" i="1" a="1"/>
  <c r="AE59" i="1" s="1"/>
  <c r="AE76" i="1" a="1"/>
  <c r="AE76" i="1" s="1"/>
  <c r="AC39" i="1" a="1"/>
  <c r="AC39" i="1" s="1"/>
  <c r="AC53" i="1" a="1"/>
  <c r="AC53" i="1" s="1"/>
  <c r="AC68" i="1" a="1"/>
  <c r="AC68" i="1" s="1"/>
  <c r="AF52" i="1" a="1"/>
  <c r="AF52" i="1" s="1"/>
  <c r="AE43" i="1" a="1"/>
  <c r="AE43" i="1" s="1"/>
  <c r="AC41" i="1" a="1"/>
  <c r="AC41" i="1" s="1"/>
  <c r="AE69" i="1" a="1"/>
  <c r="AE69" i="1" s="1"/>
  <c r="AC71" i="1" a="1"/>
  <c r="AC71" i="1" s="1"/>
  <c r="AE71" i="1" a="1"/>
  <c r="AE71" i="1" s="1"/>
  <c r="AF45" i="1" a="1"/>
  <c r="AF45" i="1" s="1"/>
  <c r="AC60" i="1" a="1"/>
  <c r="AC60" i="1" s="1"/>
  <c r="AE38" i="1" a="1"/>
  <c r="AE38" i="1" s="1"/>
  <c r="AE47" i="1" a="1"/>
  <c r="AE47" i="1" s="1"/>
  <c r="AC63" i="1" a="1"/>
  <c r="AC63" i="1" s="1"/>
  <c r="AE40" i="1" a="1"/>
  <c r="AE40" i="1" s="1"/>
  <c r="AC36" i="1" a="1"/>
  <c r="AC36" i="1" s="1"/>
  <c r="AF42" i="1" a="1"/>
  <c r="AF42" i="1" s="1"/>
  <c r="AF63" i="1" a="1"/>
  <c r="AF63" i="1" s="1"/>
  <c r="AF74" i="1" a="1"/>
  <c r="AF74" i="1" s="1"/>
  <c r="AE34" i="1" a="1"/>
  <c r="AE34" i="1" s="1"/>
  <c r="AE51" i="1" a="1"/>
  <c r="AE51" i="1" s="1"/>
  <c r="AE68" i="1" a="1"/>
  <c r="AE68" i="1" s="1"/>
  <c r="AC40" i="1" a="1"/>
  <c r="AC40" i="1" s="1"/>
  <c r="AC54" i="1" a="1"/>
  <c r="AC54" i="1" s="1"/>
  <c r="AC69" i="1" a="1"/>
  <c r="AC69" i="1" s="1"/>
  <c r="AE77" i="1" a="1"/>
  <c r="AE77" i="1" s="1"/>
  <c r="AF43" i="1" a="1"/>
  <c r="AF43" i="1" s="1"/>
  <c r="AF75" i="1" a="1"/>
  <c r="AF75" i="1" s="1"/>
  <c r="AE52" i="1" a="1"/>
  <c r="AE52" i="1" s="1"/>
  <c r="AF55" i="1" a="1"/>
  <c r="AF55" i="1" s="1"/>
  <c r="AC73" i="1" a="1"/>
  <c r="AC73" i="1" s="1"/>
  <c r="AE37" i="1" a="1"/>
  <c r="AE37" i="1" s="1"/>
  <c r="AF46" i="1" a="1"/>
  <c r="AF46" i="1" s="1"/>
  <c r="AC75" i="1" a="1"/>
  <c r="AC75" i="1" s="1"/>
  <c r="AF47" i="1" a="1"/>
  <c r="AF47" i="1" s="1"/>
  <c r="AC76" i="1" a="1"/>
  <c r="AC76" i="1" s="1"/>
  <c r="AF48" i="1" a="1"/>
  <c r="AF48" i="1" s="1"/>
  <c r="AE73" i="1" a="1"/>
  <c r="AE73" i="1" s="1"/>
  <c r="AE57" i="1" a="1"/>
  <c r="AE57" i="1" s="1"/>
  <c r="AF71" i="1" a="1"/>
  <c r="AF71" i="1" s="1"/>
  <c r="AF53" i="1" a="1"/>
  <c r="AF53" i="1" s="1"/>
  <c r="AF65" i="1" a="1"/>
  <c r="AF65" i="1" s="1"/>
  <c r="AF76" i="1" a="1"/>
  <c r="AF76" i="1" s="1"/>
  <c r="AE44" i="1" a="1"/>
  <c r="AE44" i="1" s="1"/>
  <c r="AE61" i="1" a="1"/>
  <c r="AE61" i="1" s="1"/>
  <c r="AE70" i="1" a="1"/>
  <c r="AE70" i="1" s="1"/>
  <c r="AC43" i="1" a="1"/>
  <c r="AC43" i="1" s="1"/>
  <c r="AC57" i="1" a="1"/>
  <c r="AC57" i="1" s="1"/>
  <c r="AC72" i="1" a="1"/>
  <c r="AC72" i="1" s="1"/>
  <c r="AF34" i="1" a="1"/>
  <c r="AF34" i="1" s="1"/>
  <c r="AF44" i="1" a="1"/>
  <c r="AF44" i="1" s="1"/>
  <c r="AF54" i="1" a="1"/>
  <c r="AF54" i="1" s="1"/>
  <c r="AE36" i="1" a="1"/>
  <c r="AE36" i="1" s="1"/>
  <c r="AE53" i="1" a="1"/>
  <c r="AE53" i="1" s="1"/>
  <c r="AE62" i="1" a="1"/>
  <c r="AE62" i="1" s="1"/>
  <c r="AC44" i="1" a="1"/>
  <c r="AC44" i="1" s="1"/>
  <c r="AC58" i="1" a="1"/>
  <c r="AC58" i="1" s="1"/>
  <c r="AE45" i="1" a="1"/>
  <c r="AE45" i="1" s="1"/>
  <c r="AE54" i="1" a="1"/>
  <c r="AE54" i="1" s="1"/>
  <c r="AC45" i="1" a="1"/>
  <c r="AC45" i="1" s="1"/>
  <c r="AF56" i="1" a="1"/>
  <c r="AF56" i="1" s="1"/>
  <c r="AE63" i="1" a="1"/>
  <c r="AE63" i="1" s="1"/>
  <c r="AC74" i="1" a="1"/>
  <c r="AC74" i="1" s="1"/>
  <c r="AF36" i="1" a="1"/>
  <c r="AF36" i="1" s="1"/>
  <c r="AE72" i="1" a="1"/>
  <c r="AE72" i="1" s="1"/>
  <c r="AC61" i="1" a="1"/>
  <c r="AC61" i="1" s="1"/>
  <c r="AE64" i="1" a="1"/>
  <c r="AE64" i="1" s="1"/>
  <c r="AC62" i="1" a="1"/>
  <c r="AC62" i="1" s="1"/>
  <c r="AF37" i="1" a="1"/>
  <c r="AF37" i="1" s="1"/>
  <c r="AE39" i="1" a="1"/>
  <c r="AE39" i="1" s="1"/>
  <c r="AE56" i="1" a="1"/>
  <c r="AE56" i="1" s="1"/>
  <c r="AC33" i="1" a="1"/>
  <c r="AC33" i="1" s="1"/>
  <c r="AC77" i="1" a="1"/>
  <c r="AC77" i="1" s="1"/>
  <c r="AF38" i="1" a="1"/>
  <c r="AF38" i="1" s="1"/>
  <c r="AF70" i="1" a="1"/>
  <c r="AF70" i="1" s="1"/>
  <c r="AE65" i="1" a="1"/>
  <c r="AE65" i="1" s="1"/>
  <c r="AC34" i="1" a="1"/>
  <c r="AC34" i="1" s="1"/>
  <c r="AF49" i="1" a="1"/>
  <c r="AF49" i="1" s="1"/>
  <c r="AE49" i="1" a="1"/>
  <c r="AE49" i="1" s="1"/>
  <c r="AC65" i="1" a="1"/>
  <c r="AC65" i="1" s="1"/>
  <c r="AC35" i="1" a="1"/>
  <c r="AC35" i="1" s="1"/>
  <c r="C25" i="1"/>
  <c r="AL24" i="1"/>
  <c r="AN24" i="1" s="1"/>
  <c r="AE14" i="9"/>
  <c r="I3" i="22"/>
  <c r="I5" i="22"/>
  <c r="I6" i="22"/>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I405" i="22"/>
  <c r="I406" i="22"/>
  <c r="I407" i="22"/>
  <c r="I408" i="22"/>
  <c r="I409" i="22"/>
  <c r="I410" i="22"/>
  <c r="I411" i="22"/>
  <c r="I412" i="22"/>
  <c r="I413" i="22"/>
  <c r="I414" i="22"/>
  <c r="I415" i="22"/>
  <c r="I416" i="22"/>
  <c r="I417" i="22"/>
  <c r="I418" i="22"/>
  <c r="I419" i="22"/>
  <c r="I420" i="22"/>
  <c r="I421" i="22"/>
  <c r="I422" i="22"/>
  <c r="I423" i="22"/>
  <c r="I4" i="22"/>
  <c r="J31" i="1" l="1"/>
  <c r="J28" i="1"/>
  <c r="J29" i="1"/>
  <c r="J30" i="1"/>
  <c r="J32" i="1"/>
  <c r="X78" i="1"/>
  <c r="V6" i="1" s="1"/>
  <c r="AM24" i="1"/>
  <c r="E7" i="9"/>
  <c r="F21" i="9" s="1"/>
  <c r="AE20" i="9"/>
  <c r="AI9" i="9"/>
  <c r="AH29" i="9"/>
  <c r="AG29" i="9"/>
  <c r="AF31" i="1" l="1" a="1"/>
  <c r="AF31" i="1" s="1"/>
  <c r="AE31" i="1" a="1"/>
  <c r="AE31" i="1" s="1"/>
  <c r="AC31" i="1" a="1"/>
  <c r="AC31" i="1" s="1"/>
  <c r="AD31" i="1" s="1"/>
  <c r="AC32" i="1" a="1"/>
  <c r="AC32" i="1" s="1"/>
  <c r="AE32" i="1" a="1"/>
  <c r="AE32" i="1" s="1"/>
  <c r="AF32" i="1" a="1"/>
  <c r="AF32" i="1" s="1"/>
  <c r="AE30" i="1" a="1"/>
  <c r="AE30" i="1" s="1"/>
  <c r="AF30" i="1" a="1"/>
  <c r="AF30" i="1" s="1"/>
  <c r="AC30" i="1" a="1"/>
  <c r="AC30" i="1" s="1"/>
  <c r="AD30" i="1" s="1"/>
  <c r="AF29" i="1" a="1"/>
  <c r="AF29" i="1" s="1"/>
  <c r="AE29" i="1" a="1"/>
  <c r="AE29" i="1" s="1"/>
  <c r="AC29" i="1" a="1"/>
  <c r="AC29" i="1" s="1"/>
  <c r="AD29" i="1" s="1"/>
  <c r="AC28" i="1" a="1"/>
  <c r="AC28" i="1" s="1"/>
  <c r="AD28" i="1" s="1"/>
  <c r="AF28" i="1" a="1"/>
  <c r="AF28" i="1" s="1"/>
  <c r="AE28" i="1" a="1"/>
  <c r="AE28" i="1" s="1"/>
  <c r="AE23" i="9"/>
  <c r="R57" i="9" s="1"/>
  <c r="AE26" i="9"/>
  <c r="AK9" i="9"/>
  <c r="AJ9" i="9"/>
  <c r="AO9" i="9" s="1"/>
  <c r="AE29" i="9"/>
  <c r="D11" i="13"/>
  <c r="D13" i="13"/>
  <c r="C12" i="13"/>
  <c r="C11" i="13"/>
  <c r="E13" i="13"/>
  <c r="E12" i="13"/>
  <c r="E11" i="13"/>
  <c r="D12" i="13"/>
  <c r="AD32" i="1" l="1"/>
  <c r="AD78" i="1" s="1"/>
  <c r="AE78" i="1"/>
  <c r="AF78" i="1"/>
  <c r="AI12" i="9"/>
  <c r="R67" i="9"/>
  <c r="R25" i="9"/>
  <c r="R43" i="9"/>
  <c r="R37" i="9"/>
  <c r="R26" i="9"/>
  <c r="R64" i="9"/>
  <c r="R66" i="9"/>
  <c r="R27" i="9"/>
  <c r="R56" i="9"/>
  <c r="R36" i="9"/>
  <c r="R39" i="9"/>
  <c r="R58" i="9"/>
  <c r="R53" i="9"/>
  <c r="R73" i="9"/>
  <c r="R48" i="9"/>
  <c r="R32" i="9"/>
  <c r="R40" i="9"/>
  <c r="R50" i="9"/>
  <c r="R31" i="9"/>
  <c r="R47" i="9"/>
  <c r="R71" i="9"/>
  <c r="R30" i="9"/>
  <c r="R54" i="9"/>
  <c r="R49" i="9"/>
  <c r="R52" i="9"/>
  <c r="R59" i="9"/>
  <c r="R70" i="9"/>
  <c r="R69" i="9"/>
  <c r="R74" i="9"/>
  <c r="R60" i="9"/>
  <c r="R61" i="9"/>
  <c r="R42" i="9"/>
  <c r="R68" i="9"/>
  <c r="R44" i="9"/>
  <c r="R45" i="9"/>
  <c r="R41" i="9"/>
  <c r="R72" i="9"/>
  <c r="R35" i="9"/>
  <c r="R28" i="9"/>
  <c r="R51" i="9"/>
  <c r="R46" i="9"/>
  <c r="R65" i="9"/>
  <c r="R34" i="9"/>
  <c r="R55" i="9"/>
  <c r="R62" i="9"/>
  <c r="R29" i="9"/>
  <c r="R38" i="9"/>
  <c r="R33" i="9"/>
  <c r="R63" i="9"/>
  <c r="S39" i="9"/>
  <c r="S52" i="9"/>
  <c r="S69" i="9"/>
  <c r="S48" i="9"/>
  <c r="S65" i="9"/>
  <c r="S36" i="9"/>
  <c r="S66" i="9"/>
  <c r="S41" i="9"/>
  <c r="S46" i="9"/>
  <c r="S42" i="9"/>
  <c r="S59" i="9"/>
  <c r="S64" i="9"/>
  <c r="S35" i="9"/>
  <c r="S44" i="9"/>
  <c r="S61" i="9"/>
  <c r="S74" i="9"/>
  <c r="S53" i="9"/>
  <c r="S70" i="9"/>
  <c r="S62" i="9"/>
  <c r="S37" i="9"/>
  <c r="S54" i="9"/>
  <c r="S51" i="9"/>
  <c r="S60" i="9"/>
  <c r="S40" i="9"/>
  <c r="S57" i="9"/>
  <c r="S49" i="9"/>
  <c r="S58" i="9"/>
  <c r="S71" i="9"/>
  <c r="S72" i="9"/>
  <c r="S68" i="9"/>
  <c r="S45" i="9"/>
  <c r="S50" i="9"/>
  <c r="S67" i="9"/>
  <c r="S63" i="9"/>
  <c r="S38" i="9"/>
  <c r="S55" i="9"/>
  <c r="S73" i="9"/>
  <c r="S43" i="9"/>
  <c r="S47" i="9"/>
  <c r="S56" i="9"/>
  <c r="S32" i="9"/>
  <c r="S26" i="9"/>
  <c r="S28" i="9"/>
  <c r="S33" i="9"/>
  <c r="S29" i="9"/>
  <c r="S34" i="9"/>
  <c r="S25" i="9"/>
  <c r="S27" i="9"/>
  <c r="S30" i="9"/>
  <c r="S31" i="9"/>
  <c r="T43" i="9"/>
  <c r="U43" i="9" s="1"/>
  <c r="T56" i="9"/>
  <c r="U56" i="9" s="1"/>
  <c r="T39" i="9"/>
  <c r="U39" i="9" s="1"/>
  <c r="T52" i="9"/>
  <c r="U52" i="9" s="1"/>
  <c r="T69" i="9"/>
  <c r="U69" i="9" s="1"/>
  <c r="T62" i="9"/>
  <c r="U62" i="9" s="1"/>
  <c r="T41" i="9"/>
  <c r="U41" i="9" s="1"/>
  <c r="T37" i="9"/>
  <c r="U37" i="9" s="1"/>
  <c r="T67" i="9"/>
  <c r="U67" i="9" s="1"/>
  <c r="T63" i="9"/>
  <c r="U63" i="9" s="1"/>
  <c r="T59" i="9"/>
  <c r="U59" i="9" s="1"/>
  <c r="T38" i="9"/>
  <c r="U38" i="9" s="1"/>
  <c r="T48" i="9"/>
  <c r="U48" i="9" s="1"/>
  <c r="T65" i="9"/>
  <c r="U65" i="9" s="1"/>
  <c r="T45" i="9"/>
  <c r="U45" i="9" s="1"/>
  <c r="T71" i="9"/>
  <c r="U71" i="9" s="1"/>
  <c r="T50" i="9"/>
  <c r="U50" i="9" s="1"/>
  <c r="T42" i="9"/>
  <c r="U42" i="9" s="1"/>
  <c r="T35" i="9"/>
  <c r="U35" i="9" s="1"/>
  <c r="T44" i="9"/>
  <c r="U44" i="9" s="1"/>
  <c r="T61" i="9"/>
  <c r="U61" i="9" s="1"/>
  <c r="T74" i="9"/>
  <c r="U74" i="9" s="1"/>
  <c r="T40" i="9"/>
  <c r="U40" i="9" s="1"/>
  <c r="T57" i="9"/>
  <c r="U57" i="9" s="1"/>
  <c r="T53" i="9"/>
  <c r="U53" i="9" s="1"/>
  <c r="T70" i="9"/>
  <c r="U70" i="9" s="1"/>
  <c r="T54" i="9"/>
  <c r="U54" i="9" s="1"/>
  <c r="T72" i="9"/>
  <c r="U72" i="9" s="1"/>
  <c r="T55" i="9"/>
  <c r="U55" i="9" s="1"/>
  <c r="T36" i="9"/>
  <c r="U36" i="9" s="1"/>
  <c r="T49" i="9"/>
  <c r="U49" i="9" s="1"/>
  <c r="T66" i="9"/>
  <c r="U66" i="9" s="1"/>
  <c r="T58" i="9"/>
  <c r="U58" i="9" s="1"/>
  <c r="T46" i="9"/>
  <c r="U46" i="9" s="1"/>
  <c r="T68" i="9"/>
  <c r="U68" i="9" s="1"/>
  <c r="T51" i="9"/>
  <c r="U51" i="9" s="1"/>
  <c r="T64" i="9"/>
  <c r="U64" i="9" s="1"/>
  <c r="T60" i="9"/>
  <c r="U60" i="9" s="1"/>
  <c r="T73" i="9"/>
  <c r="U73" i="9" s="1"/>
  <c r="T47" i="9"/>
  <c r="U47" i="9" s="1"/>
  <c r="T26" i="9"/>
  <c r="U26" i="9" s="1"/>
  <c r="T30" i="9"/>
  <c r="U30" i="9" s="1"/>
  <c r="T27" i="9"/>
  <c r="U27" i="9" s="1"/>
  <c r="T31" i="9"/>
  <c r="U31" i="9" s="1"/>
  <c r="T34" i="9"/>
  <c r="U34" i="9" s="1"/>
  <c r="T28" i="9"/>
  <c r="U28" i="9" s="1"/>
  <c r="T25" i="9"/>
  <c r="T33" i="9"/>
  <c r="U33" i="9" s="1"/>
  <c r="T29" i="9"/>
  <c r="U29" i="9" s="1"/>
  <c r="T32" i="9"/>
  <c r="U32" i="9" s="1"/>
  <c r="D21" i="1" l="1"/>
  <c r="U11" i="1" s="1"/>
  <c r="U12" i="1" s="1"/>
  <c r="W25" i="9" a="1"/>
  <c r="W25" i="9" s="1"/>
  <c r="Y25" i="9" s="1"/>
  <c r="V25" i="9" a="1"/>
  <c r="V25" i="9" s="1"/>
  <c r="X25" i="9" s="1"/>
  <c r="R75" i="9"/>
  <c r="S75" i="9"/>
  <c r="S5" i="9" s="1"/>
  <c r="V26" i="9" a="1"/>
  <c r="V26" i="9" s="1"/>
  <c r="X26" i="9" s="1"/>
  <c r="V27" i="9" a="1"/>
  <c r="V27" i="9" s="1"/>
  <c r="X27" i="9" s="1"/>
  <c r="V30" i="9" a="1"/>
  <c r="V30" i="9" s="1"/>
  <c r="X30" i="9" s="1"/>
  <c r="V28" i="9" a="1"/>
  <c r="V28" i="9" s="1"/>
  <c r="X28" i="9" s="1"/>
  <c r="V31" i="9" a="1"/>
  <c r="V31" i="9" s="1"/>
  <c r="X31" i="9" s="1"/>
  <c r="V32" i="9" a="1"/>
  <c r="V32" i="9" s="1"/>
  <c r="X32" i="9" s="1"/>
  <c r="V33" i="9" a="1"/>
  <c r="V33" i="9" s="1"/>
  <c r="X33" i="9" s="1"/>
  <c r="V34" i="9" a="1"/>
  <c r="V34" i="9" s="1"/>
  <c r="X34" i="9" s="1"/>
  <c r="V29" i="9" a="1"/>
  <c r="V29" i="9" s="1"/>
  <c r="X29" i="9" s="1"/>
  <c r="W47" i="9" a="1"/>
  <c r="W47" i="9" s="1"/>
  <c r="Y47" i="9" s="1"/>
  <c r="W48" i="9" a="1"/>
  <c r="W48" i="9" s="1"/>
  <c r="Y48" i="9" s="1"/>
  <c r="W57" i="9" a="1"/>
  <c r="W57" i="9" s="1"/>
  <c r="Y57" i="9" s="1"/>
  <c r="W66" i="9" a="1"/>
  <c r="W66" i="9" s="1"/>
  <c r="Y66" i="9" s="1"/>
  <c r="W30" i="9" a="1"/>
  <c r="W30" i="9" s="1"/>
  <c r="Y30" i="9" s="1"/>
  <c r="V39" i="9" a="1"/>
  <c r="V39" i="9" s="1"/>
  <c r="X39" i="9" s="1"/>
  <c r="V48" i="9" a="1"/>
  <c r="V48" i="9" s="1"/>
  <c r="X48" i="9" s="1"/>
  <c r="V57" i="9" a="1"/>
  <c r="V57" i="9" s="1"/>
  <c r="X57" i="9" s="1"/>
  <c r="W59" i="9" a="1"/>
  <c r="W59" i="9" s="1"/>
  <c r="Y59" i="9" s="1"/>
  <c r="W42" i="9" a="1"/>
  <c r="W42" i="9" s="1"/>
  <c r="Y42" i="9" s="1"/>
  <c r="V61" i="9" a="1"/>
  <c r="V61" i="9" s="1"/>
  <c r="X61" i="9" s="1"/>
  <c r="V52" i="9" a="1"/>
  <c r="V52" i="9" s="1"/>
  <c r="X52" i="9" s="1"/>
  <c r="W43" i="9" a="1"/>
  <c r="W43" i="9" s="1"/>
  <c r="Y43" i="9" s="1"/>
  <c r="V43" i="9" a="1"/>
  <c r="V43" i="9" s="1"/>
  <c r="X43" i="9" s="1"/>
  <c r="V72" i="9" a="1"/>
  <c r="V72" i="9" s="1"/>
  <c r="X72" i="9" s="1"/>
  <c r="W44" i="9" a="1"/>
  <c r="W44" i="9" s="1"/>
  <c r="Y44" i="9" s="1"/>
  <c r="V35" i="9" a="1"/>
  <c r="V35" i="9" s="1"/>
  <c r="X35" i="9" s="1"/>
  <c r="V63" i="9" a="1"/>
  <c r="V63" i="9" s="1"/>
  <c r="X63" i="9" s="1"/>
  <c r="V73" i="9" a="1"/>
  <c r="V73" i="9" s="1"/>
  <c r="X73" i="9" s="1"/>
  <c r="W64" i="9" a="1"/>
  <c r="W64" i="9" s="1"/>
  <c r="Y64" i="9" s="1"/>
  <c r="V46" i="9" a="1"/>
  <c r="V46" i="9" s="1"/>
  <c r="X46" i="9" s="1"/>
  <c r="W55" i="9" a="1"/>
  <c r="W55" i="9" s="1"/>
  <c r="Y55" i="9" s="1"/>
  <c r="W38" i="9" a="1"/>
  <c r="W38" i="9" s="1"/>
  <c r="Y38" i="9" s="1"/>
  <c r="V66" i="9" a="1"/>
  <c r="V66" i="9" s="1"/>
  <c r="X66" i="9" s="1"/>
  <c r="W74" i="9" a="1"/>
  <c r="W74" i="9" s="1"/>
  <c r="Y74" i="9" s="1"/>
  <c r="W39" i="9" a="1"/>
  <c r="W39" i="9" s="1"/>
  <c r="Y39" i="9" s="1"/>
  <c r="W67" i="9" a="1"/>
  <c r="W67" i="9" s="1"/>
  <c r="Y67" i="9" s="1"/>
  <c r="W31" i="9" a="1"/>
  <c r="W31" i="9" s="1"/>
  <c r="Y31" i="9" s="1"/>
  <c r="V68" i="9" a="1"/>
  <c r="V68" i="9" s="1"/>
  <c r="X68" i="9" s="1"/>
  <c r="W41" i="9" a="1"/>
  <c r="W41" i="9" s="1"/>
  <c r="Y41" i="9" s="1"/>
  <c r="V41" i="9" a="1"/>
  <c r="V41" i="9" s="1"/>
  <c r="X41" i="9" s="1"/>
  <c r="W60" i="9" a="1"/>
  <c r="W60" i="9" s="1"/>
  <c r="Y60" i="9" s="1"/>
  <c r="V51" i="9" a="1"/>
  <c r="V51" i="9" s="1"/>
  <c r="X51" i="9" s="1"/>
  <c r="W73" i="9" a="1"/>
  <c r="W73" i="9" s="1"/>
  <c r="Y73" i="9" s="1"/>
  <c r="W26" i="9" a="1"/>
  <c r="W26" i="9" s="1"/>
  <c r="Y26" i="9" s="1"/>
  <c r="W27" i="9" a="1"/>
  <c r="W27" i="9" s="1"/>
  <c r="Y27" i="9" s="1"/>
  <c r="V64" i="9" a="1"/>
  <c r="V64" i="9" s="1"/>
  <c r="X64" i="9" s="1"/>
  <c r="W28" i="9" a="1"/>
  <c r="W28" i="9" s="1"/>
  <c r="Y28" i="9" s="1"/>
  <c r="V74" i="9" a="1"/>
  <c r="V74" i="9" s="1"/>
  <c r="X74" i="9" s="1"/>
  <c r="W40" i="9" a="1"/>
  <c r="W40" i="9" s="1"/>
  <c r="Y40" i="9" s="1"/>
  <c r="W49" i="9" a="1"/>
  <c r="W49" i="9" s="1"/>
  <c r="Y49" i="9" s="1"/>
  <c r="W58" i="9" a="1"/>
  <c r="W58" i="9" s="1"/>
  <c r="Y58" i="9" s="1"/>
  <c r="W68" i="9" a="1"/>
  <c r="W68" i="9" s="1"/>
  <c r="Y68" i="9" s="1"/>
  <c r="W32" i="9" a="1"/>
  <c r="W32" i="9" s="1"/>
  <c r="Y32" i="9" s="1"/>
  <c r="V40" i="9" a="1"/>
  <c r="V40" i="9" s="1"/>
  <c r="X40" i="9" s="1"/>
  <c r="V49" i="9" a="1"/>
  <c r="V49" i="9" s="1"/>
  <c r="X49" i="9" s="1"/>
  <c r="V58" i="9" a="1"/>
  <c r="V58" i="9" s="1"/>
  <c r="X58" i="9" s="1"/>
  <c r="V67" i="9" a="1"/>
  <c r="V67" i="9" s="1"/>
  <c r="X67" i="9" s="1"/>
  <c r="W69" i="9" a="1"/>
  <c r="W69" i="9" s="1"/>
  <c r="Y69" i="9" s="1"/>
  <c r="W33" i="9" a="1"/>
  <c r="W33" i="9" s="1"/>
  <c r="Y33" i="9" s="1"/>
  <c r="W50" i="9" a="1"/>
  <c r="W50" i="9" s="1"/>
  <c r="Y50" i="9" s="1"/>
  <c r="W70" i="9" a="1"/>
  <c r="W70" i="9" s="1"/>
  <c r="Y70" i="9" s="1"/>
  <c r="W34" i="9" a="1"/>
  <c r="W34" i="9" s="1"/>
  <c r="Y34" i="9" s="1"/>
  <c r="V50" i="9" a="1"/>
  <c r="V50" i="9" s="1"/>
  <c r="X50" i="9" s="1"/>
  <c r="V59" i="9" a="1"/>
  <c r="V59" i="9" s="1"/>
  <c r="X59" i="9" s="1"/>
  <c r="V69" i="9" a="1"/>
  <c r="V69" i="9" s="1"/>
  <c r="X69" i="9" s="1"/>
  <c r="W51" i="9" a="1"/>
  <c r="W51" i="9" s="1"/>
  <c r="Y51" i="9" s="1"/>
  <c r="V42" i="9" a="1"/>
  <c r="V42" i="9" s="1"/>
  <c r="X42" i="9" s="1"/>
  <c r="V70" i="9" a="1"/>
  <c r="V70" i="9" s="1"/>
  <c r="X70" i="9" s="1"/>
  <c r="V71" i="9" a="1"/>
  <c r="V71" i="9" s="1"/>
  <c r="X71" i="9" s="1"/>
  <c r="W61" i="9" a="1"/>
  <c r="W61" i="9" s="1"/>
  <c r="Y61" i="9" s="1"/>
  <c r="V53" i="9" a="1"/>
  <c r="V53" i="9" s="1"/>
  <c r="X53" i="9" s="1"/>
  <c r="V62" i="9" a="1"/>
  <c r="V62" i="9" s="1"/>
  <c r="X62" i="9" s="1"/>
  <c r="W62" i="9" a="1"/>
  <c r="W62" i="9" s="1"/>
  <c r="Y62" i="9" s="1"/>
  <c r="V45" i="9" a="1"/>
  <c r="V45" i="9" s="1"/>
  <c r="X45" i="9" s="1"/>
  <c r="W45" i="9" a="1"/>
  <c r="W45" i="9" s="1"/>
  <c r="Y45" i="9" s="1"/>
  <c r="V37" i="9" a="1"/>
  <c r="V37" i="9" s="1"/>
  <c r="X37" i="9" s="1"/>
  <c r="W71" i="9" a="1"/>
  <c r="W71" i="9" s="1"/>
  <c r="Y71" i="9" s="1"/>
  <c r="W35" i="9" a="1"/>
  <c r="W35" i="9" s="1"/>
  <c r="Y35" i="9" s="1"/>
  <c r="V60" i="9" a="1"/>
  <c r="V60" i="9" s="1"/>
  <c r="X60" i="9" s="1"/>
  <c r="W72" i="9" a="1"/>
  <c r="W72" i="9" s="1"/>
  <c r="Y72" i="9" s="1"/>
  <c r="W36" i="9" a="1"/>
  <c r="W36" i="9" s="1"/>
  <c r="Y36" i="9" s="1"/>
  <c r="W52" i="9" a="1"/>
  <c r="W52" i="9" s="1"/>
  <c r="Y52" i="9" s="1"/>
  <c r="W37" i="9" a="1"/>
  <c r="W37" i="9" s="1"/>
  <c r="Y37" i="9" s="1"/>
  <c r="V44" i="9" a="1"/>
  <c r="V44" i="9" s="1"/>
  <c r="X44" i="9" s="1"/>
  <c r="W53" i="9" a="1"/>
  <c r="W53" i="9" s="1"/>
  <c r="Y53" i="9" s="1"/>
  <c r="V54" i="9" a="1"/>
  <c r="V54" i="9" s="1"/>
  <c r="X54" i="9" s="1"/>
  <c r="W63" i="9" a="1"/>
  <c r="W63" i="9" s="1"/>
  <c r="Y63" i="9" s="1"/>
  <c r="V36" i="9" a="1"/>
  <c r="V36" i="9" s="1"/>
  <c r="X36" i="9" s="1"/>
  <c r="W54" i="9" a="1"/>
  <c r="W54" i="9" s="1"/>
  <c r="Y54" i="9" s="1"/>
  <c r="V55" i="9" a="1"/>
  <c r="V55" i="9" s="1"/>
  <c r="X55" i="9" s="1"/>
  <c r="W46" i="9" a="1"/>
  <c r="W46" i="9" s="1"/>
  <c r="Y46" i="9" s="1"/>
  <c r="W56" i="9" a="1"/>
  <c r="W56" i="9" s="1"/>
  <c r="Y56" i="9" s="1"/>
  <c r="W65" i="9" a="1"/>
  <c r="W65" i="9" s="1"/>
  <c r="Y65" i="9" s="1"/>
  <c r="W29" i="9" a="1"/>
  <c r="W29" i="9" s="1"/>
  <c r="Y29" i="9" s="1"/>
  <c r="V38" i="9" a="1"/>
  <c r="V38" i="9" s="1"/>
  <c r="X38" i="9" s="1"/>
  <c r="V47" i="9" a="1"/>
  <c r="V47" i="9" s="1"/>
  <c r="X47" i="9" s="1"/>
  <c r="V56" i="9" a="1"/>
  <c r="V56" i="9" s="1"/>
  <c r="X56" i="9" s="1"/>
  <c r="V65" i="9" a="1"/>
  <c r="V65" i="9" s="1"/>
  <c r="X65" i="9" s="1"/>
  <c r="U25" i="9"/>
  <c r="U75" i="9" s="1"/>
  <c r="T75" i="9"/>
  <c r="S6" i="9" s="1"/>
  <c r="S7" i="9" l="1"/>
  <c r="T7" i="9" s="1"/>
  <c r="S4" i="9"/>
  <c r="T4" i="9" s="1"/>
  <c r="Y75" i="9"/>
  <c r="X75" i="9"/>
  <c r="E21" i="9" l="1" a="1"/>
  <c r="E21" i="9" s="1"/>
  <c r="AH15" i="1" l="1"/>
  <c r="AI15" i="1" s="1"/>
  <c r="Y29" i="1" l="1"/>
  <c r="Z29" i="1" s="1"/>
  <c r="AB29" i="1" s="1"/>
  <c r="Y28" i="1"/>
  <c r="V28" i="1"/>
  <c r="V29" i="1"/>
  <c r="Z31" i="1"/>
  <c r="AB31" i="1" s="1"/>
  <c r="Z32" i="1"/>
  <c r="AB32" i="1" s="1"/>
  <c r="Z30" i="1"/>
  <c r="AB30" i="1" s="1"/>
  <c r="AJ15" i="1"/>
  <c r="U28" i="1" l="1"/>
  <c r="U29" i="1"/>
  <c r="W32" i="1"/>
  <c r="AA32" i="1" s="1"/>
  <c r="V78" i="1"/>
  <c r="V3" i="1" s="1"/>
  <c r="Z28" i="1"/>
  <c r="Y78" i="1"/>
  <c r="V7" i="1" s="1"/>
  <c r="W30" i="1"/>
  <c r="AA30" i="1" s="1"/>
  <c r="W31" i="1"/>
  <c r="AA31" i="1" s="1"/>
  <c r="W29" i="1"/>
  <c r="AA29" i="1" s="1"/>
  <c r="W28" i="1" l="1"/>
  <c r="U78" i="1"/>
  <c r="V4" i="1" s="1"/>
  <c r="AB28" i="1"/>
  <c r="AB78" i="1" s="1"/>
  <c r="Z78" i="1"/>
  <c r="V8" i="1" s="1"/>
  <c r="W8" i="1" s="1"/>
  <c r="G10" i="39"/>
  <c r="AA28" i="1" l="1"/>
  <c r="AA78" i="1" s="1"/>
  <c r="W78" i="1"/>
  <c r="V5" i="1" s="1"/>
  <c r="W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Yigit Guctas</author>
  </authors>
  <commentList>
    <comment ref="C20" authorId="0" shapeId="0" xr:uid="{889FA52C-9327-4866-9E52-DB1B55A934C5}">
      <text>
        <r>
          <rPr>
            <sz val="9"/>
            <color indexed="81"/>
            <rFont val="Tahoma"/>
            <family val="2"/>
          </rPr>
          <t>Please take notice: This is applicable to electric units only. Does not include gas fired absorption chillers.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Yigit Guctas</author>
  </authors>
  <commentList>
    <comment ref="AG19" authorId="0" shapeId="0" xr:uid="{05F3583F-5801-479B-A620-8871AC9C6C84}">
      <text>
        <r>
          <rPr>
            <b/>
            <sz val="9"/>
            <color indexed="81"/>
            <rFont val="Tahoma"/>
            <family val="2"/>
          </rPr>
          <t>Per TRM V13, p76:</t>
        </r>
        <r>
          <rPr>
            <sz val="9"/>
            <color indexed="81"/>
            <rFont val="Tahoma"/>
            <family val="2"/>
          </rPr>
          <t xml:space="preserve">
Difference between cooling season design temperature
(90ºF) and indoor set temperature (70ºF).</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<sst xmlns="http://schemas.openxmlformats.org/spreadsheetml/2006/main" count="13815" uniqueCount="951">
  <si>
    <t xml:space="preserve"> </t>
  </si>
  <si>
    <t>Weatherization Program Application</t>
  </si>
  <si>
    <t>Please Enter Required Information In Yellow Highlighted Cells Below.</t>
  </si>
  <si>
    <t>ALL FIELDS ON THIS PAGE ARE REQUIRED. SHADED CELLS MUST BE COMPLETED FOR INCENTIVES TO BE CALCULATED, AND ALL PAYEE INFORMATION MUST BE COMPLETE AND ACCURATE TO ENSURE CORRECT CHECK PROCESSING AND PREVENT ADDITIONAL COSTS AND DELAYS ASSOCIATED WITH CHECK CANCELLATION AND REISSUANCE.</t>
  </si>
  <si>
    <t>CUSTOMER/ACCOUNT HOLDER INFORMATION (Customer must submit a W-9 Form)</t>
  </si>
  <si>
    <t xml:space="preserve">CUSTOMER FACILITY NAME </t>
  </si>
  <si>
    <t xml:space="preserve">CONTACT PERSON </t>
  </si>
  <si>
    <t>APPLICATION DATE</t>
  </si>
  <si>
    <r>
      <t xml:space="preserve">PHONE NUMBER </t>
    </r>
    <r>
      <rPr>
        <b/>
        <sz val="6"/>
        <rFont val="Arial"/>
        <family val="2"/>
      </rPr>
      <t xml:space="preserve"> </t>
    </r>
  </si>
  <si>
    <t>FAX NUMBER</t>
  </si>
  <si>
    <t>CUSTOMER FEDERAL TAX ID NUMBER</t>
  </si>
  <si>
    <r>
      <rPr>
        <b/>
        <sz val="6"/>
        <rFont val="Arial"/>
        <family val="2"/>
      </rPr>
      <t>INSTALL SITE</t>
    </r>
  </si>
  <si>
    <t>EMAIL ADDRESS</t>
  </si>
  <si>
    <t>SERVICE ADDRESS</t>
  </si>
  <si>
    <t>CITY</t>
  </si>
  <si>
    <t xml:space="preserve">STATE </t>
  </si>
  <si>
    <t>ZIP</t>
  </si>
  <si>
    <r>
      <rPr>
        <b/>
        <sz val="6"/>
        <rFont val="Arial"/>
        <family val="2"/>
      </rPr>
      <t>COMPANY TYPE:</t>
    </r>
  </si>
  <si>
    <t>NATIONAL GRID REPRESENTATIVE</t>
  </si>
  <si>
    <t xml:space="preserve">Is the Install Site located in a NYS Disadvantaged Community?  </t>
  </si>
  <si>
    <t>To determine appropriate status go to:</t>
  </si>
  <si>
    <t>https://www.nyserda.ny.gov/ny/disadvantaged-communities</t>
  </si>
  <si>
    <t>CUSTOMER OF RECORD: NATIONAL GRID ELECTRIC ACCOUNT NO.:</t>
  </si>
  <si>
    <t>ANNUAL KWH USAGE:</t>
  </si>
  <si>
    <t>CUSTOMER OF RECORD: NATIONAL GRID GAS ACCOUNT NO.:</t>
  </si>
  <si>
    <t>ANNUAL THERMS USAGE:</t>
  </si>
  <si>
    <t>YEAR BUILT OR LAST MAJOR RENOVATION (IF KNOWN)</t>
  </si>
  <si>
    <t>INCENTIVE PAYMENT</t>
  </si>
  <si>
    <t xml:space="preserve">BUSINESS NAME </t>
  </si>
  <si>
    <t>CONTACT PERSON</t>
  </si>
  <si>
    <t>MAILING ADDRESS</t>
  </si>
  <si>
    <t>STATE</t>
  </si>
  <si>
    <t xml:space="preserve">PHONE </t>
  </si>
  <si>
    <t xml:space="preserve">COMPANY TYPE </t>
  </si>
  <si>
    <t>FEDERAL TAX ID NUMBER (REQUIRED IF RECEIVING INCENTIVE)</t>
  </si>
  <si>
    <t>EQUIPMENT VENDOR INFORMATION</t>
  </si>
  <si>
    <t>EQUIPMENT VENDOR</t>
  </si>
  <si>
    <t>COMPANY CONTACT PERSON</t>
  </si>
  <si>
    <r>
      <t xml:space="preserve">STREET ADDRESS </t>
    </r>
    <r>
      <rPr>
        <b/>
        <sz val="6"/>
        <rFont val="Arial"/>
        <family val="2"/>
      </rPr>
      <t xml:space="preserve"> </t>
    </r>
  </si>
  <si>
    <t>ADDITIONAL APPLICATION INFORMATION</t>
  </si>
  <si>
    <r>
      <rPr>
        <b/>
        <sz val="6"/>
        <rFont val="Arial"/>
        <family val="2"/>
      </rPr>
      <t>EXPECTED COMPLETION DATE OF PROJECT</t>
    </r>
  </si>
  <si>
    <t>CUSTOMER ACCEPTANCE OF TERMS</t>
  </si>
  <si>
    <r>
      <rPr>
        <b/>
        <sz val="6"/>
        <rFont val="Arial"/>
        <family val="2"/>
      </rPr>
      <t>BY (AUTHORIZED SIGNATUIRE)</t>
    </r>
  </si>
  <si>
    <r>
      <rPr>
        <b/>
        <sz val="6"/>
        <rFont val="Arial"/>
        <family val="2"/>
      </rPr>
      <t>PRINTED NAME</t>
    </r>
  </si>
  <si>
    <r>
      <rPr>
        <b/>
        <sz val="6"/>
        <rFont val="Arial"/>
        <family val="2"/>
      </rPr>
      <t>TITLE</t>
    </r>
  </si>
  <si>
    <r>
      <rPr>
        <b/>
        <sz val="6"/>
        <rFont val="Arial"/>
        <family val="2"/>
      </rPr>
      <t>COMPANY</t>
    </r>
  </si>
  <si>
    <r>
      <rPr>
        <b/>
        <sz val="6"/>
        <rFont val="Arial"/>
        <family val="2"/>
      </rPr>
      <t>DATE</t>
    </r>
  </si>
  <si>
    <t>V1.0 4/2/26</t>
  </si>
  <si>
    <t>*** FOR NATIONAL GRID COMPLETION ***</t>
  </si>
  <si>
    <t>Pre-Installation Site Inspection</t>
  </si>
  <si>
    <t>Project / Customer Information</t>
  </si>
  <si>
    <t>National Grid Representative (Name):</t>
  </si>
  <si>
    <t>Individual Application(s):</t>
  </si>
  <si>
    <t>Facility Name:</t>
  </si>
  <si>
    <t>National Grid Electric Account Number:</t>
  </si>
  <si>
    <t>National Grid electric account is qualified electric rate code that pays the System Benefits Charge (SBC):</t>
  </si>
  <si>
    <t>National Grid Gas Account Number:</t>
  </si>
  <si>
    <t>National Grid gas account is qualified gas rate code that pays the System Benefits Charge (SBC):</t>
  </si>
  <si>
    <t>Inspection Type:</t>
  </si>
  <si>
    <t>Pre-Installation Inspection Date:</t>
  </si>
  <si>
    <t>Customer Present (Name):</t>
  </si>
  <si>
    <t>Vendor Present (Name):</t>
  </si>
  <si>
    <t>This project did not receive any energy efficiency incentive for these energy efficiency measures from any other SBC funded and or rate based funded programs (New York State utilities, or from other National Grid energy efficiency programs or the New York State Energy Research and Development Authority.)</t>
  </si>
  <si>
    <t>Photos Available:</t>
  </si>
  <si>
    <t>Additional Information and Notes</t>
  </si>
  <si>
    <t>Please add project specific details here.</t>
  </si>
  <si>
    <t>Certification / Approval</t>
  </si>
  <si>
    <t>I certify that all inputs have been validated, including existing conditions, and that the proposed products were not installed at the time of the pre-inspection. To the best of my knowledge, the project record is complete and no required information is missing.</t>
  </si>
  <si>
    <t>I approve that I have completed the pre-inspection and this project complies with program policies.</t>
  </si>
  <si>
    <t>National Grid Representative Signature</t>
  </si>
  <si>
    <t>Date</t>
  </si>
  <si>
    <t>Commercial and Multifamily</t>
  </si>
  <si>
    <t>NYC/Long Island/UNY Weatherization Program Application</t>
  </si>
  <si>
    <t>TERMS and CONDITIONS</t>
  </si>
  <si>
    <r>
      <rPr>
        <b/>
        <sz val="8"/>
        <color rgb="FF000000"/>
        <rFont val="Arial"/>
        <family val="2"/>
      </rPr>
      <t xml:space="preserve">1. Incentives </t>
    </r>
    <r>
      <rPr>
        <sz val="8"/>
        <color rgb="FF000000"/>
        <rFont val="Arial"/>
        <family val="2"/>
      </rPr>
      <t xml:space="preserve">- Subject to these terms and conditions (“Terms &amp; Conditions”), under the Commercial &amp; Industrial &amp; Multifamily Energy Efficiency Program (hereafter the “Program”) The Brooklyn Union Gas Company, KeySpan Gas East Corporation, and Niagara Mohawk Power Corporation each d/b/a National Grid (each “Company” or “National Grid”) will pay incentives to eligible National Grid customers for the purchase and installation of Energy Efficiency Measures ("EEMs") described in the Company's Program literature and with the Program application (as defined below). </t>
    </r>
  </si>
  <si>
    <r>
      <rPr>
        <b/>
        <sz val="8"/>
        <color rgb="FF000000"/>
        <rFont val="Arial"/>
        <family val="2"/>
      </rPr>
      <t xml:space="preserve">2. Customer Eligibility </t>
    </r>
    <r>
      <rPr>
        <sz val="8"/>
        <color rgb="FF000000"/>
        <rFont val="Arial"/>
        <family val="2"/>
      </rPr>
      <t>- National Grid customers are eligible if they are on a qualifying commercial rate code that pays the System Benefits Charge (SBC) and are directly responsible for the payment of the Company’s energy bills for the facility in which they conduct business (hereinafter the "Customer"). Issuance of incentives for completed Applications is contingent upon program funding availability and will be paid only for qualifying EEM installations between 01/01/2026 and 12/31/2026. Applications must be submitted by 12/31/2026. Equipment must be installed at the installation address listed on this application. Customers may not apply for or receive multiple incentives for the same EEM from other System Benefits Charge (SBC) funded or rate based funded New York State utilities or the New York State Energy Research and Development Authority ("NYSERDA") or from any other energy efficiency programs offered by National Grid. Check ngrid.com/business frequently for program updates or program extensions.</t>
    </r>
  </si>
  <si>
    <r>
      <t xml:space="preserve">3. Energy Efficiency Measures (EEMs) - </t>
    </r>
    <r>
      <rPr>
        <sz val="8"/>
        <color rgb="FF000000"/>
        <rFont val="Arial"/>
        <family val="2"/>
      </rPr>
      <t xml:space="preserve">(a) The Company will only pay incentives for the specific EEMs listed within this application The Company will not pay for EEMs that are not listed within this Program application. The Company has the right to reject any incentive application with ineligible equipment or equipment not indicated on this incentive application. There will be no incentive payments for substitute EEMs or used equipment, unless the substitute is approved by the Company in writing and in advance of installation. (b) All EEM installations must be installed in conformance with federal, state and local code requirements and by qualified or licensed contractors. The Company does not endorse the products listed nor makes any representations, warranties or guarantees as to, and assumes no responsibility for the equipment installed. </t>
    </r>
  </si>
  <si>
    <r>
      <t xml:space="preserve">4. Incentive Amounts - </t>
    </r>
    <r>
      <rPr>
        <sz val="8"/>
        <color rgb="FF000000"/>
        <rFont val="Arial"/>
        <family val="2"/>
      </rPr>
      <t>The Company will provide incentives for approved equipment, equal to the incentive amount indicated in the Company's Program literature and within the Program application. The Company reserves the right to change its incentive amounts in addition to negotiating a lower incentive amount on a per-unit basis in the case of multiple installations at the same site. The incentive may not exceed the cost of the EEMs. The Company will not provide incentives that are more than 100% of the cost of the equipment and installation and will limit the incentive amounts per project.</t>
    </r>
  </si>
  <si>
    <r>
      <t xml:space="preserve">5. Post-Installation Work Verification - </t>
    </r>
    <r>
      <rPr>
        <sz val="8"/>
        <color rgb="FF000000"/>
        <rFont val="Arial"/>
        <family val="2"/>
      </rPr>
      <t>The Company reserves the right to withhold the payment of any incentive until it has performed a verification of the specified installation. If the Company determines that the EEMs were not installed in a manner that is consistent with Program guidelines and applicable federal, state and local code requirements, the Company will not pay the incentive and may require that the installation be modified before making any incentive payments. The cost of such modifications is the responsibility of the Customer.</t>
    </r>
  </si>
  <si>
    <r>
      <rPr>
        <b/>
        <sz val="8"/>
        <color rgb="FF000000"/>
        <rFont val="Arial"/>
        <family val="2"/>
      </rPr>
      <t>6. Proof-of-Cost of Installatio</t>
    </r>
    <r>
      <rPr>
        <sz val="8"/>
        <color rgb="FF000000"/>
        <rFont val="Arial"/>
        <family val="2"/>
      </rPr>
      <t>n - The Customer shall submit, with its Program application, copies of all itemized proofs of purchase and invoices documenting the installation (including all materials, labor and equipment invoices), which reflect the actual cost of purchasing and installing the EEMs. In addition, the Company may request any other reasonable documentation or verification of the date of installation or the cost to the Customer of purchasing and installing the EEMs. The documentation shall be provided at the time the customer submits the Program application.</t>
    </r>
  </si>
  <si>
    <r>
      <rPr>
        <b/>
        <sz val="8"/>
        <color rgb="FF000000"/>
        <rFont val="Arial"/>
        <family val="2"/>
      </rPr>
      <t>7. Payment</t>
    </r>
    <r>
      <rPr>
        <sz val="8"/>
        <color rgb="FF000000"/>
        <rFont val="Arial"/>
        <family val="2"/>
      </rPr>
      <t xml:space="preserve"> - The Company expects to make incentive payments to eligible Customers within 45 days of a satisfactory work verification. The customer must refund any incentive made to the extent the contractor or equipment does not satisfy Program requirements.</t>
    </r>
  </si>
  <si>
    <r>
      <rPr>
        <b/>
        <sz val="8"/>
        <color rgb="FF000000"/>
        <rFont val="Arial"/>
        <family val="2"/>
      </rPr>
      <t>8. Payments Assignable to a Third Party</t>
    </r>
    <r>
      <rPr>
        <sz val="8"/>
        <color rgb="FF000000"/>
        <rFont val="Arial"/>
        <family val="2"/>
      </rPr>
      <t xml:space="preserve"> - (a) The Customer may request that the incentive be paid directly to a third party by so indicating in the Program application. Notification of third-party payment will be sent to customer upon submission of the Program application for the purpose of Customer confirmation. (b) If no payment choice is made, the Company will send the incentive payment directly to the Customer at the address indicated in the Program application.</t>
    </r>
  </si>
  <si>
    <r>
      <rPr>
        <b/>
        <sz val="8"/>
        <color rgb="FF000000"/>
        <rFont val="Arial"/>
        <family val="2"/>
      </rPr>
      <t>9. Program Materials</t>
    </r>
    <r>
      <rPr>
        <sz val="8"/>
        <color rgb="FF000000"/>
        <rFont val="Arial"/>
        <family val="2"/>
      </rPr>
      <t xml:space="preserve"> - The Customer must comply with the instructions in the Program Material in order to obtain National Grid incentives on approved EEMs. “Program Materials” means the information provided by National Grid, including, without limitation, Program guidelines and requirements, application forms, terms and conditions, and other literature regarding the Program (“Program Materials”).</t>
    </r>
  </si>
  <si>
    <r>
      <t xml:space="preserve">10. Installation Service Cost - </t>
    </r>
    <r>
      <rPr>
        <sz val="8"/>
        <color rgb="FF000000"/>
        <rFont val="Arial"/>
        <family val="2"/>
      </rPr>
      <t>The Company will recognize material and installation costs only to the extent that they are (i) directly related to energy savings, (ii) reasonable. (iii) actually incurred by the Customer and (iiii) fall within the guidelines for the Program.</t>
    </r>
  </si>
  <si>
    <r>
      <t xml:space="preserve">11. Indemnification/Release - </t>
    </r>
    <r>
      <rPr>
        <sz val="8"/>
        <color rgb="FF000000"/>
        <rFont val="Arial"/>
        <family val="2"/>
      </rPr>
      <t>(a) The Customer shall indemnify, defend and hold harmless the Company, its affiliates and the Company's and its affiliates' respective contractors, officers, directors, employees, agents, and representatives (collectively, the "Indemnified Parties") from and against any and all claims, demands, damages, losses, liabilities, judgements and expenses (including attorneys' fees and cost incurred to enforce this indemnity) arising out of or in conjunction with the Program except to the extent caused by negligence or willful misconduct of the Indemnified Parties. (b) To the fullest extent allowed by law and as part of the consideration for participation in the Program, the Customer waives and releases from harm the Indemnified Parties from all the obligations and for any and all liability or claims associated with this Program, the equipment/EEMs, and the work or services of the Customer's contractor, the performance of the equipment/EEMs, and these Terms and Conditions except to the extent such claims result from the negligence or willful misconduct of the Indemnified Parties.</t>
    </r>
  </si>
  <si>
    <r>
      <t xml:space="preserve">12. Warranty Disclaimer/Liability - </t>
    </r>
    <r>
      <rPr>
        <sz val="8"/>
        <color rgb="FF000000"/>
        <rFont val="Arial"/>
        <family val="2"/>
      </rPr>
      <t>(a) The Company does not endorse, guarantee or warrant any particular contractor, manufacturer, product or other item in connection with the Program (including third party warranties); (b) The Company does not make any representation of any kind regarding the results to be achieved by the equipment/EEMs or the adequacy or safety of such equipment/EEMs; (c) In no event shall the Company be liable to the Customer for any special, indirect, incidental, penal, punitive or consequential damages of any nature in connection with the use of this website or participation in this Program.</t>
    </r>
  </si>
  <si>
    <r>
      <rPr>
        <b/>
        <sz val="8"/>
        <color rgb="FF000000"/>
        <rFont val="Arial"/>
        <family val="2"/>
      </rPr>
      <t>13. Limited Scope Review</t>
    </r>
    <r>
      <rPr>
        <sz val="8"/>
        <color rgb="FF000000"/>
        <rFont val="Arial"/>
        <family val="2"/>
      </rPr>
      <t xml:space="preserve"> - The scope of review by the Company and/or the Vendor, of the installation of the equipment, is limited solely to determine whether incentives are payable. It does not include any kind of safety or code review, and should not be relied upon by the Customer as constituting a safety code review.</t>
    </r>
  </si>
  <si>
    <r>
      <t xml:space="preserve">14. Modification and Termination - </t>
    </r>
    <r>
      <rPr>
        <sz val="8"/>
        <color rgb="FF000000"/>
        <rFont val="Arial"/>
        <family val="2"/>
      </rPr>
      <t>National Grid shall, in its sole discretion, limit participation by any Customer, and deny or terminate, in its sole discretion, at any time, participation by any Customer. National Grid may, in its sole discretion, at any time and without notice, terminate these Terms and Conditions and/or the Customer’s participation in the Program. Program expenditures, requirements and eligibility, and these Terms and Conditions, may be terminated, canceled or modified by National Grid at any time without notice.</t>
    </r>
  </si>
  <si>
    <r>
      <t xml:space="preserve">15. No Tax Liability to the Company - </t>
    </r>
    <r>
      <rPr>
        <sz val="8"/>
        <color rgb="FF000000"/>
        <rFont val="Arial"/>
        <family val="2"/>
      </rPr>
      <t>The Company is not responsible for any tax liability which may be imposed as a result of  the payment of the incentive to the Customer or designated third party.</t>
    </r>
  </si>
  <si>
    <r>
      <rPr>
        <b/>
        <sz val="8"/>
        <color rgb="FF000000"/>
        <rFont val="Arial"/>
        <family val="2"/>
      </rPr>
      <t xml:space="preserve">16. Contractor Insurance </t>
    </r>
    <r>
      <rPr>
        <sz val="8"/>
        <color rgb="FF000000"/>
        <rFont val="Arial"/>
        <family val="2"/>
      </rPr>
      <t>- The Company is not responsible for any damage that may be caused as a result of an installation of any equipment/material. It is the responsibility of the customer to select qualified Contractors who carry adequate insurance coverage.</t>
    </r>
  </si>
  <si>
    <r>
      <rPr>
        <b/>
        <sz val="8"/>
        <color rgb="FF000000"/>
        <rFont val="Arial"/>
        <family val="2"/>
      </rPr>
      <t xml:space="preserve">17. Confidentiality and Utility Customer Consent Form </t>
    </r>
    <r>
      <rPr>
        <sz val="8"/>
        <color rgb="FF000000"/>
        <rFont val="Arial"/>
        <family val="2"/>
      </rPr>
      <t>- Customer of  The Company agrees and authorizes the utility’s sharing of the participant-customer’s information and/or project-level information with New York State Department of Public Service Staff and NYSERDA, including its agents or authorized representatives, consistent with NYSERDA’s New York State Public Service Commission and statutorily authorized responsibilities, including, but not limited to supporting market development initiatives, and other evaluation and measurement activities. (For clarity, the term project level includes the information based on the scope of the project, including, but not limited to, aggregated and anonymized whole building, building or subsets of the project.)</t>
    </r>
  </si>
  <si>
    <r>
      <rPr>
        <b/>
        <sz val="8"/>
        <color rgb="FF000000"/>
        <rFont val="Arial"/>
        <family val="2"/>
      </rPr>
      <t>18.</t>
    </r>
    <r>
      <rPr>
        <sz val="8"/>
        <color rgb="FF000000"/>
        <rFont val="Arial"/>
        <family val="2"/>
      </rPr>
      <t xml:space="preserve"> </t>
    </r>
    <r>
      <rPr>
        <b/>
        <sz val="8"/>
        <color rgb="FF000000"/>
        <rFont val="Arial"/>
        <family val="2"/>
      </rPr>
      <t>Energy Credits and Attributes -</t>
    </r>
    <r>
      <rPr>
        <sz val="8"/>
        <color rgb="FF000000"/>
        <rFont val="Arial"/>
        <family val="2"/>
      </rPr>
      <t xml:space="preserve"> Other than the energy cost savings realized by Customer, the Company is entitled to 100% of the benefits and rights associated with the EEMs and the Program under any regional initiative or federal, state or local law, program or regulation, and Customer waives, and agrees not to seek, any right to the same. When all other program terms and conditions are met, National Grid reserves the right to claim and report any energy savings associated with this application with or without incentive payments to the customer or their designated payee.</t>
    </r>
  </si>
  <si>
    <r>
      <rPr>
        <b/>
        <sz val="8"/>
        <color rgb="FF000000"/>
        <rFont val="Arial"/>
        <family val="2"/>
      </rPr>
      <t>19.</t>
    </r>
    <r>
      <rPr>
        <sz val="8"/>
        <color rgb="FF000000"/>
        <rFont val="Arial"/>
        <family val="2"/>
      </rPr>
      <t xml:space="preserve"> </t>
    </r>
    <r>
      <rPr>
        <b/>
        <sz val="8"/>
        <color rgb="FF000000"/>
        <rFont val="Arial"/>
        <family val="2"/>
      </rPr>
      <t>General Provisions</t>
    </r>
    <r>
      <rPr>
        <sz val="8"/>
        <color rgb="FF000000"/>
        <rFont val="Arial"/>
        <family val="2"/>
      </rPr>
      <t xml:space="preserve"> - These Terms and Conditions shall be interpreted and enforced according to the laws of the State of New York. In the event of any conflict or inconsistency between these Terms and Conditions and any Program Materials, these Terms and Conditions shall be controlling. There shall be no amendment to these Terms and Conditions or any Program Materials unless such is made by National Grid.</t>
    </r>
  </si>
  <si>
    <t>ENERGY EFFICIENCY MEASURE:</t>
  </si>
  <si>
    <t>Notes/Comments:</t>
  </si>
  <si>
    <t>ZIP Code:</t>
  </si>
  <si>
    <t>TRM County:</t>
  </si>
  <si>
    <t>TRM City:</t>
  </si>
  <si>
    <t>State:</t>
  </si>
  <si>
    <t>Incentive Program:</t>
  </si>
  <si>
    <t>Territory:</t>
  </si>
  <si>
    <t>Disadvantaged Community?</t>
  </si>
  <si>
    <t>Electric Application Number:</t>
  </si>
  <si>
    <t>Gas Application Number:</t>
  </si>
  <si>
    <t>Building Type:</t>
  </si>
  <si>
    <t>Building Sub-Category:</t>
  </si>
  <si>
    <t>Primary Heating Energy:</t>
  </si>
  <si>
    <t>Energy Consumption and Savings Summary</t>
  </si>
  <si>
    <t>Primary Cooling Energy:</t>
  </si>
  <si>
    <t>Electricity Account Number:</t>
  </si>
  <si>
    <t>Primary DHW Energy:</t>
  </si>
  <si>
    <t>Natural Gas Account Number:</t>
  </si>
  <si>
    <t>DHW Recirculation:</t>
  </si>
  <si>
    <t>Annual Electricity Consumption:</t>
  </si>
  <si>
    <t>Heating Input kBTU/h:</t>
  </si>
  <si>
    <t>Annual Natual Gas Consumption:</t>
  </si>
  <si>
    <t>Cooling Efficiency (COP) (If Unknown, Leave Blank):</t>
  </si>
  <si>
    <t>Annual Electricity Savings:</t>
  </si>
  <si>
    <t xml:space="preserve">Percent Electric Savings: </t>
  </si>
  <si>
    <t>Hours Override?</t>
  </si>
  <si>
    <t>Annual Natural Gas Savings:</t>
  </si>
  <si>
    <t xml:space="preserve">Percent Gas Savings: </t>
  </si>
  <si>
    <t>Material Cost:</t>
  </si>
  <si>
    <t>Savings and incentives are based on code compliance, as stated in NYS TRMV13.</t>
  </si>
  <si>
    <t>Labor Cost:</t>
  </si>
  <si>
    <t>Savings and incentives in this calculator are preliminary estimates and are subject to verification, modification, and approval by National Grid.</t>
  </si>
  <si>
    <t>Total Cost:</t>
  </si>
  <si>
    <t>Estimated Electric Incentive:</t>
  </si>
  <si>
    <t>Estimated Gas Incentive:</t>
  </si>
  <si>
    <t>Estimated Incentive Total:</t>
  </si>
  <si>
    <t>BASELINE</t>
  </si>
  <si>
    <t>PROPOSED</t>
  </si>
  <si>
    <t>SAVINGS</t>
  </si>
  <si>
    <t>Item</t>
  </si>
  <si>
    <t>Location</t>
  </si>
  <si>
    <t>Description</t>
  </si>
  <si>
    <t>Pipe Diameter (In)</t>
  </si>
  <si>
    <t>Pipe Material</t>
  </si>
  <si>
    <t>Fluid Type</t>
  </si>
  <si>
    <r>
      <t>Ambient Temp (</t>
    </r>
    <r>
      <rPr>
        <b/>
        <sz val="11"/>
        <color theme="0"/>
        <rFont val="Calibri"/>
        <family val="2"/>
      </rPr>
      <t>°</t>
    </r>
    <r>
      <rPr>
        <b/>
        <sz val="11"/>
        <color theme="0"/>
        <rFont val="Calibri"/>
        <family val="2"/>
        <scheme val="minor"/>
      </rPr>
      <t>F)</t>
    </r>
  </si>
  <si>
    <r>
      <t>Fluid Temp (</t>
    </r>
    <r>
      <rPr>
        <b/>
        <sz val="11"/>
        <color theme="0"/>
        <rFont val="Calibri"/>
        <family val="2"/>
      </rPr>
      <t>°</t>
    </r>
    <r>
      <rPr>
        <b/>
        <sz val="11"/>
        <color theme="0"/>
        <rFont val="Calibri"/>
        <family val="2"/>
        <scheme val="minor"/>
      </rPr>
      <t>F)</t>
    </r>
  </si>
  <si>
    <r>
      <rPr>
        <b/>
        <sz val="11"/>
        <color theme="0"/>
        <rFont val="Aptos Narrow"/>
        <family val="2"/>
      </rPr>
      <t>Δ</t>
    </r>
    <r>
      <rPr>
        <b/>
        <sz val="11"/>
        <color theme="0"/>
        <rFont val="Calibri"/>
        <family val="2"/>
        <scheme val="minor"/>
      </rPr>
      <t>T (</t>
    </r>
    <r>
      <rPr>
        <b/>
        <sz val="11"/>
        <color theme="0"/>
        <rFont val="Calibri"/>
        <family val="2"/>
      </rPr>
      <t>°</t>
    </r>
    <r>
      <rPr>
        <b/>
        <sz val="11"/>
        <color theme="0"/>
        <rFont val="Calibri"/>
        <family val="2"/>
        <scheme val="minor"/>
      </rPr>
      <t>F)</t>
    </r>
  </si>
  <si>
    <t>FUEL_TYPE CHECK</t>
  </si>
  <si>
    <t>INCENTIVE_CHECK#1</t>
  </si>
  <si>
    <t>INCENTIVE_CHECK#2</t>
  </si>
  <si>
    <t>INCENTIVE_CHECK#3</t>
  </si>
  <si>
    <t>INCENTIVE_CHECK#4 (Elec or Gas?)</t>
  </si>
  <si>
    <t>DHW_STAT CHECK</t>
  </si>
  <si>
    <t>Hours</t>
  </si>
  <si>
    <t>ElecSF</t>
  </si>
  <si>
    <t>FuelSF</t>
  </si>
  <si>
    <t>Eff_T_ELEC</t>
  </si>
  <si>
    <t>Eff_T_FUEL</t>
  </si>
  <si>
    <t>CF</t>
  </si>
  <si>
    <t>Bare Pipe Length (Ft)</t>
  </si>
  <si>
    <t>UA/L</t>
  </si>
  <si>
    <t>Insulation Material</t>
  </si>
  <si>
    <t>Ins Thickness (In)</t>
  </si>
  <si>
    <t>Code Compliant?</t>
  </si>
  <si>
    <r>
      <rPr>
        <b/>
        <sz val="11"/>
        <color theme="0"/>
        <rFont val="Aptos Narrow"/>
        <family val="2"/>
      </rPr>
      <t>Δ</t>
    </r>
    <r>
      <rPr>
        <b/>
        <sz val="11"/>
        <color theme="0"/>
        <rFont val="Calibri"/>
        <family val="2"/>
        <scheme val="minor"/>
      </rPr>
      <t>kWh</t>
    </r>
  </si>
  <si>
    <t>ΔkW</t>
  </si>
  <si>
    <t>Natural Gas Therm Savings</t>
  </si>
  <si>
    <t>Natural Gas MMBtu Savings</t>
  </si>
  <si>
    <t>Electric MMBtu Savings</t>
  </si>
  <si>
    <t>Uncapped Incentive $</t>
  </si>
  <si>
    <t>Total MMBTU Savings</t>
  </si>
  <si>
    <t>Pipe_Material</t>
  </si>
  <si>
    <t>Bare_Copper</t>
  </si>
  <si>
    <t>Bare_Steel</t>
  </si>
  <si>
    <t>Bare_CPVC_PEX</t>
  </si>
  <si>
    <t>UA/L  BASELINE</t>
  </si>
  <si>
    <t>Domestic_Hot_Water</t>
  </si>
  <si>
    <t>Heating_Hot_Water</t>
  </si>
  <si>
    <t>Fluid_Type</t>
  </si>
  <si>
    <t>Notes</t>
  </si>
  <si>
    <t>Steam_Low_Pressure</t>
  </si>
  <si>
    <t xml:space="preserve">For diameters 10 - 16-inches, logarithmic relationship is used, utilizing values between 0.5 inches to 8-inches. </t>
  </si>
  <si>
    <t>Steam_Medium_Pressure</t>
  </si>
  <si>
    <t>CoolingSupply</t>
  </si>
  <si>
    <t>Steam_High_Pressure</t>
  </si>
  <si>
    <t>CoolingReturn</t>
  </si>
  <si>
    <t>Steam_Condensate</t>
  </si>
  <si>
    <t xml:space="preserve">Unknown UA/L values (red cells) between 0.5-inches and 8-inches diameter are determined by using delta T (fluid minus ambient) and low pressure steam UA/L values. For diameters 10 - 16-inches, logarithmic relationship is used, utilizing values between 0.5 inches to 8-inches. </t>
  </si>
  <si>
    <t>Ins_Material</t>
  </si>
  <si>
    <t>EFLH (Heating):</t>
  </si>
  <si>
    <t>Appendix G</t>
  </si>
  <si>
    <t>Fiberglass</t>
  </si>
  <si>
    <t>EFLH (Cooling):</t>
  </si>
  <si>
    <t>RigidFoam_CellularGlass</t>
  </si>
  <si>
    <t>Incentive Type</t>
  </si>
  <si>
    <t>Fuel</t>
  </si>
  <si>
    <t>Large C &amp; I (LCI)</t>
  </si>
  <si>
    <t>Electric</t>
  </si>
  <si>
    <t>Small Business (SMB)</t>
  </si>
  <si>
    <t>Fossil</t>
  </si>
  <si>
    <t>Unknown</t>
  </si>
  <si>
    <t>Ambient Temp Lookup</t>
  </si>
  <si>
    <t>Unknown UA/L values (red cells) between 0.5-inches and 8-inches diameter are determined by using delta T (fluid minus ambient) and low pressure steam UA/L values. For diameters 10 - 16-inches, logarithmic relationship is used, utilizing values between 0.5</t>
  </si>
  <si>
    <t>From TRM V13</t>
  </si>
  <si>
    <t>UA/L  PROPOSED</t>
  </si>
  <si>
    <t>In agreement with similar defaults for this measure in the TRM V13.</t>
  </si>
  <si>
    <t>Ins_Thickness</t>
  </si>
  <si>
    <t>Forecasted based on existing values.</t>
  </si>
  <si>
    <t>Fluid Temp Lookup</t>
  </si>
  <si>
    <t>Fluid</t>
  </si>
  <si>
    <t>Temp</t>
  </si>
  <si>
    <t>NYS Code 2025 TABLE C403.13.3(1)</t>
  </si>
  <si>
    <t>Typical</t>
  </si>
  <si>
    <t>Operating Hours</t>
  </si>
  <si>
    <t>City</t>
  </si>
  <si>
    <t>Hrs</t>
  </si>
  <si>
    <t>Albany</t>
  </si>
  <si>
    <t>Binghamton</t>
  </si>
  <si>
    <t>Buffalo</t>
  </si>
  <si>
    <t>Massena</t>
  </si>
  <si>
    <t>Savings Factor (This table is not used - it is to show the TRM options)</t>
  </si>
  <si>
    <t>NYC</t>
  </si>
  <si>
    <t>Water Heater</t>
  </si>
  <si>
    <t>Poughkeepsie</t>
  </si>
  <si>
    <t>Syracuse</t>
  </si>
  <si>
    <t>COMMERCIAL/INDUSTRIAL CALC</t>
  </si>
  <si>
    <t>FUEL TYPE</t>
  </si>
  <si>
    <t>HeatingElectric</t>
  </si>
  <si>
    <t>Space Heater</t>
  </si>
  <si>
    <t>HeatingFossil</t>
  </si>
  <si>
    <t>Space Heat</t>
  </si>
  <si>
    <t>Domestic_Hot_WaterElectric</t>
  </si>
  <si>
    <t>Domestic_Hot_WaterFossil</t>
  </si>
  <si>
    <t>Domestic_Hot_WaterUnknown</t>
  </si>
  <si>
    <t>CoolingSupplyElectric</t>
  </si>
  <si>
    <t>BOILER EFFICIENCY</t>
  </si>
  <si>
    <t>CoolingSupplyFossil</t>
  </si>
  <si>
    <t>Min kBTU/h</t>
  </si>
  <si>
    <t>Max kBTU/h</t>
  </si>
  <si>
    <t>Efficiency</t>
  </si>
  <si>
    <t>CoolingReturnElectric</t>
  </si>
  <si>
    <t>CoolingReturnFossil</t>
  </si>
  <si>
    <t>SteamCondensateElectric</t>
  </si>
  <si>
    <t>SteamCondensateFossil</t>
  </si>
  <si>
    <t>STEAM</t>
  </si>
  <si>
    <t>COOLING EFFICIENCY</t>
  </si>
  <si>
    <t>Fuel Type</t>
  </si>
  <si>
    <t xml:space="preserve">IECC 2025,[NY] TABLE C403.3.2(3)—LIQUID-CHILLING PACKAGES—MINIMUM EFFICIENCY REQUIREMENTSa, b, e EQUIPMENT TYPE SIZE CATEGORY UNITS PATH A PATH B TEST PROCEDUREc, &gt;=150-Ton, &lt;300-Ton 
 </t>
  </si>
  <si>
    <t xml:space="preserve">IECC 2025,[NY] TABLE C403.3.2(3)—LIQUID-CHILLING PACKAGES—MINIMUM EFFICIENCY REQUIREMENTSa, b, e EQUIPMENT TYPE SIZE CATEGORY UNITS PATH A PATH B TEST PROCEDUREc,absorbtion single/double effect average
 </t>
  </si>
  <si>
    <t>Heating Energy Type</t>
  </si>
  <si>
    <t>System Type</t>
  </si>
  <si>
    <t>Gas (National Grid)</t>
  </si>
  <si>
    <t>Electric (National Grid)</t>
  </si>
  <si>
    <t>FOR HEATING EFLH</t>
  </si>
  <si>
    <t>Oil/Propane/Wood</t>
  </si>
  <si>
    <t>Building Type</t>
  </si>
  <si>
    <t>Multifamily_Low_Rise</t>
  </si>
  <si>
    <t>Multifamily_High_Rise</t>
  </si>
  <si>
    <t>Small_Commercial</t>
  </si>
  <si>
    <t>Large_Commercial</t>
  </si>
  <si>
    <t>Gas (Not National Grid)</t>
  </si>
  <si>
    <t>Pre_War</t>
  </si>
  <si>
    <t>Assembly</t>
  </si>
  <si>
    <t>Community_College_CAV_Econ</t>
  </si>
  <si>
    <t>Electric (Not National Grid)</t>
  </si>
  <si>
    <t>1939_1979</t>
  </si>
  <si>
    <t>Auto_Repair</t>
  </si>
  <si>
    <t>Community_College_CAV_NoEcon</t>
  </si>
  <si>
    <t>Heating Fuel:</t>
  </si>
  <si>
    <t>1979_2006</t>
  </si>
  <si>
    <t>Big_Box_Retail</t>
  </si>
  <si>
    <t>Community_College_VAV_Econ</t>
  </si>
  <si>
    <t>2007_Plus</t>
  </si>
  <si>
    <t>Fast_Food_Restaurant</t>
  </si>
  <si>
    <t>Dormitory_Fan_Coil</t>
  </si>
  <si>
    <t>Cooling Energy Type</t>
  </si>
  <si>
    <t>Full_Service_Restaurant</t>
  </si>
  <si>
    <t>High School_CAV_Econ</t>
  </si>
  <si>
    <t>Grocery</t>
  </si>
  <si>
    <t>High_School_CAV_NoEcon</t>
  </si>
  <si>
    <t>Electric % of MMBtu Savings:</t>
  </si>
  <si>
    <t>Light_Industrial</t>
  </si>
  <si>
    <t>High_School_VAV_Econ</t>
  </si>
  <si>
    <t>Gas % of MMBtu Savings:</t>
  </si>
  <si>
    <t>Motel</t>
  </si>
  <si>
    <t>Hospital_CAV_Econ</t>
  </si>
  <si>
    <t>Total % :</t>
  </si>
  <si>
    <t>Primary_School</t>
  </si>
  <si>
    <t>Hospital_CAV_NoEcon</t>
  </si>
  <si>
    <t>Cooling Fuel:</t>
  </si>
  <si>
    <t>Check</t>
  </si>
  <si>
    <t>Religious_Worship</t>
  </si>
  <si>
    <t>Hospital_VAV_Econ</t>
  </si>
  <si>
    <t>Electric Portion of Cost:</t>
  </si>
  <si>
    <t>Small_Office</t>
  </si>
  <si>
    <t>Hotel_CAV_Econ</t>
  </si>
  <si>
    <t>DHW Energy Type</t>
  </si>
  <si>
    <t>Gas Portion of Cost:</t>
  </si>
  <si>
    <t>Small_Retail</t>
  </si>
  <si>
    <t>Hotel_CAV_NoEcon</t>
  </si>
  <si>
    <t>Total:</t>
  </si>
  <si>
    <t>Warehouse</t>
  </si>
  <si>
    <t>Hotel_VAV_Econ</t>
  </si>
  <si>
    <t>Other</t>
  </si>
  <si>
    <t>Large_Office_CAV_Econ</t>
  </si>
  <si>
    <t>Large_Office_CAV_NoEcon</t>
  </si>
  <si>
    <t xml:space="preserve"> Elec Incentive Cap (Cost Based):</t>
  </si>
  <si>
    <t>Large_Office_VAV_Econ</t>
  </si>
  <si>
    <t>Gas Incentive Cap (Cost Based):</t>
  </si>
  <si>
    <t>Large_Retail_CAV_Econ</t>
  </si>
  <si>
    <t>Large_Retail_CAV_NoEcon</t>
  </si>
  <si>
    <t>DHW Fuel:</t>
  </si>
  <si>
    <t>Elec Incentive, Capped at % Cost:</t>
  </si>
  <si>
    <t>Large_Retail_VAV_Econ</t>
  </si>
  <si>
    <t>Gas Incentive, Capped at % Cost:</t>
  </si>
  <si>
    <t>University_CAV_Econ</t>
  </si>
  <si>
    <t>University_CAV_NoEcon</t>
  </si>
  <si>
    <t>Elec Uncapped Incentive:</t>
  </si>
  <si>
    <t>University_VAV_Econ</t>
  </si>
  <si>
    <t>Gas Uncapped Incentive:</t>
  </si>
  <si>
    <t>Elec Maximum Program Incentive:</t>
  </si>
  <si>
    <t>Gas Maximum Program Incentive:</t>
  </si>
  <si>
    <t>FOR MRD APPENDIX</t>
  </si>
  <si>
    <t>Domestic Hot Water</t>
  </si>
  <si>
    <t>Heating Hot Water</t>
  </si>
  <si>
    <t>Low Pressure Steam</t>
  </si>
  <si>
    <t>Medium Pressure Steam</t>
  </si>
  <si>
    <t>High Pressure Steam</t>
  </si>
  <si>
    <t>Steam Condensate</t>
  </si>
  <si>
    <t>Cooling Supply</t>
  </si>
  <si>
    <t>Cooling Return</t>
  </si>
  <si>
    <t>Rigid Foam or Cellular Glass</t>
  </si>
  <si>
    <t>TOTAL</t>
  </si>
  <si>
    <t>V1.0 - 02/10/2026</t>
  </si>
  <si>
    <t>ENERGY SAVINGS</t>
  </si>
  <si>
    <t>% SAVINGS</t>
  </si>
  <si>
    <t>CITY LOOKUP:</t>
  </si>
  <si>
    <t>Heating Fuel</t>
  </si>
  <si>
    <r>
      <t>F</t>
    </r>
    <r>
      <rPr>
        <vertAlign val="subscript"/>
        <sz val="11"/>
        <color theme="1"/>
        <rFont val="Calibri"/>
        <family val="2"/>
        <scheme val="minor"/>
      </rPr>
      <t>ElecHeat</t>
    </r>
    <r>
      <rPr>
        <sz val="11"/>
        <color theme="1"/>
        <rFont val="Calibri"/>
        <family val="2"/>
        <scheme val="minor"/>
      </rPr>
      <t>:</t>
    </r>
  </si>
  <si>
    <t>Building Zip Code:</t>
  </si>
  <si>
    <r>
      <t>ΔkWh</t>
    </r>
    <r>
      <rPr>
        <b/>
        <vertAlign val="subscript"/>
        <sz val="11"/>
        <color theme="0"/>
        <rFont val="Calibri"/>
        <family val="2"/>
        <scheme val="minor"/>
      </rPr>
      <t>Heating</t>
    </r>
    <r>
      <rPr>
        <b/>
        <sz val="11"/>
        <color theme="0"/>
        <rFont val="Calibri"/>
        <family val="2"/>
        <scheme val="minor"/>
      </rPr>
      <t>:</t>
    </r>
  </si>
  <si>
    <t>CLIMATE ZONE:</t>
  </si>
  <si>
    <r>
      <t>F</t>
    </r>
    <r>
      <rPr>
        <vertAlign val="subscript"/>
        <sz val="11"/>
        <color theme="1"/>
        <rFont val="Calibri"/>
        <family val="2"/>
        <scheme val="minor"/>
      </rPr>
      <t>FuelHeat</t>
    </r>
    <r>
      <rPr>
        <sz val="11"/>
        <color theme="1"/>
        <rFont val="Calibri"/>
        <family val="2"/>
        <scheme val="minor"/>
      </rPr>
      <t>:</t>
    </r>
  </si>
  <si>
    <r>
      <t>ΔkWh</t>
    </r>
    <r>
      <rPr>
        <b/>
        <vertAlign val="subscript"/>
        <sz val="11"/>
        <color theme="0"/>
        <rFont val="Calibri"/>
        <family val="2"/>
        <scheme val="minor"/>
      </rPr>
      <t>Cooling</t>
    </r>
    <r>
      <rPr>
        <b/>
        <sz val="11"/>
        <color theme="0"/>
        <rFont val="Calibri"/>
        <family val="2"/>
        <scheme val="minor"/>
      </rPr>
      <t>:</t>
    </r>
  </si>
  <si>
    <r>
      <t>F</t>
    </r>
    <r>
      <rPr>
        <vertAlign val="subscript"/>
        <sz val="11"/>
        <color theme="1"/>
        <rFont val="Calibri"/>
        <family val="2"/>
        <scheme val="minor"/>
      </rPr>
      <t>ElecCool</t>
    </r>
    <r>
      <rPr>
        <sz val="11"/>
        <color theme="1"/>
        <rFont val="Calibri"/>
        <family val="2"/>
        <scheme val="minor"/>
      </rPr>
      <t>:</t>
    </r>
  </si>
  <si>
    <r>
      <t>ΔkWh</t>
    </r>
    <r>
      <rPr>
        <b/>
        <vertAlign val="subscript"/>
        <sz val="11"/>
        <color theme="0"/>
        <rFont val="Calibri"/>
        <family val="2"/>
        <scheme val="minor"/>
      </rPr>
      <t>TOTAL</t>
    </r>
    <r>
      <rPr>
        <b/>
        <sz val="11"/>
        <color theme="0"/>
        <rFont val="Calibri"/>
        <family val="2"/>
        <scheme val="minor"/>
      </rPr>
      <t>:</t>
    </r>
  </si>
  <si>
    <t>HDD</t>
  </si>
  <si>
    <t>CDD</t>
  </si>
  <si>
    <r>
      <t>F</t>
    </r>
    <r>
      <rPr>
        <vertAlign val="subscript"/>
        <sz val="11"/>
        <color theme="1"/>
        <rFont val="Calibri"/>
        <family val="2"/>
        <scheme val="minor"/>
      </rPr>
      <t>FramingRoof</t>
    </r>
    <r>
      <rPr>
        <sz val="11"/>
        <color theme="1"/>
        <rFont val="Calibri"/>
        <family val="2"/>
        <scheme val="minor"/>
      </rPr>
      <t>:</t>
    </r>
  </si>
  <si>
    <t>Project Type:</t>
  </si>
  <si>
    <t>ΔkW:</t>
  </si>
  <si>
    <t>Cooling Fuel</t>
  </si>
  <si>
    <r>
      <t>F</t>
    </r>
    <r>
      <rPr>
        <vertAlign val="subscript"/>
        <sz val="11"/>
        <color theme="1"/>
        <rFont val="Calibri"/>
        <family val="2"/>
        <scheme val="minor"/>
      </rPr>
      <t>FramingWalls</t>
    </r>
    <r>
      <rPr>
        <sz val="11"/>
        <color theme="1"/>
        <rFont val="Calibri"/>
        <family val="2"/>
        <scheme val="minor"/>
      </rPr>
      <t>:</t>
    </r>
  </si>
  <si>
    <t>Year Built or Last Major Renovation:</t>
  </si>
  <si>
    <r>
      <t>ΔMMBtu</t>
    </r>
    <r>
      <rPr>
        <b/>
        <vertAlign val="subscript"/>
        <sz val="11"/>
        <color theme="0"/>
        <rFont val="Calibri"/>
        <family val="2"/>
        <scheme val="minor"/>
      </rPr>
      <t>Heating</t>
    </r>
    <r>
      <rPr>
        <b/>
        <sz val="11"/>
        <color theme="0"/>
        <rFont val="Calibri"/>
        <family val="2"/>
        <scheme val="minor"/>
      </rPr>
      <t>:</t>
    </r>
  </si>
  <si>
    <t xml:space="preserve">NYS Disadvantaged Community?  </t>
  </si>
  <si>
    <t>ΔTherms:</t>
  </si>
  <si>
    <t>None</t>
  </si>
  <si>
    <t>Passive House Project?</t>
  </si>
  <si>
    <t>Heating Fuel Type:</t>
  </si>
  <si>
    <t>INCENTIVE</t>
  </si>
  <si>
    <t>Electric Eff</t>
  </si>
  <si>
    <t>Fossil Fuel Equipment Efficiency (Percent):</t>
  </si>
  <si>
    <t>HSPF</t>
  </si>
  <si>
    <t>Electric Heating Efficiency Rating (HSPF):</t>
  </si>
  <si>
    <t>COP</t>
  </si>
  <si>
    <t>Cooling Fuel Type:</t>
  </si>
  <si>
    <t>Electric Cooling Seasonal Eff. (SEER/IEER):</t>
  </si>
  <si>
    <t>Project City</t>
  </si>
  <si>
    <t>Project Type</t>
  </si>
  <si>
    <t>Electric Cooling Energy Eff. Ratio (EER):</t>
  </si>
  <si>
    <t>Gut Rehab</t>
  </si>
  <si>
    <t>Retrofit</t>
  </si>
  <si>
    <t>Roof/Attic/Ceiling Insulation Material Cost:</t>
  </si>
  <si>
    <t>Envelope Type</t>
  </si>
  <si>
    <t>Roof/Attic/Ceiling Code Selection</t>
  </si>
  <si>
    <t>Roof/Attic/Ceiling Insulation Labor Cost:</t>
  </si>
  <si>
    <t>Ceiling</t>
  </si>
  <si>
    <t>Insulation Entirely Above Roof Deck</t>
  </si>
  <si>
    <t>Incentive Program</t>
  </si>
  <si>
    <t>Roof/Attic/Ceiling Insulation Total Cost:</t>
  </si>
  <si>
    <t>Roof/Attic</t>
  </si>
  <si>
    <t>Metal Buildings</t>
  </si>
  <si>
    <t>LCI</t>
  </si>
  <si>
    <t>Attic and Other</t>
  </si>
  <si>
    <t>SMB</t>
  </si>
  <si>
    <t>Roof/Attic/Ceiling Insulation Estimated Incentive:</t>
  </si>
  <si>
    <t>Opco Determination</t>
  </si>
  <si>
    <t>If cell(s) in column to the right (R-Value) are white background, TSS can enter custom R-Value.</t>
  </si>
  <si>
    <t>Project Location</t>
  </si>
  <si>
    <t>Electric?</t>
  </si>
  <si>
    <t>Gas?</t>
  </si>
  <si>
    <t>LCI or SMB</t>
  </si>
  <si>
    <t>OpCo</t>
  </si>
  <si>
    <t>OpCo#1</t>
  </si>
  <si>
    <t>OpCo#2</t>
  </si>
  <si>
    <t>Building Envelope Component</t>
  </si>
  <si>
    <t xml:space="preserve">Location </t>
  </si>
  <si>
    <t>Net Area  To Be Insulated (Sqft)</t>
  </si>
  <si>
    <t>R-Value of NEW Insulation Being Installed</t>
  </si>
  <si>
    <t>DAC</t>
  </si>
  <si>
    <t>Passive House</t>
  </si>
  <si>
    <t>Climate Zone</t>
  </si>
  <si>
    <t>Baseline Definition/ Lookup</t>
  </si>
  <si>
    <t>TSS Override?</t>
  </si>
  <si>
    <t>Final R-Value</t>
  </si>
  <si>
    <r>
      <rPr>
        <b/>
        <sz val="11"/>
        <color theme="0"/>
        <rFont val="Aptos Narrow"/>
        <family val="2"/>
      </rPr>
      <t>Δ</t>
    </r>
    <r>
      <rPr>
        <b/>
        <sz val="11"/>
        <color theme="0"/>
        <rFont val="Calibri"/>
        <family val="2"/>
        <scheme val="minor"/>
      </rPr>
      <t>R</t>
    </r>
  </si>
  <si>
    <r>
      <t>ΔkWh</t>
    </r>
    <r>
      <rPr>
        <b/>
        <vertAlign val="subscript"/>
        <sz val="11"/>
        <color theme="0"/>
        <rFont val="Calibri"/>
        <family val="2"/>
        <scheme val="minor"/>
      </rPr>
      <t>Cooling</t>
    </r>
  </si>
  <si>
    <r>
      <t>ΔkWh</t>
    </r>
    <r>
      <rPr>
        <b/>
        <vertAlign val="subscript"/>
        <sz val="11"/>
        <color theme="0"/>
        <rFont val="Calibri"/>
        <family val="2"/>
        <scheme val="minor"/>
      </rPr>
      <t>Heating</t>
    </r>
  </si>
  <si>
    <r>
      <t>ΔkWh</t>
    </r>
    <r>
      <rPr>
        <b/>
        <vertAlign val="subscript"/>
        <sz val="11"/>
        <color theme="0"/>
        <rFont val="Calibri"/>
        <family val="2"/>
        <scheme val="minor"/>
      </rPr>
      <t>TOTAL</t>
    </r>
  </si>
  <si>
    <r>
      <t>ΔMMBtu</t>
    </r>
    <r>
      <rPr>
        <b/>
        <vertAlign val="subscript"/>
        <sz val="11"/>
        <color theme="0"/>
        <rFont val="Calibri"/>
        <family val="2"/>
        <scheme val="minor"/>
      </rPr>
      <t>Heating</t>
    </r>
  </si>
  <si>
    <t>ΔTherms</t>
  </si>
  <si>
    <t>Electric Percent Savings</t>
  </si>
  <si>
    <t>Gas Percent Savings</t>
  </si>
  <si>
    <t>Incentive $ per Sqft</t>
  </si>
  <si>
    <t>Incentive Total $ (Not Final)</t>
  </si>
  <si>
    <t>Applicable Incentive Cost Cap</t>
  </si>
  <si>
    <t>Applicable Program Cap</t>
  </si>
  <si>
    <t>Do not delete rows below</t>
  </si>
  <si>
    <t>City:</t>
  </si>
  <si>
    <t>Wall Insulation Material Cost:</t>
  </si>
  <si>
    <t>Wall Code Selection</t>
  </si>
  <si>
    <t>Wall Insulation Labor Cost:</t>
  </si>
  <si>
    <t>Wall</t>
  </si>
  <si>
    <t>Mass</t>
  </si>
  <si>
    <t>Wall Insulation Total Cost:</t>
  </si>
  <si>
    <t>Metal Building</t>
  </si>
  <si>
    <t>Metal Framed</t>
  </si>
  <si>
    <t>Wall Insulation Estimated Incentive:</t>
  </si>
  <si>
    <t>Wood Framed and Other</t>
  </si>
  <si>
    <t>Below Grade Wall</t>
  </si>
  <si>
    <t>System</t>
  </si>
  <si>
    <r>
      <t>WINDOW CODE (</t>
    </r>
    <r>
      <rPr>
        <b/>
        <sz val="11"/>
        <color rgb="FFFF0000"/>
        <rFont val="Calibri"/>
        <family val="2"/>
        <scheme val="minor"/>
      </rPr>
      <t>ATTENTION! THE LOOKUP TABLE IS IN A DEDICATED TAB. THIS IS FOR YOUR INFORMATION ONLY</t>
    </r>
    <r>
      <rPr>
        <b/>
        <sz val="11"/>
        <color theme="1"/>
        <rFont val="Calibri"/>
        <family val="2"/>
        <scheme val="minor"/>
      </rPr>
      <t>)</t>
    </r>
  </si>
  <si>
    <t>AC With Electric Heat</t>
  </si>
  <si>
    <t>Fixed U-Value (Max)</t>
  </si>
  <si>
    <t>Operable U-Value (Max)</t>
  </si>
  <si>
    <t>SHGC (Max)</t>
  </si>
  <si>
    <t>Visible Transmittance (Min)</t>
  </si>
  <si>
    <t>ΔkWh:</t>
  </si>
  <si>
    <t>AC With Fuel Heat</t>
  </si>
  <si>
    <t>Air Source Heat Pump</t>
  </si>
  <si>
    <t>Electric Heat Only</t>
  </si>
  <si>
    <t>Fuel Heat Only</t>
  </si>
  <si>
    <t>Electric Heat?</t>
  </si>
  <si>
    <t>Gas Heat?</t>
  </si>
  <si>
    <t>NIMO Check</t>
  </si>
  <si>
    <t>Glazing Area / 100 Sqft:</t>
  </si>
  <si>
    <t>Building System Type:</t>
  </si>
  <si>
    <t>Incentive Check</t>
  </si>
  <si>
    <t>Fossil Fuel Equipment Efficiency:</t>
  </si>
  <si>
    <t>Climate</t>
  </si>
  <si>
    <t>Electric Cooling Seasonal Efficiency Ratio (SEER/IEER):</t>
  </si>
  <si>
    <t>Electric Cooling Energy Efficiency Ratio (EER):</t>
  </si>
  <si>
    <t>Units of Measure</t>
  </si>
  <si>
    <t>Labor:</t>
  </si>
  <si>
    <t>Inches</t>
  </si>
  <si>
    <t>Building Type, Climate, System</t>
  </si>
  <si>
    <t>Feet</t>
  </si>
  <si>
    <t>Window Estimated Incentive:</t>
  </si>
  <si>
    <t>Structure</t>
  </si>
  <si>
    <t>ΔkWh/ 100 SF (Appendix F)</t>
  </si>
  <si>
    <t>Fixed</t>
  </si>
  <si>
    <t>Proposed Windows</t>
  </si>
  <si>
    <t>INCENTIVES</t>
  </si>
  <si>
    <t>Operable</t>
  </si>
  <si>
    <t>Window Type</t>
  </si>
  <si>
    <t>Quantity</t>
  </si>
  <si>
    <t>Floor</t>
  </si>
  <si>
    <t>Width</t>
  </si>
  <si>
    <t>Height</t>
  </si>
  <si>
    <t>Window  Area (Sqft)</t>
  </si>
  <si>
    <t>Window Structure</t>
  </si>
  <si>
    <t>U-Factor (Btu/ft2-F-h)</t>
  </si>
  <si>
    <t>SHGC</t>
  </si>
  <si>
    <t>Visible Transmittance (VT)</t>
  </si>
  <si>
    <t>Proof of U-Factor, SHGC and VT</t>
  </si>
  <si>
    <t>NFRC Certification Number</t>
  </si>
  <si>
    <t>Code Compliance</t>
  </si>
  <si>
    <t>ΔkWh</t>
  </si>
  <si>
    <t>ΔMMBtu</t>
  </si>
  <si>
    <t>Elec Incentive $/Sqft</t>
  </si>
  <si>
    <t>Gas Incentive $/Sqft</t>
  </si>
  <si>
    <t>Elec Incentive Line Total $</t>
  </si>
  <si>
    <t>Gas Incentive Line Total $</t>
  </si>
  <si>
    <t>ΔkW/ 100 SF (Appendix F)</t>
  </si>
  <si>
    <r>
      <t>EER</t>
    </r>
    <r>
      <rPr>
        <b/>
        <vertAlign val="subscript"/>
        <sz val="11"/>
        <color theme="1"/>
        <rFont val="Calibri"/>
        <family val="2"/>
        <scheme val="minor"/>
      </rPr>
      <t>Baseline</t>
    </r>
  </si>
  <si>
    <t>If Blank Values from TRM</t>
  </si>
  <si>
    <r>
      <t>SEER</t>
    </r>
    <r>
      <rPr>
        <b/>
        <vertAlign val="subscript"/>
        <sz val="11"/>
        <color theme="1"/>
        <rFont val="Calibri"/>
        <family val="2"/>
        <scheme val="minor"/>
      </rPr>
      <t>Baseline</t>
    </r>
  </si>
  <si>
    <r>
      <t>Eff</t>
    </r>
    <r>
      <rPr>
        <b/>
        <vertAlign val="subscript"/>
        <sz val="11"/>
        <color theme="1"/>
        <rFont val="Calibri"/>
        <family val="2"/>
        <scheme val="minor"/>
      </rPr>
      <t>Baseline</t>
    </r>
  </si>
  <si>
    <t>ΔTherms/ 100 SF (Appendix F)</t>
  </si>
  <si>
    <t>Climate Zone Check</t>
  </si>
  <si>
    <t>Electric Cooling Energy Efficiency (EERPart)</t>
  </si>
  <si>
    <t>Proof</t>
  </si>
  <si>
    <t>Spec Sheet</t>
  </si>
  <si>
    <t>Electric Cooling Seasonal Efficiency (SEERPart):</t>
  </si>
  <si>
    <t>NFRC#</t>
  </si>
  <si>
    <t>Fossil Fuel Equipment Efficiency (EffPart):</t>
  </si>
  <si>
    <t/>
  </si>
  <si>
    <t>APPENDIX H MENUS</t>
  </si>
  <si>
    <t>Duct Location</t>
  </si>
  <si>
    <r>
      <t>TRF</t>
    </r>
    <r>
      <rPr>
        <b/>
        <vertAlign val="subscript"/>
        <sz val="11"/>
        <color theme="1"/>
        <rFont val="Calibri"/>
        <family val="2"/>
        <scheme val="minor"/>
      </rPr>
      <t>Cooling</t>
    </r>
  </si>
  <si>
    <r>
      <t>TRF</t>
    </r>
    <r>
      <rPr>
        <b/>
        <vertAlign val="subscript"/>
        <sz val="11"/>
        <color theme="1"/>
        <rFont val="Calibri"/>
        <family val="2"/>
        <scheme val="minor"/>
      </rPr>
      <t>Heating</t>
    </r>
  </si>
  <si>
    <t>Duct Total Leakage (%)</t>
  </si>
  <si>
    <t>Duct System R-value 
(Supply and Return)</t>
  </si>
  <si>
    <t>Attic</t>
  </si>
  <si>
    <t>Heating</t>
  </si>
  <si>
    <t>Uninsulated</t>
  </si>
  <si>
    <t>Garage</t>
  </si>
  <si>
    <t>Fast Food Restaurant</t>
  </si>
  <si>
    <t>Cooling</t>
  </si>
  <si>
    <t>R-6</t>
  </si>
  <si>
    <t>Crawl space, Unvented, Uninsulated</t>
  </si>
  <si>
    <t>Full Service Restaurant</t>
  </si>
  <si>
    <t>Crawl Space, Unvented, Insulated Building Floor and Crawl Space Walls</t>
  </si>
  <si>
    <t>Small Retail</t>
  </si>
  <si>
    <t>Crawl Space, Unvented, Insulated Floor Only</t>
  </si>
  <si>
    <t>Interior Duct Location:</t>
  </si>
  <si>
    <t>Crawl Space, Vented, Uninsulated</t>
  </si>
  <si>
    <t>Duct Leakage % (Pre-Installation):</t>
  </si>
  <si>
    <r>
      <t>EFLH</t>
    </r>
    <r>
      <rPr>
        <b/>
        <vertAlign val="subscript"/>
        <sz val="11"/>
        <color theme="1"/>
        <rFont val="Calibri"/>
        <family val="2"/>
        <scheme val="minor"/>
      </rPr>
      <t>Heating</t>
    </r>
  </si>
  <si>
    <t>OpCo/Program</t>
  </si>
  <si>
    <t>Crawl Space, Insulated Building Floor and Crawlspace Walls</t>
  </si>
  <si>
    <t>Duct R-Value (Pre-Installation):</t>
  </si>
  <si>
    <t>Crawl Space, Vented, Insulated Floor Only</t>
  </si>
  <si>
    <t>Duct Leakage % (Post Installation):</t>
  </si>
  <si>
    <t>Basement, Uninsulated</t>
  </si>
  <si>
    <t>Duct R-Value (Post Installation):</t>
  </si>
  <si>
    <r>
      <t>EFLH</t>
    </r>
    <r>
      <rPr>
        <b/>
        <vertAlign val="subscript"/>
        <sz val="11"/>
        <color theme="1"/>
        <rFont val="Calibri"/>
        <family val="2"/>
        <scheme val="minor"/>
      </rPr>
      <t>Cooling</t>
    </r>
  </si>
  <si>
    <r>
      <t>TRF</t>
    </r>
    <r>
      <rPr>
        <b/>
        <vertAlign val="subscript"/>
        <sz val="11"/>
        <color theme="1"/>
        <rFont val="Calibri"/>
        <family val="2"/>
        <scheme val="minor"/>
      </rPr>
      <t>Heating</t>
    </r>
    <r>
      <rPr>
        <b/>
        <sz val="11"/>
        <color theme="1"/>
        <rFont val="Calibri"/>
        <family val="2"/>
        <scheme val="minor"/>
      </rPr>
      <t>:</t>
    </r>
  </si>
  <si>
    <t>Basement, Insulated Walls</t>
  </si>
  <si>
    <t>Output Cooling Capacity in Tons:</t>
  </si>
  <si>
    <t>Under-Slab</t>
  </si>
  <si>
    <t>Output Heating Capacity kBTU/h:</t>
  </si>
  <si>
    <t>Input Heating Capacity in kW:</t>
  </si>
  <si>
    <r>
      <t>TRF</t>
    </r>
    <r>
      <rPr>
        <b/>
        <vertAlign val="subscript"/>
        <sz val="11"/>
        <color theme="1"/>
        <rFont val="Calibri"/>
        <family val="2"/>
        <scheme val="minor"/>
      </rPr>
      <t>Cooling</t>
    </r>
    <r>
      <rPr>
        <b/>
        <sz val="11"/>
        <color theme="1"/>
        <rFont val="Calibri"/>
        <family val="2"/>
        <scheme val="minor"/>
      </rPr>
      <t>:</t>
    </r>
  </si>
  <si>
    <t>Input Heating Capacity in kBTU/h:</t>
  </si>
  <si>
    <t>AC with Electric Heat</t>
  </si>
  <si>
    <t>Heating Equivalent Full-Load Hours:</t>
  </si>
  <si>
    <t>Cooling Equivalent Full-Load Hours:</t>
  </si>
  <si>
    <r>
      <t>Eff</t>
    </r>
    <r>
      <rPr>
        <vertAlign val="subscript"/>
        <sz val="11"/>
        <color theme="1"/>
        <rFont val="Calibri"/>
        <family val="2"/>
        <scheme val="minor"/>
      </rPr>
      <t>Dist, Cooling, Baseline</t>
    </r>
  </si>
  <si>
    <r>
      <t>Eff</t>
    </r>
    <r>
      <rPr>
        <vertAlign val="subscript"/>
        <sz val="11"/>
        <color theme="1"/>
        <rFont val="Calibri"/>
        <family val="2"/>
        <scheme val="minor"/>
      </rPr>
      <t>Dist, Cooling, ee</t>
    </r>
  </si>
  <si>
    <t>AC with Fuel Heat</t>
  </si>
  <si>
    <t>Seasonal Energy Efficiency Ratio (SEER):</t>
  </si>
  <si>
    <t>Integrated Energy Efficiency Ratio (IEER):</t>
  </si>
  <si>
    <t>Energy Eff Ratio Under Peak Conditions (EER):</t>
  </si>
  <si>
    <r>
      <t>Eff</t>
    </r>
    <r>
      <rPr>
        <vertAlign val="subscript"/>
        <sz val="11"/>
        <color theme="1"/>
        <rFont val="Calibri"/>
        <family val="2"/>
        <scheme val="minor"/>
      </rPr>
      <t>Dist, Heating, Baseline</t>
    </r>
  </si>
  <si>
    <r>
      <t>Eff</t>
    </r>
    <r>
      <rPr>
        <vertAlign val="subscript"/>
        <sz val="11"/>
        <color theme="1"/>
        <rFont val="Calibri"/>
        <family val="2"/>
        <scheme val="minor"/>
      </rPr>
      <t>Dist, Heating, ee</t>
    </r>
  </si>
  <si>
    <t>Heating Seasonal Performance Factor (HSPF):</t>
  </si>
  <si>
    <t>Coefficient of Performance (COP):</t>
  </si>
  <si>
    <t>Tons</t>
  </si>
  <si>
    <r>
      <t>kBTU/h</t>
    </r>
    <r>
      <rPr>
        <b/>
        <vertAlign val="subscript"/>
        <sz val="11"/>
        <color theme="1"/>
        <rFont val="Calibri"/>
        <family val="2"/>
        <scheme val="minor"/>
      </rPr>
      <t>Output</t>
    </r>
  </si>
  <si>
    <r>
      <t>kW</t>
    </r>
    <r>
      <rPr>
        <vertAlign val="subscript"/>
        <sz val="11"/>
        <color theme="1"/>
        <rFont val="Calibri"/>
        <family val="2"/>
        <scheme val="minor"/>
      </rPr>
      <t>In</t>
    </r>
  </si>
  <si>
    <r>
      <t>kBTU/h</t>
    </r>
    <r>
      <rPr>
        <b/>
        <vertAlign val="subscript"/>
        <sz val="11"/>
        <color theme="1"/>
        <rFont val="Calibri"/>
        <family val="2"/>
        <scheme val="minor"/>
      </rPr>
      <t>Input</t>
    </r>
  </si>
  <si>
    <t>Duct Sealing and Insulation Estimated Incentive:</t>
  </si>
  <si>
    <t>&lt;65,000</t>
  </si>
  <si>
    <r>
      <rPr>
        <b/>
        <sz val="11"/>
        <color theme="1"/>
        <rFont val="Aptos Narrow"/>
        <family val="2"/>
      </rPr>
      <t>≥</t>
    </r>
    <r>
      <rPr>
        <b/>
        <sz val="11"/>
        <color theme="1"/>
        <rFont val="Calibri"/>
        <family val="2"/>
        <scheme val="minor"/>
      </rPr>
      <t>65,000</t>
    </r>
  </si>
  <si>
    <r>
      <rPr>
        <b/>
        <sz val="11"/>
        <color theme="1"/>
        <rFont val="Aptos Narrow"/>
        <family val="2"/>
      </rPr>
      <t>Δ</t>
    </r>
    <r>
      <rPr>
        <b/>
        <sz val="11"/>
        <color theme="1"/>
        <rFont val="Calibri"/>
        <family val="2"/>
        <scheme val="minor"/>
      </rPr>
      <t>kWh</t>
    </r>
  </si>
  <si>
    <r>
      <rPr>
        <b/>
        <sz val="11"/>
        <color theme="1"/>
        <rFont val="Aptos Narrow"/>
        <family val="2"/>
      </rPr>
      <t>Δ</t>
    </r>
    <r>
      <rPr>
        <b/>
        <sz val="11"/>
        <color theme="1"/>
        <rFont val="Calibri"/>
        <family val="2"/>
        <scheme val="minor"/>
      </rPr>
      <t>kW</t>
    </r>
  </si>
  <si>
    <r>
      <rPr>
        <b/>
        <sz val="11"/>
        <color theme="1"/>
        <rFont val="Aptos Narrow"/>
        <family val="2"/>
      </rPr>
      <t>Δ</t>
    </r>
    <r>
      <rPr>
        <b/>
        <sz val="11"/>
        <color theme="1"/>
        <rFont val="Calibri"/>
        <family val="2"/>
        <scheme val="minor"/>
      </rPr>
      <t>kWh AC</t>
    </r>
  </si>
  <si>
    <r>
      <rPr>
        <b/>
        <sz val="11"/>
        <color theme="1"/>
        <rFont val="Aptos Narrow"/>
        <family val="2"/>
      </rPr>
      <t>Δ</t>
    </r>
    <r>
      <rPr>
        <b/>
        <sz val="11"/>
        <color theme="1"/>
        <rFont val="Calibri"/>
        <family val="2"/>
        <scheme val="minor"/>
      </rPr>
      <t>kWh Elec Heat</t>
    </r>
  </si>
  <si>
    <r>
      <rPr>
        <b/>
        <sz val="11"/>
        <color theme="1"/>
        <rFont val="Aptos Narrow"/>
        <family val="2"/>
      </rPr>
      <t>Δ</t>
    </r>
    <r>
      <rPr>
        <b/>
        <sz val="11"/>
        <color theme="1"/>
        <rFont val="Calibri"/>
        <family val="2"/>
        <scheme val="minor"/>
      </rPr>
      <t>MMBtu</t>
    </r>
  </si>
  <si>
    <t>PLEASE DO NOT DELETE BELOW THIS ROW</t>
  </si>
  <si>
    <t>Shielding Class</t>
  </si>
  <si>
    <r>
      <t>F</t>
    </r>
    <r>
      <rPr>
        <b/>
        <vertAlign val="subscript"/>
        <sz val="11"/>
        <color theme="1"/>
        <rFont val="Calibri"/>
        <family val="2"/>
        <scheme val="minor"/>
      </rPr>
      <t>n, cooling</t>
    </r>
  </si>
  <si>
    <r>
      <t>ΔkWh</t>
    </r>
    <r>
      <rPr>
        <b/>
        <vertAlign val="subscript"/>
        <sz val="11"/>
        <color theme="0"/>
        <rFont val="Calibri"/>
        <family val="2"/>
        <scheme val="minor"/>
      </rPr>
      <t>Total</t>
    </r>
    <r>
      <rPr>
        <b/>
        <sz val="11"/>
        <color theme="0"/>
        <rFont val="Calibri"/>
        <family val="2"/>
        <scheme val="minor"/>
      </rPr>
      <t>:</t>
    </r>
  </si>
  <si>
    <t>1 - No shielding on any side</t>
  </si>
  <si>
    <t>Latent Multiplier</t>
  </si>
  <si>
    <t>2 - A few nearby obstructions</t>
  </si>
  <si>
    <t>3 - A collection of obstructions within 25 feet</t>
  </si>
  <si>
    <t>Shielding Class:</t>
  </si>
  <si>
    <t>4 - Substantial number of obstructions shield most of the perimeter – typical suburban setting</t>
  </si>
  <si>
    <t>Heating System Fuel:</t>
  </si>
  <si>
    <t>5 - Building surrounded by large structures – typical urban setting</t>
  </si>
  <si>
    <t>Cooling System Type:</t>
  </si>
  <si>
    <t>Number of Floors:</t>
  </si>
  <si>
    <r>
      <t>F</t>
    </r>
    <r>
      <rPr>
        <b/>
        <vertAlign val="subscript"/>
        <sz val="11"/>
        <color theme="1"/>
        <rFont val="Calibri"/>
        <family val="2"/>
        <scheme val="minor"/>
      </rPr>
      <t>n, heating</t>
    </r>
  </si>
  <si>
    <t>Impacted Floor Area (Sqft):</t>
  </si>
  <si>
    <r>
      <t>CFM</t>
    </r>
    <r>
      <rPr>
        <b/>
        <vertAlign val="subscript"/>
        <sz val="11"/>
        <color theme="0"/>
        <rFont val="Calibri"/>
        <family val="2"/>
        <scheme val="minor"/>
      </rPr>
      <t>75, Baseline</t>
    </r>
    <r>
      <rPr>
        <b/>
        <sz val="11"/>
        <color theme="0"/>
        <rFont val="Calibri"/>
        <family val="2"/>
        <scheme val="minor"/>
      </rPr>
      <t>/Sqft:</t>
    </r>
  </si>
  <si>
    <r>
      <t>CFM</t>
    </r>
    <r>
      <rPr>
        <b/>
        <vertAlign val="subscript"/>
        <sz val="11"/>
        <color theme="0"/>
        <rFont val="Calibri"/>
        <family val="2"/>
        <scheme val="minor"/>
      </rPr>
      <t>75, Proposed</t>
    </r>
    <r>
      <rPr>
        <b/>
        <sz val="11"/>
        <color theme="0"/>
        <rFont val="Calibri"/>
        <family val="2"/>
        <scheme val="minor"/>
      </rPr>
      <t>/Sqft:</t>
    </r>
  </si>
  <si>
    <t>Values Used In Calc:</t>
  </si>
  <si>
    <r>
      <t>Fossil Fuel Equipment Efficiency, Eff</t>
    </r>
    <r>
      <rPr>
        <b/>
        <vertAlign val="subscript"/>
        <sz val="11"/>
        <color theme="0"/>
        <rFont val="Calibri"/>
        <family val="2"/>
        <scheme val="minor"/>
      </rPr>
      <t>Heating</t>
    </r>
    <r>
      <rPr>
        <b/>
        <sz val="11"/>
        <color theme="0"/>
        <rFont val="Calibri"/>
        <family val="2"/>
        <scheme val="minor"/>
      </rPr>
      <t>:</t>
    </r>
  </si>
  <si>
    <r>
      <t>Electric Cooling Seasonal Efficiency, Eff</t>
    </r>
    <r>
      <rPr>
        <b/>
        <vertAlign val="subscript"/>
        <sz val="11"/>
        <color theme="0"/>
        <rFont val="Calibri"/>
        <family val="2"/>
        <scheme val="minor"/>
      </rPr>
      <t xml:space="preserve">ElecCool </t>
    </r>
    <r>
      <rPr>
        <b/>
        <sz val="11"/>
        <color theme="0"/>
        <rFont val="Calibri"/>
        <family val="2"/>
        <scheme val="minor"/>
      </rPr>
      <t>(SEER or IEER):</t>
    </r>
  </si>
  <si>
    <r>
      <t>Electric Heating Efficiency Rating, Eff</t>
    </r>
    <r>
      <rPr>
        <b/>
        <vertAlign val="subscript"/>
        <sz val="11"/>
        <color theme="0"/>
        <rFont val="Calibri"/>
        <family val="2"/>
        <scheme val="minor"/>
      </rPr>
      <t>ElecHeat</t>
    </r>
    <r>
      <rPr>
        <b/>
        <sz val="11"/>
        <color theme="0"/>
        <rFont val="Calibri"/>
        <family val="2"/>
        <scheme val="minor"/>
      </rPr>
      <t xml:space="preserve"> (HSPF):</t>
    </r>
  </si>
  <si>
    <t>Shielding Class Selected:</t>
  </si>
  <si>
    <t>Cooling Type</t>
  </si>
  <si>
    <r>
      <t>F</t>
    </r>
    <r>
      <rPr>
        <b/>
        <vertAlign val="subscript"/>
        <sz val="11"/>
        <color theme="1"/>
        <rFont val="Calibri"/>
        <family val="2"/>
        <scheme val="minor"/>
      </rPr>
      <t>h</t>
    </r>
  </si>
  <si>
    <t>Air Leakage Sealing Estimated Incentive:</t>
  </si>
  <si>
    <r>
      <t>CFM</t>
    </r>
    <r>
      <rPr>
        <b/>
        <vertAlign val="subscript"/>
        <sz val="11"/>
        <color theme="1"/>
        <rFont val="Calibri"/>
        <family val="2"/>
        <scheme val="minor"/>
      </rPr>
      <t>75</t>
    </r>
    <r>
      <rPr>
        <b/>
        <sz val="11"/>
        <color theme="1"/>
        <rFont val="Calibri"/>
        <family val="2"/>
        <scheme val="minor"/>
      </rPr>
      <t>, Baseline/Sqft:</t>
    </r>
  </si>
  <si>
    <t>If Blank, Values From TRM</t>
  </si>
  <si>
    <r>
      <t>CFM</t>
    </r>
    <r>
      <rPr>
        <b/>
        <vertAlign val="subscript"/>
        <sz val="11"/>
        <color theme="1"/>
        <rFont val="Calibri"/>
        <family val="2"/>
        <scheme val="minor"/>
      </rPr>
      <t>75</t>
    </r>
    <r>
      <rPr>
        <b/>
        <sz val="11"/>
        <color theme="1"/>
        <rFont val="Calibri"/>
        <family val="2"/>
        <scheme val="minor"/>
      </rPr>
      <t>, Proposed/Sqft:</t>
    </r>
  </si>
  <si>
    <t>At a minimum, the following items shall be inspected, and sealing measures may be implemented based upon contractor inspection results. Please mark columns to the right appropriately.</t>
  </si>
  <si>
    <t>Inspection Completed Status</t>
  </si>
  <si>
    <t>Air Sealing Needed?</t>
  </si>
  <si>
    <t>This value is used in the calcs.</t>
  </si>
  <si>
    <t>Caulk and weather strip doors and windows that leak air, and install door sweeps on doors leadng to the exterior or an unconditioned space.</t>
  </si>
  <si>
    <t>Repair doors and windows leading from conditioned to unconditioned space, including replacement of damaged components (e.g., frame jamb, threshold).</t>
  </si>
  <si>
    <t>EER</t>
  </si>
  <si>
    <t>Seal air leaks between unconditioned and conditioned spaces (including unconditioned basement and attics) , to include, but not limited to, plumbing, ducting, electrical wiring, wall top plates, chimneys, flues, and dropped soffits.</t>
  </si>
  <si>
    <t>Use foam sealant on larger gaps around windows, baseboards, and other places where air leakage, either infiltration or exflitration may occur.</t>
  </si>
  <si>
    <r>
      <rPr>
        <b/>
        <sz val="11"/>
        <color theme="1"/>
        <rFont val="Aptos Narrow"/>
        <family val="2"/>
      </rPr>
      <t>Δ</t>
    </r>
    <r>
      <rPr>
        <b/>
        <sz val="11"/>
        <color theme="1"/>
        <rFont val="Calibri"/>
        <family val="2"/>
        <scheme val="minor"/>
      </rPr>
      <t>kWh</t>
    </r>
    <r>
      <rPr>
        <b/>
        <vertAlign val="subscript"/>
        <sz val="11"/>
        <color theme="1"/>
        <rFont val="Calibri"/>
        <family val="2"/>
        <scheme val="minor"/>
      </rPr>
      <t>Cooling</t>
    </r>
  </si>
  <si>
    <t>Type</t>
  </si>
  <si>
    <r>
      <rPr>
        <b/>
        <sz val="11"/>
        <color theme="1"/>
        <rFont val="Aptos Narrow"/>
        <family val="2"/>
      </rPr>
      <t>Δ</t>
    </r>
    <r>
      <rPr>
        <b/>
        <sz val="11"/>
        <color theme="1"/>
        <rFont val="Calibri"/>
        <family val="2"/>
        <scheme val="minor"/>
      </rPr>
      <t>kWh</t>
    </r>
    <r>
      <rPr>
        <b/>
        <vertAlign val="subscript"/>
        <sz val="11"/>
        <color theme="1"/>
        <rFont val="Calibri"/>
        <family val="2"/>
        <scheme val="minor"/>
      </rPr>
      <t>Heating</t>
    </r>
  </si>
  <si>
    <t>Window</t>
  </si>
  <si>
    <t>Room</t>
  </si>
  <si>
    <t>Qty</t>
  </si>
  <si>
    <t>Length, Each (Ft)</t>
  </si>
  <si>
    <t>Length, Total (Ft)</t>
  </si>
  <si>
    <t>Photo Provided?</t>
  </si>
  <si>
    <t>Notes/Comments</t>
  </si>
  <si>
    <r>
      <rPr>
        <b/>
        <sz val="11"/>
        <color theme="1"/>
        <rFont val="Aptos Narrow"/>
        <family val="2"/>
      </rPr>
      <t>Δ</t>
    </r>
    <r>
      <rPr>
        <b/>
        <sz val="11"/>
        <color theme="1"/>
        <rFont val="Calibri"/>
        <family val="2"/>
        <scheme val="minor"/>
      </rPr>
      <t>kWh</t>
    </r>
    <r>
      <rPr>
        <b/>
        <vertAlign val="subscript"/>
        <sz val="11"/>
        <color theme="1"/>
        <rFont val="Calibri"/>
        <family val="2"/>
        <scheme val="minor"/>
      </rPr>
      <t>Total</t>
    </r>
  </si>
  <si>
    <t>Doors</t>
  </si>
  <si>
    <t>AC Sleeve</t>
  </si>
  <si>
    <r>
      <rPr>
        <b/>
        <sz val="11"/>
        <color theme="1"/>
        <rFont val="Aptos Narrow"/>
        <family val="2"/>
      </rPr>
      <t>Δ</t>
    </r>
    <r>
      <rPr>
        <b/>
        <sz val="11"/>
        <color theme="1"/>
        <rFont val="Calibri"/>
        <family val="2"/>
        <scheme val="minor"/>
      </rPr>
      <t>therms</t>
    </r>
  </si>
  <si>
    <t>Opco</t>
  </si>
  <si>
    <t>Selection:</t>
  </si>
  <si>
    <t>2025 ECCCNYS - TABLES C402.1.2, C402.5, C303.1.3(1)(2)</t>
  </si>
  <si>
    <t>Door Type</t>
  </si>
  <si>
    <t>CODE</t>
  </si>
  <si>
    <t>4,5,6</t>
  </si>
  <si>
    <t>Non-Swinging Door</t>
  </si>
  <si>
    <t>Swinging Door</t>
  </si>
  <si>
    <t>Garage Door (&lt; 14% Glazing)</t>
  </si>
  <si>
    <t>Entrance Doors (&gt;50% Glazing)</t>
  </si>
  <si>
    <t>Reference: TRM V13 - C&amp;I  Insulation - Opaque Shell Measure</t>
  </si>
  <si>
    <r>
      <t>F</t>
    </r>
    <r>
      <rPr>
        <b/>
        <vertAlign val="subscript"/>
        <sz val="11"/>
        <color theme="1"/>
        <rFont val="Calibri"/>
        <family val="2"/>
        <scheme val="minor"/>
      </rPr>
      <t>ElecHeat</t>
    </r>
    <r>
      <rPr>
        <b/>
        <sz val="11"/>
        <color theme="1"/>
        <rFont val="Calibri"/>
        <family val="2"/>
        <scheme val="minor"/>
      </rPr>
      <t>:</t>
    </r>
  </si>
  <si>
    <r>
      <t>F</t>
    </r>
    <r>
      <rPr>
        <b/>
        <vertAlign val="subscript"/>
        <sz val="11"/>
        <color theme="1"/>
        <rFont val="Calibri"/>
        <family val="2"/>
        <scheme val="minor"/>
      </rPr>
      <t>FuelHeat</t>
    </r>
    <r>
      <rPr>
        <b/>
        <sz val="11"/>
        <color theme="1"/>
        <rFont val="Calibri"/>
        <family val="2"/>
        <scheme val="minor"/>
      </rPr>
      <t>:</t>
    </r>
  </si>
  <si>
    <r>
      <t>F</t>
    </r>
    <r>
      <rPr>
        <b/>
        <vertAlign val="subscript"/>
        <sz val="11"/>
        <color theme="1"/>
        <rFont val="Calibri"/>
        <family val="2"/>
        <scheme val="minor"/>
      </rPr>
      <t>ElecCool</t>
    </r>
    <r>
      <rPr>
        <b/>
        <sz val="11"/>
        <color theme="1"/>
        <rFont val="Calibri"/>
        <family val="2"/>
        <scheme val="minor"/>
      </rPr>
      <t>:</t>
    </r>
  </si>
  <si>
    <t>Door Estimated Incentive:</t>
  </si>
  <si>
    <t>Baseline Doors</t>
  </si>
  <si>
    <t>Proposed Doors</t>
  </si>
  <si>
    <r>
      <rPr>
        <b/>
        <sz val="11"/>
        <color theme="1"/>
        <rFont val="Aptos Narrow"/>
        <family val="2"/>
      </rPr>
      <t>Δ</t>
    </r>
    <r>
      <rPr>
        <b/>
        <sz val="11"/>
        <color theme="1"/>
        <rFont val="Calibri"/>
        <family val="2"/>
        <scheme val="minor"/>
      </rPr>
      <t>T</t>
    </r>
  </si>
  <si>
    <t>Door Area (Sqft)</t>
  </si>
  <si>
    <t>Is Interior Area Heated?</t>
  </si>
  <si>
    <t>Is Interior Area Mechanically  Cooled?</t>
  </si>
  <si>
    <r>
      <t>ΔkWh</t>
    </r>
    <r>
      <rPr>
        <b/>
        <vertAlign val="subscript"/>
        <sz val="11"/>
        <color theme="0"/>
        <rFont val="Calibri"/>
        <family val="2"/>
        <scheme val="minor"/>
      </rPr>
      <t>Total</t>
    </r>
  </si>
  <si>
    <r>
      <t xml:space="preserve"> ΔMMBtu</t>
    </r>
    <r>
      <rPr>
        <b/>
        <vertAlign val="subscript"/>
        <sz val="11"/>
        <color theme="0"/>
        <rFont val="Calibri"/>
        <family val="2"/>
        <scheme val="minor"/>
      </rPr>
      <t>Heating</t>
    </r>
  </si>
  <si>
    <t>For electric heat, assume COP of 1. Similar to TRM V13 - Heat Pump - Air Source (ccASHP) baseline defualt for COP on page 511.</t>
  </si>
  <si>
    <t>do not delete rows below</t>
  </si>
  <si>
    <t>Does Entrance Have a Vestibule?</t>
  </si>
  <si>
    <t>Door Height (ft):</t>
  </si>
  <si>
    <t>Door Width (ft):</t>
  </si>
  <si>
    <t>Quantity of Air Curtains to be Installed:</t>
  </si>
  <si>
    <t>Air Curtain Motor Horse Power (Decimal):</t>
  </si>
  <si>
    <t>Indoor Heating Temperature Set Point (°F):</t>
  </si>
  <si>
    <t>Indoor Cooling Temperature Set Point (°F):</t>
  </si>
  <si>
    <r>
      <t>Fossil Fuel Equipment Efficiency (Eff</t>
    </r>
    <r>
      <rPr>
        <b/>
        <vertAlign val="subscript"/>
        <sz val="11"/>
        <color theme="0"/>
        <rFont val="Calibri"/>
        <family val="2"/>
        <scheme val="minor"/>
      </rPr>
      <t>FuelHeat</t>
    </r>
    <r>
      <rPr>
        <b/>
        <sz val="11"/>
        <color theme="0"/>
        <rFont val="Calibri"/>
        <family val="2"/>
        <scheme val="minor"/>
      </rPr>
      <t>):</t>
    </r>
  </si>
  <si>
    <r>
      <t>Electric Cooling Seasonal Efficiency (Eff</t>
    </r>
    <r>
      <rPr>
        <b/>
        <vertAlign val="subscript"/>
        <sz val="11"/>
        <color theme="0"/>
        <rFont val="Calibri"/>
        <family val="2"/>
        <scheme val="minor"/>
      </rPr>
      <t>ElecCool</t>
    </r>
    <r>
      <rPr>
        <b/>
        <sz val="11"/>
        <color theme="0"/>
        <rFont val="Calibri"/>
        <family val="2"/>
        <scheme val="minor"/>
      </rPr>
      <t>) (SEER/IEER):</t>
    </r>
  </si>
  <si>
    <t>Electric Heating Efficiency Rating (COP or HSPF):</t>
  </si>
  <si>
    <t>Air Curtain Estimated Incentive:</t>
  </si>
  <si>
    <t>Minimum Requirements Document</t>
  </si>
  <si>
    <t>Customer Name</t>
  </si>
  <si>
    <t>Retrofit/Normal</t>
  </si>
  <si>
    <t>Gas Application #</t>
  </si>
  <si>
    <t>ECM</t>
  </si>
  <si>
    <t>Electric Application #</t>
  </si>
  <si>
    <t>This document is to be completed by a National Grid Technical Sales and Support Energy Engineer or designated Technical Assistance Contractor to specify herein minimum equipment specifications and operational requirements of the proposed system. These requirements shall address the criteria necessary to achieve the demand and energy savings calculated in the engineering analysis for this project. Testing and submittals may be required as further verification of system compliance (use additional sheets if necessary). These requirements must be met before the Company's incentives are paid.</t>
  </si>
  <si>
    <t>Post Inspection</t>
  </si>
  <si>
    <r>
      <rPr>
        <b/>
        <sz val="9"/>
        <rFont val="Calibri"/>
        <family val="2"/>
        <scheme val="minor"/>
      </rPr>
      <t xml:space="preserve">EQUIPMENT DESCRIPTION: </t>
    </r>
    <r>
      <rPr>
        <sz val="9"/>
        <rFont val="Calibri"/>
        <family val="2"/>
        <scheme val="minor"/>
      </rPr>
      <t>Provide a list of equipment or materials installed as part of this project. Include mfr, model, HP, kW, efficiency ratings, etc.</t>
    </r>
  </si>
  <si>
    <t>Please see Appendix below for details.</t>
  </si>
  <si>
    <r>
      <t xml:space="preserve">SEQUENCE OF OPERATION: </t>
    </r>
    <r>
      <rPr>
        <sz val="9"/>
        <rFont val="Calibri"/>
        <family val="2"/>
        <scheme val="minor"/>
      </rPr>
      <t>Provide a description of equipment operating sequences, setpoints, operating schedules, balancing requirements (flow, velocity, head, etc.) or any other required operating parameters.</t>
    </r>
  </si>
  <si>
    <t>Per equipment description above.</t>
  </si>
  <si>
    <r>
      <t xml:space="preserve">DOCUMENTATION: </t>
    </r>
    <r>
      <rPr>
        <sz val="9"/>
        <rFont val="Calibri"/>
        <family val="2"/>
        <scheme val="minor"/>
      </rPr>
      <t>List written documentation required to train, verify, operate, or maintain the equipment being installed or controlled. This may include specification sheets, test reports, construction drawings, etc.</t>
    </r>
  </si>
  <si>
    <t>Provide documentation (invoices, etc.) of all material, labor, and engineering costs as applicable to document the total installed project costs.</t>
  </si>
  <si>
    <r>
      <t xml:space="preserve">POST INSTALLATION M&amp;V or COMMISSIONING:  </t>
    </r>
    <r>
      <rPr>
        <sz val="9"/>
        <rFont val="Calibri"/>
        <family val="2"/>
        <scheme val="minor"/>
      </rPr>
      <t>Provide a list of trending requirements to verify proper system operation. Trends should document operational sequences, setpoints and scheduling of equipment as described in the TA or TR study. For projects with M&amp;V required, National Grid will adjust the incentive to reflect the final M&amp;V data, which can increase or decrease the incentive amount. National Grid will report savings consistent with final M&amp;V report.</t>
    </r>
  </si>
  <si>
    <t>Not applicable.</t>
  </si>
  <si>
    <r>
      <t xml:space="preserve">OTHER REQUIREMENTS: </t>
    </r>
    <r>
      <rPr>
        <sz val="9"/>
        <rFont val="Calibri"/>
        <family val="2"/>
        <scheme val="minor"/>
      </rPr>
      <t>Describe any requirements for demolition, removal, etc. of existing equipment. Inspection by National Grid is required to receive the Company’s incentive. Please ensure safe access to our personnel performing the inspection. We appreciate your cooperation.</t>
    </r>
  </si>
  <si>
    <t>Provide safe access for National Grid to perform post inspection.
Where applicable, existing equipment should be removed from service and scrapped in an environmentally safe manner.
This project did not receive any energy efficiency incentive for this energy efficiency measure from any other program</t>
  </si>
  <si>
    <t>National Grid Technical Sales &amp; Support Energy Engineer</t>
  </si>
  <si>
    <r>
      <t xml:space="preserve">------------------------------------------------- </t>
    </r>
    <r>
      <rPr>
        <b/>
        <sz val="10"/>
        <color theme="1"/>
        <rFont val="Calibri"/>
        <family val="2"/>
      </rPr>
      <t>POST INSPECTION/INSTALLATION VERIFICATION</t>
    </r>
    <r>
      <rPr>
        <sz val="10"/>
        <color theme="1"/>
        <rFont val="Calibri"/>
        <family val="2"/>
      </rPr>
      <t xml:space="preserve"> --------------------------------------------------</t>
    </r>
  </si>
  <si>
    <t>The incentive is subject to National Grid’s post installation inspection and/or certification of completed installation by the customer of final specifications, record drawings, and operation of the proposed equipment. In the event the proposed system is altered from the above description, notify the Company of the change PRIOR to the equipment purchase and installation, as the change in design and operation may impact the available incentive. National Grid Representative - Please Check one box below:</t>
  </si>
  <si>
    <t>Post-Site Inspection Completed in Person: YES</t>
  </si>
  <si>
    <t xml:space="preserve"> or Virtually: YES</t>
  </si>
  <si>
    <t xml:space="preserve">When post-site inspection is not required, installation in accordance with the MRD has been certified by the customer signing below: </t>
  </si>
  <si>
    <t>Yes</t>
  </si>
  <si>
    <t>No</t>
  </si>
  <si>
    <t>ALL NYC &amp; LI CUSTOMERS MUST COMPLETE CHECK BOX TO CONFIRM INCENTIVE RECIPIENT:</t>
  </si>
  <si>
    <t xml:space="preserve">Has the recipient of the incentive changed? </t>
  </si>
  <si>
    <t>National Grid Representative</t>
  </si>
  <si>
    <t>Customer Signature</t>
  </si>
  <si>
    <t>Additional Notes for post site inspection</t>
  </si>
  <si>
    <t>Pipe Length (Ft)</t>
  </si>
  <si>
    <t>Insulation Type</t>
  </si>
  <si>
    <t>Insulation Thickness (In)</t>
  </si>
  <si>
    <t>PI Check</t>
  </si>
  <si>
    <r>
      <t xml:space="preserve">------------------------------------------------------------ </t>
    </r>
    <r>
      <rPr>
        <b/>
        <sz val="10"/>
        <color theme="1"/>
        <rFont val="Calibri"/>
        <family val="2"/>
      </rPr>
      <t>POST INSPECTION/INSTALLATION VERIFICATION</t>
    </r>
    <r>
      <rPr>
        <sz val="10"/>
        <color theme="1"/>
        <rFont val="Calibri"/>
        <family val="2"/>
      </rPr>
      <t xml:space="preserve"> ------------------------------------------------------------</t>
    </r>
  </si>
  <si>
    <t>Add-On</t>
  </si>
  <si>
    <t>Is Area Heated?</t>
  </si>
  <si>
    <t>Is Area Air Conditioned?</t>
  </si>
  <si>
    <t>COMPLIANCE TABLE</t>
  </si>
  <si>
    <t>Fluid Operating Temperature
Range and Usage (○F)</t>
  </si>
  <si>
    <t>Conductivity BTU-in/h-SF-F</t>
  </si>
  <si>
    <t>Mean Rating Temperature</t>
  </si>
  <si>
    <t>Nominal Pipe or Tube Size (in)</t>
  </si>
  <si>
    <t xml:space="preserve">Min </t>
  </si>
  <si>
    <t>Max</t>
  </si>
  <si>
    <t>&lt; 1</t>
  </si>
  <si>
    <r>
      <rPr>
        <b/>
        <sz val="11"/>
        <color theme="1"/>
        <rFont val="Aptos Narrow"/>
        <family val="2"/>
      </rPr>
      <t>≥</t>
    </r>
    <r>
      <rPr>
        <b/>
        <sz val="11"/>
        <color theme="1"/>
        <rFont val="Calibri"/>
        <family val="2"/>
        <scheme val="minor"/>
      </rPr>
      <t xml:space="preserve"> 1 and
&lt; 1.5</t>
    </r>
  </si>
  <si>
    <r>
      <rPr>
        <b/>
        <sz val="11"/>
        <color theme="1"/>
        <rFont val="Aptos Narrow"/>
        <family val="2"/>
      </rPr>
      <t xml:space="preserve">≥ </t>
    </r>
    <r>
      <rPr>
        <b/>
        <sz val="11"/>
        <color theme="1"/>
        <rFont val="Calibri"/>
        <family val="2"/>
        <scheme val="minor"/>
      </rPr>
      <t>1.5
and &lt; 4</t>
    </r>
  </si>
  <si>
    <r>
      <rPr>
        <b/>
        <sz val="11"/>
        <color theme="1"/>
        <rFont val="Aptos Narrow"/>
        <family val="2"/>
      </rPr>
      <t>≥</t>
    </r>
    <r>
      <rPr>
        <b/>
        <sz val="11"/>
        <color theme="1"/>
        <rFont val="Calibri"/>
        <family val="2"/>
      </rPr>
      <t xml:space="preserve"> </t>
    </r>
    <r>
      <rPr>
        <b/>
        <sz val="11"/>
        <color theme="1"/>
        <rFont val="Calibri"/>
        <family val="2"/>
        <scheme val="minor"/>
      </rPr>
      <t>4 and
&lt; 8</t>
    </r>
  </si>
  <si>
    <t>≥8</t>
  </si>
  <si>
    <t>0.32-0.34</t>
  </si>
  <si>
    <t>0.29-0.32</t>
  </si>
  <si>
    <t>0.27-0.30</t>
  </si>
  <si>
    <t>0.25-0.29</t>
  </si>
  <si>
    <t>0.21-0.28</t>
  </si>
  <si>
    <t>0.21-0.27</t>
  </si>
  <si>
    <t>0.20-0.26</t>
  </si>
  <si>
    <t>CLIMATE ZONE</t>
  </si>
  <si>
    <t>2025 ECCCNYS - Section C402.1.2 Assembly maximum U-factor (Converted to minimum R-values)</t>
  </si>
  <si>
    <t>Wood Frame and Other</t>
  </si>
  <si>
    <t>Mass Building</t>
  </si>
  <si>
    <t>R-13.3ci</t>
  </si>
  <si>
    <t>R-15.2ci</t>
  </si>
  <si>
    <t>R-13 + R14.9ci</t>
  </si>
  <si>
    <t>R-13 + R4.5ci</t>
  </si>
  <si>
    <t>R-11 + R10ci</t>
  </si>
  <si>
    <t>R-19 + R1.5ci</t>
  </si>
  <si>
    <t>R-19 + R5ci</t>
  </si>
  <si>
    <t>R-21 + R4ci</t>
  </si>
  <si>
    <t>Below-Grade Walls</t>
  </si>
  <si>
    <t>R-7.5ci</t>
  </si>
  <si>
    <t>R-10ci</t>
  </si>
  <si>
    <t>WINDOW CODE LOOKUP</t>
  </si>
  <si>
    <t>Maximum SHGC</t>
  </si>
  <si>
    <t>CODE CHECK</t>
  </si>
  <si>
    <t>ESTIMATED BASELINE</t>
  </si>
  <si>
    <t>2025 ECCCNYS - TABLES C402.1.2 AND C402.5</t>
  </si>
  <si>
    <t>C303.1.3(1)(2)</t>
  </si>
  <si>
    <t>U-Factor</t>
  </si>
  <si>
    <t>R-Value</t>
  </si>
  <si>
    <t>---------&gt;</t>
  </si>
  <si>
    <t>C303.1.3(2), Insulated Metal (Other)</t>
  </si>
  <si>
    <t>C303.1.3(2), Insulated, Non-Metal Edge, Max 45%, Any Glazing Double Pane and Insulated Metal Rolling, Average</t>
  </si>
  <si>
    <t>C303.1.3(1), Window and Glass Door, Double Pane Average</t>
  </si>
  <si>
    <t>TWO TABLES ABOVE, COMBINED:</t>
  </si>
  <si>
    <t>&lt;---- Climate Zone</t>
  </si>
  <si>
    <t>Incentive</t>
  </si>
  <si>
    <t>Max % of Project Cost</t>
  </si>
  <si>
    <t>Incentive Cap ($)</t>
  </si>
  <si>
    <t>LCI_Gas_Downstate_DACNo</t>
  </si>
  <si>
    <t>LCI_Gas_Downstate_DACYes</t>
  </si>
  <si>
    <t>LCI_Gas_Upstate_DACNo</t>
  </si>
  <si>
    <t>LCI_Gas_Upstate_DACYes</t>
  </si>
  <si>
    <t>LCI_Electric_Upstate_DACNo</t>
  </si>
  <si>
    <t>LCI_Electric_Upstate_DACYes</t>
  </si>
  <si>
    <t>LCI_Electric_Downstate_DACNo</t>
  </si>
  <si>
    <t>LCI_Electric_Downstate_DACYes</t>
  </si>
  <si>
    <t>SMB_Gas_Downstate_DACNo</t>
  </si>
  <si>
    <t>SMB_Gas_Downstate_DACYes</t>
  </si>
  <si>
    <t>SMB_Gas_Upstate_DACNo</t>
  </si>
  <si>
    <t>SMB_Gas_Upstate_DACYes</t>
  </si>
  <si>
    <t>SMB_Electric_Upstate_DACNo</t>
  </si>
  <si>
    <t>SMB_Electric_Upstate_DACYes</t>
  </si>
  <si>
    <t>SMB_Electric_Downstate_DACNo</t>
  </si>
  <si>
    <t>SMB_Electric_Downstate_DACYes</t>
  </si>
  <si>
    <t>For all Max % of Project Cost updates will have to be done for all yellow areas in column D.</t>
  </si>
  <si>
    <t>When changing the incentive program max cap $, please change only yellow cells. Rest will update automatically.</t>
  </si>
  <si>
    <t>From Sqft</t>
  </si>
  <si>
    <t>To Sqft</t>
  </si>
  <si>
    <r>
      <t xml:space="preserve">From </t>
    </r>
    <r>
      <rPr>
        <b/>
        <sz val="11"/>
        <color theme="1"/>
        <rFont val="Aptos Narrow"/>
        <family val="2"/>
      </rPr>
      <t>Δ</t>
    </r>
    <r>
      <rPr>
        <b/>
        <sz val="11"/>
        <color theme="1"/>
        <rFont val="Calibri"/>
        <family val="2"/>
      </rPr>
      <t>R</t>
    </r>
  </si>
  <si>
    <r>
      <t xml:space="preserve">To </t>
    </r>
    <r>
      <rPr>
        <b/>
        <sz val="11"/>
        <color theme="1"/>
        <rFont val="Aptos Narrow"/>
        <family val="2"/>
      </rPr>
      <t>Δ</t>
    </r>
    <r>
      <rPr>
        <b/>
        <sz val="11"/>
        <color theme="1"/>
        <rFont val="Calibri"/>
        <family val="2"/>
      </rPr>
      <t>R</t>
    </r>
  </si>
  <si>
    <t>Incentive $/Sqft</t>
  </si>
  <si>
    <t>Measure Cap</t>
  </si>
  <si>
    <t>Application Cap</t>
  </si>
  <si>
    <t>KEDLI/KEDNY LCI</t>
  </si>
  <si>
    <t>NA</t>
  </si>
  <si>
    <t>NIMO GAS LCI</t>
  </si>
  <si>
    <t>NIMO Electric LCI</t>
  </si>
  <si>
    <t>KEDLI/KEDNY SMB</t>
  </si>
  <si>
    <t>NIMO GAS SMB</t>
  </si>
  <si>
    <t>NIMO Electric SMB</t>
  </si>
  <si>
    <t>Measure Description</t>
  </si>
  <si>
    <t>From U</t>
  </si>
  <si>
    <t>To U</t>
  </si>
  <si>
    <t>Unit of Measure</t>
  </si>
  <si>
    <t xml:space="preserve">Incentive </t>
  </si>
  <si>
    <t>Window Replacement</t>
  </si>
  <si>
    <t>Square Feet</t>
  </si>
  <si>
    <t>Application CAP</t>
  </si>
  <si>
    <t>Incentive (Min)</t>
  </si>
  <si>
    <t>Door Replacement</t>
  </si>
  <si>
    <t>NIMO ELECTRIC LCI</t>
  </si>
  <si>
    <t>NIMO ELECTRIC SMB</t>
  </si>
  <si>
    <t>Duct Sealing and Insulation</t>
  </si>
  <si>
    <t>Air Sealing</t>
  </si>
  <si>
    <t>Unit of Measure (Qty)</t>
  </si>
  <si>
    <t>Incentive $</t>
  </si>
  <si>
    <t>Measure Cap $</t>
  </si>
  <si>
    <t>Application Cap $</t>
  </si>
  <si>
    <t>Incentive $ (Min)</t>
  </si>
  <si>
    <t>Air Curtain</t>
  </si>
  <si>
    <t>NIMO Gas LCI</t>
  </si>
  <si>
    <t>NIMO Gas SMB</t>
  </si>
  <si>
    <t>NYS TRM V13 - APPENDIX A</t>
  </si>
  <si>
    <t>NOT USED IN LOOKUPS</t>
  </si>
  <si>
    <t>Wall R-Value</t>
  </si>
  <si>
    <t>Roof R-Value</t>
  </si>
  <si>
    <t>Window U-Value</t>
  </si>
  <si>
    <t>Window SHGC</t>
  </si>
  <si>
    <t>MULTIFAMILY LOW-RISE WALL/ROOF INSULATION</t>
  </si>
  <si>
    <t>MULTIFAMILY HIGH-RISE WALL/ROOF INSULATION</t>
  </si>
  <si>
    <t>Multifamily Low-Rise, Pre-1939</t>
  </si>
  <si>
    <t>Vintage</t>
  </si>
  <si>
    <t>To 1939</t>
  </si>
  <si>
    <t>1940-1978</t>
  </si>
  <si>
    <t>1979-2006</t>
  </si>
  <si>
    <t>2007+</t>
  </si>
  <si>
    <t>Multifamily Low-Rise, 1940-1978</t>
  </si>
  <si>
    <t>Multifamily Low-Rise, 1979-2006</t>
  </si>
  <si>
    <t>Multifamily Low-Rise, 2007+</t>
  </si>
  <si>
    <t>Multifamily High-Rise, Pre-1939</t>
  </si>
  <si>
    <t>MULTIFAMILY LOW-RISE HEATING SETPOINTS</t>
  </si>
  <si>
    <t>MULTIFAMILY HIGH-RISE HEATING SETPOINTS</t>
  </si>
  <si>
    <t>Multifamily High-Rise, 1940-1978</t>
  </si>
  <si>
    <t>Multifamily High-Rise, 1979-2006</t>
  </si>
  <si>
    <t>Daytime NYC</t>
  </si>
  <si>
    <t>Multifamily High-Rise, 2007+</t>
  </si>
  <si>
    <t>Daytime Others</t>
  </si>
  <si>
    <t>Setback NYC</t>
  </si>
  <si>
    <t>Auto Repair</t>
  </si>
  <si>
    <t>Setback Others</t>
  </si>
  <si>
    <t>Big Box Retail</t>
  </si>
  <si>
    <t>Community College</t>
  </si>
  <si>
    <t>MULTIFAMILY LOW-RISE WINDOWS</t>
  </si>
  <si>
    <t>MULTIFAMILY HIGH-RISE WINDOWS</t>
  </si>
  <si>
    <t>Dormitory</t>
  </si>
  <si>
    <t>Elementary School</t>
  </si>
  <si>
    <t>U-Value</t>
  </si>
  <si>
    <t>MULTIFAMILY LOW-RISE INFILTRATION RATES</t>
  </si>
  <si>
    <t>MULTIFAMILY HIGH-RISE INFILTRATION RATES</t>
  </si>
  <si>
    <t>High School</t>
  </si>
  <si>
    <t>Hospital</t>
  </si>
  <si>
    <t>ACH</t>
  </si>
  <si>
    <t>Hotel</t>
  </si>
  <si>
    <t>Large Office</t>
  </si>
  <si>
    <t>Large Retail</t>
  </si>
  <si>
    <t>Light Industrial</t>
  </si>
  <si>
    <t>Religious</t>
  </si>
  <si>
    <t>Small Office</t>
  </si>
  <si>
    <t>University</t>
  </si>
  <si>
    <t>NYS TRM V13 - APPENDIX F</t>
  </si>
  <si>
    <r>
      <rPr>
        <b/>
        <sz val="11"/>
        <color rgb="FF231F20"/>
        <rFont val="Aptos Narrow"/>
        <family val="2"/>
      </rPr>
      <t>Δ</t>
    </r>
    <r>
      <rPr>
        <b/>
        <sz val="11"/>
        <color rgb="FF231F20"/>
        <rFont val="Calibri"/>
        <family val="2"/>
        <scheme val="minor"/>
      </rPr>
      <t>kWh/ 100 SF</t>
    </r>
  </si>
  <si>
    <r>
      <rPr>
        <b/>
        <sz val="11"/>
        <color rgb="FF231F20"/>
        <rFont val="Aptos Narrow"/>
        <family val="2"/>
      </rPr>
      <t>Δ</t>
    </r>
    <r>
      <rPr>
        <b/>
        <sz val="11"/>
        <color rgb="FF231F20"/>
        <rFont val="Calibri"/>
        <family val="2"/>
        <scheme val="minor"/>
      </rPr>
      <t>kW/ 100 SF</t>
    </r>
  </si>
  <si>
    <r>
      <rPr>
        <b/>
        <sz val="11"/>
        <color rgb="FF231F20"/>
        <rFont val="Aptos Narrow"/>
        <family val="2"/>
      </rPr>
      <t>Δ</t>
    </r>
    <r>
      <rPr>
        <b/>
        <sz val="11"/>
        <color rgb="FF231F20"/>
        <rFont val="Calibri"/>
        <family val="2"/>
        <scheme val="minor"/>
      </rPr>
      <t>Therms/ 100 SF</t>
    </r>
  </si>
  <si>
    <r>
      <rPr>
        <sz val="11"/>
        <color rgb="FF231F20"/>
        <rFont val="Calibri"/>
        <family val="2"/>
        <scheme val="minor"/>
      </rPr>
      <t>Albany</t>
    </r>
  </si>
  <si>
    <r>
      <rPr>
        <sz val="11"/>
        <color rgb="FF231F20"/>
        <rFont val="Calibri"/>
        <family val="2"/>
        <scheme val="minor"/>
      </rPr>
      <t>Binghamton</t>
    </r>
  </si>
  <si>
    <r>
      <rPr>
        <sz val="11"/>
        <color rgb="FF231F20"/>
        <rFont val="Calibri"/>
        <family val="2"/>
        <scheme val="minor"/>
      </rPr>
      <t>Buffalo</t>
    </r>
  </si>
  <si>
    <r>
      <rPr>
        <sz val="11"/>
        <color rgb="FF231F20"/>
        <rFont val="Calibri"/>
        <family val="2"/>
        <scheme val="minor"/>
      </rPr>
      <t>Massena</t>
    </r>
  </si>
  <si>
    <r>
      <rPr>
        <sz val="11"/>
        <color rgb="FF231F20"/>
        <rFont val="Calibri"/>
        <family val="2"/>
        <scheme val="minor"/>
      </rPr>
      <t>NYC</t>
    </r>
  </si>
  <si>
    <r>
      <rPr>
        <sz val="11"/>
        <color rgb="FF231F20"/>
        <rFont val="Calibri"/>
        <family val="2"/>
        <scheme val="minor"/>
      </rPr>
      <t>Poughkeepsie</t>
    </r>
  </si>
  <si>
    <r>
      <rPr>
        <sz val="11"/>
        <color rgb="FF231F20"/>
        <rFont val="Calibri"/>
        <family val="2"/>
        <scheme val="minor"/>
      </rPr>
      <t>Syracuse</t>
    </r>
  </si>
  <si>
    <t>Primary School</t>
  </si>
  <si>
    <t>Religious Worship</t>
  </si>
  <si>
    <t>NYS TRM V13 - APPENDIX G</t>
  </si>
  <si>
    <t>Building Sector</t>
  </si>
  <si>
    <t>Small Commercial</t>
  </si>
  <si>
    <t>Community College CAV Econ</t>
  </si>
  <si>
    <t>Large Commercial</t>
  </si>
  <si>
    <t>Community College CAV No Econ</t>
  </si>
  <si>
    <t>Community College VAV Econ</t>
  </si>
  <si>
    <t>Dormitory Fan Coil</t>
  </si>
  <si>
    <t>High School CAV Econ</t>
  </si>
  <si>
    <t>High School CAV No Econ</t>
  </si>
  <si>
    <t>High School VAV Econ</t>
  </si>
  <si>
    <t>Hospital CAV Econ</t>
  </si>
  <si>
    <t>Hospital CAV No Econ</t>
  </si>
  <si>
    <t>Hospital VAV Econ</t>
  </si>
  <si>
    <t>Hotel CAV Econ</t>
  </si>
  <si>
    <t>Hotel CAV No Econ</t>
  </si>
  <si>
    <t>Hotel VAV Econ</t>
  </si>
  <si>
    <t>Large Office CAV Econ</t>
  </si>
  <si>
    <t>Large Office CAV No Econ</t>
  </si>
  <si>
    <t>Large Office VAV Econ</t>
  </si>
  <si>
    <t>Large Retail CAV Econ</t>
  </si>
  <si>
    <t>Large Retail CAV No Econ</t>
  </si>
  <si>
    <t>Large Retail VAV Econ</t>
  </si>
  <si>
    <t>University CAV Econ</t>
  </si>
  <si>
    <t>University CAV No Econ</t>
  </si>
  <si>
    <t>University VAV Econ</t>
  </si>
  <si>
    <t>NYS TRM V13 - APPENDIX H</t>
  </si>
  <si>
    <t>City/Vintage</t>
  </si>
  <si>
    <t>Per TRMV13</t>
  </si>
  <si>
    <t>Building/City</t>
  </si>
  <si>
    <t>Titles "Pre_War" and "1939_1979" are both meant for "Pre-1979" in TRMV13. This is done for ease of lookup formulas.</t>
  </si>
  <si>
    <t>ZIP CODE LOOKUP (PER TRM V13)</t>
  </si>
  <si>
    <t>Primary City</t>
  </si>
  <si>
    <t>County</t>
  </si>
  <si>
    <t>Region_1</t>
  </si>
  <si>
    <t>Region_2</t>
  </si>
  <si>
    <t>Suffolk</t>
  </si>
  <si>
    <t>Downstate</t>
  </si>
  <si>
    <t>KEDLI</t>
  </si>
  <si>
    <t>New York</t>
  </si>
  <si>
    <t>Not National Grid</t>
  </si>
  <si>
    <t>Richmond</t>
  </si>
  <si>
    <t>KEDNY</t>
  </si>
  <si>
    <t>Bronx</t>
  </si>
  <si>
    <t>Westchester</t>
  </si>
  <si>
    <t>Putnam</t>
  </si>
  <si>
    <t>Rockland</t>
  </si>
  <si>
    <t>Orange</t>
  </si>
  <si>
    <t>Nassau</t>
  </si>
  <si>
    <t>Queens</t>
  </si>
  <si>
    <t>Kings</t>
  </si>
  <si>
    <t>Upstate</t>
  </si>
  <si>
    <t>Upstate NY</t>
  </si>
  <si>
    <t>Schenectady</t>
  </si>
  <si>
    <t>Montgomery</t>
  </si>
  <si>
    <t>Greene</t>
  </si>
  <si>
    <t>Columbia</t>
  </si>
  <si>
    <t>Rensselaer</t>
  </si>
  <si>
    <t>Saratoga</t>
  </si>
  <si>
    <t>Fulton</t>
  </si>
  <si>
    <t>Schoharie</t>
  </si>
  <si>
    <t>Washington</t>
  </si>
  <si>
    <t>Otsego</t>
  </si>
  <si>
    <t>Hamilton</t>
  </si>
  <si>
    <t>Delaware</t>
  </si>
  <si>
    <t>Ulster</t>
  </si>
  <si>
    <t>Dutchess</t>
  </si>
  <si>
    <t>Sullivan</t>
  </si>
  <si>
    <t>Warren</t>
  </si>
  <si>
    <t>Essex</t>
  </si>
  <si>
    <t>Clinton</t>
  </si>
  <si>
    <t>Franklin</t>
  </si>
  <si>
    <t>St. Lawrence</t>
  </si>
  <si>
    <t>Onondaga</t>
  </si>
  <si>
    <t>Cayuga</t>
  </si>
  <si>
    <t>Oswego</t>
  </si>
  <si>
    <t>Madison</t>
  </si>
  <si>
    <t>Cortland</t>
  </si>
  <si>
    <t>Oneida</t>
  </si>
  <si>
    <t>Tompkins</t>
  </si>
  <si>
    <t>Seneca</t>
  </si>
  <si>
    <t>Chenango</t>
  </si>
  <si>
    <t>Wayne</t>
  </si>
  <si>
    <t>Lewis</t>
  </si>
  <si>
    <t>Herkimer</t>
  </si>
  <si>
    <t>Jefferson</t>
  </si>
  <si>
    <t>Tioga</t>
  </si>
  <si>
    <t>Broome</t>
  </si>
  <si>
    <t>Erie</t>
  </si>
  <si>
    <t>Genesee</t>
  </si>
  <si>
    <t>Niagara</t>
  </si>
  <si>
    <t>Wyoming</t>
  </si>
  <si>
    <t>Allegany</t>
  </si>
  <si>
    <t>Cattaraugus</t>
  </si>
  <si>
    <t>Chautauqua</t>
  </si>
  <si>
    <t>Orleans</t>
  </si>
  <si>
    <t>Monroe</t>
  </si>
  <si>
    <t>Livingston</t>
  </si>
  <si>
    <t>Yates</t>
  </si>
  <si>
    <t>Ontario</t>
  </si>
  <si>
    <t>Steuben</t>
  </si>
  <si>
    <t>Schuyler</t>
  </si>
  <si>
    <t>Chemung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</si>
</sst>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lt;=9999999]###\-####;\(###\)\ ###\-####"/>
    <numFmt numFmtId="165" formatCode="00\-0000000"/>
    <numFmt numFmtId="166" formatCode="#,##0\ &quot;sqft&quot;"/>
    <numFmt numFmtId="167" formatCode="00000"/>
    <numFmt numFmtId="168" formatCode="00000\-00000"/>
    <numFmt numFmtId="169" formatCode="&quot;$&quot;#,##0.000&quot;/Therm&quot;"/>
    <numFmt numFmtId="170" formatCode="#,##0.0"/>
    <numFmt numFmtId="171" formatCode="&quot;$&quot;#,##0"/>
    <numFmt numFmtId="172" formatCode="0.0"/>
    <numFmt numFmtId="173" formatCode="0.000"/>
    <numFmt numFmtId="174" formatCode="&quot;$&quot;#,##0.00"/>
    <numFmt numFmtId="175" formatCode="0.0%"/>
    <numFmt numFmtId="176" formatCode="#,##0&quot; sqft&quot;"/>
    <numFmt numFmtId="177" formatCode="&quot;$&quot;#,##0.000&quot;/kWh&quot;"/>
    <numFmt numFmtId="178" formatCode="0.000000"/>
    <numFmt numFmtId="179" formatCode="#,##0.000"/>
    <numFmt numFmtId="180" formatCode="#,##0.0\ &quot;kBTU/h&quot;"/>
    <numFmt numFmtId="181" formatCode="0.0&quot;-Ton&quot;"/>
    <numFmt numFmtId="182" formatCode="0.0&quot; kW&quot;"/>
    <numFmt numFmtId="183" formatCode="#,##0\ &quot;BTU/h&quot;"/>
    <numFmt numFmtId="184" formatCode="#,##0\ &quot;Therms&quot;"/>
    <numFmt numFmtId="185" formatCode="#,##0\ &quot;kWhs&quot;"/>
    <numFmt numFmtId="186" formatCode="#,##0\ &quot;Sqft&quot;"/>
    <numFmt numFmtId="187" formatCode="0.0000"/>
    <numFmt numFmtId="188" formatCode="#,##0&quot; LF&quot;"/>
    <numFmt numFmtId="189" formatCode="#,##0&quot; Sqft&quot;"/>
    <numFmt numFmtId="190" formatCode="#,##0.0\ &quot;°F&quot;"/>
    <numFmt numFmtId="191" formatCode="0.0&quot; Ft&quot;"/>
    <numFmt numFmtId="192" formatCode="0.00&quot; HP&quot;"/>
    <numFmt numFmtId="193" formatCode="0.0&quot; °F&quot;"/>
    <numFmt numFmtId="194" formatCode="#####\-#####"/>
    <numFmt numFmtId="195" formatCode="0.E+00"/>
    <numFmt numFmtId="196" formatCode="&quot;$&quot;#,##0.00\ &quot; per therm&quot;"/>
    <numFmt numFmtId="197" formatCode="&quot;$&quot;#,##0.00\ &quot; per LF&quot;"/>
    <numFmt numFmtId="198" formatCode="#,##0\ &quot;kWh&quot;"/>
  </numFmts>
  <fonts count="85" x14ac:knownFonts="1">
    <font>
      <sz val="11"/>
      <color theme="1"/>
      <name val="Calibri"/>
      <family val="2"/>
      <scheme val="minor"/>
    </font>
    <font>
      <sz val="11"/>
      <color theme="1"/>
      <name val="Calibri"/>
      <family val="2"/>
      <scheme val="minor"/>
    </font>
    <font>
      <sz val="10"/>
      <name val="Arial"/>
      <family val="2"/>
    </font>
    <font>
      <sz val="11"/>
      <color rgb="FF000000"/>
      <name val="Calibri"/>
      <family val="2"/>
    </font>
    <font>
      <u/>
      <sz val="10"/>
      <color theme="10"/>
      <name val="Arial"/>
      <family val="2"/>
    </font>
    <font>
      <b/>
      <sz val="11"/>
      <name val="Calibri"/>
      <family val="2"/>
      <scheme val="minor"/>
    </font>
    <font>
      <sz val="10"/>
      <color theme="0"/>
      <name val="Arial"/>
      <family val="2"/>
    </font>
    <font>
      <b/>
      <sz val="18"/>
      <color theme="0"/>
      <name val="Arial"/>
      <family val="2"/>
    </font>
    <font>
      <b/>
      <sz val="10"/>
      <color theme="0"/>
      <name val="Arial"/>
      <family val="2"/>
    </font>
    <font>
      <b/>
      <sz val="10"/>
      <color rgb="FFFF0000"/>
      <name val="Arial"/>
      <family val="2"/>
    </font>
    <font>
      <b/>
      <sz val="8"/>
      <name val="Arial"/>
      <family val="2"/>
    </font>
    <font>
      <b/>
      <sz val="11"/>
      <color theme="0"/>
      <name val="Arial"/>
      <family val="2"/>
    </font>
    <font>
      <b/>
      <sz val="6"/>
      <name val="Arial"/>
      <family val="2"/>
    </font>
    <font>
      <sz val="7"/>
      <name val="Arial"/>
      <family val="2"/>
    </font>
    <font>
      <u/>
      <sz val="8"/>
      <color theme="10"/>
      <name val="Arial"/>
      <family val="2"/>
    </font>
    <font>
      <b/>
      <sz val="9"/>
      <name val="Arial"/>
      <family val="2"/>
    </font>
    <font>
      <sz val="9.5"/>
      <name val="Arial"/>
      <family val="2"/>
    </font>
    <font>
      <i/>
      <sz val="10"/>
      <color theme="0"/>
      <name val="Arial"/>
      <family val="2"/>
    </font>
    <font>
      <sz val="6"/>
      <name val="Arial"/>
      <family val="2"/>
    </font>
    <font>
      <sz val="13.5"/>
      <name val="Arial"/>
      <family val="2"/>
    </font>
    <font>
      <i/>
      <sz val="10"/>
      <name val="Lucida Handwriting"/>
      <family val="4"/>
    </font>
    <font>
      <sz val="9"/>
      <name val="Tahoma"/>
      <family val="2"/>
    </font>
    <font>
      <i/>
      <sz val="8"/>
      <name val="Arial"/>
      <family val="2"/>
    </font>
    <font>
      <b/>
      <sz val="8"/>
      <color rgb="FF000000"/>
      <name val="Arial"/>
      <family val="2"/>
    </font>
    <font>
      <sz val="8"/>
      <color rgb="FF000000"/>
      <name val="Arial"/>
      <family val="2"/>
    </font>
    <font>
      <b/>
      <sz val="11"/>
      <color theme="1"/>
      <name val="Aptos"/>
      <family val="2"/>
    </font>
    <font>
      <sz val="11"/>
      <color rgb="FFFF0000"/>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8"/>
      <color theme="1"/>
      <name val="Calibri"/>
      <family val="2"/>
      <scheme val="minor"/>
    </font>
    <font>
      <b/>
      <sz val="8"/>
      <color rgb="FFFF0000"/>
      <name val="Calibri"/>
      <family val="2"/>
      <scheme val="minor"/>
    </font>
    <font>
      <sz val="10"/>
      <color rgb="FF000000"/>
      <name val="Times New Roman"/>
      <family val="1"/>
    </font>
    <font>
      <sz val="11"/>
      <color rgb="FF000000"/>
      <name val="Calibri"/>
      <family val="2"/>
      <scheme val="minor"/>
    </font>
    <font>
      <b/>
      <sz val="14"/>
      <name val="Calibri"/>
      <family val="2"/>
      <scheme val="minor"/>
    </font>
    <font>
      <b/>
      <sz val="11"/>
      <color theme="0"/>
      <name val="Calibri"/>
      <family val="2"/>
      <scheme val="minor"/>
    </font>
    <font>
      <b/>
      <vertAlign val="subscript"/>
      <sz val="11"/>
      <color theme="0"/>
      <name val="Calibri"/>
      <family val="2"/>
      <scheme val="minor"/>
    </font>
    <font>
      <vertAlign val="subscript"/>
      <sz val="11"/>
      <color theme="1"/>
      <name val="Calibri"/>
      <family val="2"/>
      <scheme val="minor"/>
    </font>
    <font>
      <sz val="10"/>
      <color theme="1"/>
      <name val="Arial"/>
      <family val="2"/>
    </font>
    <font>
      <b/>
      <u/>
      <sz val="11"/>
      <color theme="1"/>
      <name val="Calibri"/>
      <family val="2"/>
      <scheme val="minor"/>
    </font>
    <font>
      <b/>
      <sz val="11"/>
      <color theme="1"/>
      <name val="Aptos Narrow"/>
      <family val="2"/>
    </font>
    <font>
      <b/>
      <sz val="11"/>
      <color theme="1"/>
      <name val="Calibri"/>
      <family val="2"/>
    </font>
    <font>
      <sz val="6"/>
      <color theme="1"/>
      <name val="Calibri"/>
      <family val="2"/>
      <scheme val="minor"/>
    </font>
    <font>
      <b/>
      <sz val="12"/>
      <name val="Calibri"/>
      <family val="2"/>
      <scheme val="minor"/>
    </font>
    <font>
      <b/>
      <sz val="18"/>
      <name val="Calibri"/>
      <family val="2"/>
      <scheme val="minor"/>
    </font>
    <font>
      <sz val="10"/>
      <name val="Calibri"/>
      <family val="2"/>
      <scheme val="minor"/>
    </font>
    <font>
      <sz val="8"/>
      <name val="Calibri"/>
      <family val="2"/>
      <scheme val="minor"/>
    </font>
    <font>
      <sz val="9"/>
      <name val="Calibri"/>
      <family val="2"/>
      <scheme val="minor"/>
    </font>
    <font>
      <b/>
      <sz val="9"/>
      <name val="Calibri"/>
      <family val="2"/>
      <scheme val="minor"/>
    </font>
    <font>
      <b/>
      <sz val="8"/>
      <name val="Calibri"/>
      <family val="2"/>
      <scheme val="minor"/>
    </font>
    <font>
      <sz val="10"/>
      <color theme="1"/>
      <name val="Calibri"/>
      <family val="2"/>
    </font>
    <font>
      <b/>
      <sz val="10"/>
      <color theme="1"/>
      <name val="Calibri"/>
      <family val="2"/>
    </font>
    <font>
      <b/>
      <sz val="10"/>
      <name val="Calibri"/>
      <family val="2"/>
      <scheme val="minor"/>
    </font>
    <font>
      <b/>
      <sz val="10"/>
      <color theme="4" tint="-0.249977111117893"/>
      <name val="Calibri"/>
      <family val="2"/>
      <scheme val="minor"/>
    </font>
    <font>
      <b/>
      <sz val="10"/>
      <color rgb="FF000000"/>
      <name val="Calibri"/>
      <family val="2"/>
    </font>
    <font>
      <b/>
      <sz val="11"/>
      <color rgb="FF231F20"/>
      <name val="Calibri"/>
      <family val="2"/>
      <scheme val="minor"/>
    </font>
    <font>
      <sz val="11"/>
      <color rgb="FF231F20"/>
      <name val="Calibri"/>
      <family val="2"/>
      <scheme val="minor"/>
    </font>
    <font>
      <b/>
      <sz val="11"/>
      <color rgb="FF231F20"/>
      <name val="Aptos Narrow"/>
      <family val="2"/>
    </font>
    <font>
      <b/>
      <vertAlign val="subscript"/>
      <sz val="11"/>
      <color theme="1"/>
      <name val="Calibri"/>
      <family val="2"/>
      <scheme val="minor"/>
    </font>
    <font>
      <b/>
      <sz val="6"/>
      <color rgb="FFFF0000"/>
      <name val="Calibri"/>
      <family val="2"/>
      <scheme val="minor"/>
    </font>
    <font>
      <b/>
      <sz val="11"/>
      <color rgb="FF000000"/>
      <name val="Calibri"/>
      <family val="2"/>
      <scheme val="minor"/>
    </font>
    <font>
      <b/>
      <sz val="10"/>
      <name val="Arial"/>
      <family val="2"/>
    </font>
    <font>
      <sz val="9"/>
      <color indexed="81"/>
      <name val="Tahoma"/>
      <family val="2"/>
    </font>
    <font>
      <b/>
      <sz val="9"/>
      <color indexed="81"/>
      <name val="Tahoma"/>
      <family val="2"/>
    </font>
    <font>
      <sz val="16"/>
      <name val="Brush Script MT"/>
      <family val="4"/>
    </font>
    <font>
      <b/>
      <sz val="10"/>
      <color theme="0"/>
      <name val="Calibri"/>
      <family val="2"/>
      <scheme val="minor"/>
    </font>
    <font>
      <sz val="10"/>
      <color theme="1"/>
      <name val="Calibri"/>
      <family val="2"/>
      <scheme val="minor"/>
    </font>
    <font>
      <b/>
      <sz val="11"/>
      <color theme="0"/>
      <name val="Aptos Narrow"/>
      <family val="2"/>
    </font>
    <font>
      <b/>
      <sz val="18"/>
      <color theme="0"/>
      <name val="Calibri"/>
      <family val="2"/>
    </font>
    <font>
      <sz val="24"/>
      <color theme="1"/>
      <name val="Brush Script MT"/>
      <family val="4"/>
    </font>
    <font>
      <b/>
      <sz val="9"/>
      <color theme="1"/>
      <name val="Calibri"/>
      <family val="2"/>
      <scheme val="minor"/>
    </font>
    <font>
      <sz val="11"/>
      <name val="Calibri"/>
      <family val="2"/>
    </font>
    <font>
      <b/>
      <sz val="14"/>
      <color rgb="FFFFFFFF"/>
      <name val="Calibri"/>
      <family val="2"/>
    </font>
    <font>
      <sz val="11"/>
      <color theme="0"/>
      <name val="Calibri"/>
      <family val="2"/>
      <scheme val="minor"/>
    </font>
    <font>
      <sz val="8"/>
      <color theme="1"/>
      <name val="Calibri"/>
      <family val="2"/>
      <scheme val="minor"/>
    </font>
    <font>
      <b/>
      <u/>
      <sz val="11"/>
      <name val="Calibri"/>
      <family val="2"/>
      <scheme val="minor"/>
    </font>
    <font>
      <b/>
      <u/>
      <sz val="8"/>
      <color rgb="FFFF0000"/>
      <name val="Calibri"/>
      <family val="2"/>
      <scheme val="minor"/>
    </font>
    <font>
      <b/>
      <sz val="11"/>
      <color theme="0"/>
      <name val="Calibri"/>
      <family val="2"/>
    </font>
    <font>
      <b/>
      <i/>
      <sz val="11"/>
      <color theme="1"/>
      <name val="Calibri"/>
      <family val="2"/>
      <scheme val="minor"/>
    </font>
    <font>
      <i/>
      <sz val="11"/>
      <color theme="1"/>
      <name val="Calibri"/>
      <family val="2"/>
      <scheme val="minor"/>
    </font>
    <font>
      <i/>
      <sz val="11"/>
      <color rgb="FFFF0000"/>
      <name val="Calibri"/>
      <family val="2"/>
      <scheme val="minor"/>
    </font>
    <font>
      <b/>
      <i/>
      <sz val="11"/>
      <name val="Calibri"/>
      <family val="2"/>
      <scheme val="minor"/>
    </font>
    <font>
      <b/>
      <sz val="12"/>
      <color rgb="FFFF0000"/>
      <name val="Calibri"/>
      <family val="2"/>
      <scheme val="minor"/>
    </font>
    <font>
      <sz val="8"/>
      <color rgb="FF000000"/>
      <name val="Tahoma"/>
      <family val="2"/>
    </font>
    <font>
      <sz val="8"/>
      <color rgb="FF000000"/>
      <name val="Segoe UI"/>
      <family val="2"/>
    </font>
  </fonts>
  <fills count="17">
    <fill>
      <patternFill patternType="none"/>
    </fill>
    <fill>
      <patternFill patternType="gray125"/>
    </fill>
    <fill>
      <patternFill patternType="solid">
        <fgColor theme="0"/>
        <bgColor indexed="64"/>
      </patternFill>
    </fill>
    <fill>
      <patternFill patternType="solid">
        <fgColor rgb="FF00148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bgColor indexed="64"/>
      </patternFill>
    </fill>
    <fill>
      <patternFill patternType="solid">
        <fgColor theme="8"/>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gray125">
        <bgColor theme="0"/>
      </patternFill>
    </fill>
    <fill>
      <patternFill patternType="lightGray">
        <bgColor theme="0"/>
      </patternFill>
    </fill>
    <fill>
      <patternFill patternType="solid">
        <fgColor theme="5"/>
        <bgColor indexed="64"/>
      </patternFill>
    </fill>
    <fill>
      <patternFill patternType="solid">
        <fgColor rgb="FFFFC000"/>
        <bgColor indexed="64"/>
      </patternFill>
    </fill>
  </fills>
  <borders count="10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right/>
      <top style="dashed">
        <color indexed="64"/>
      </top>
      <bottom style="thin">
        <color indexed="64"/>
      </bottom>
      <diagonal/>
    </border>
    <border>
      <left style="thin">
        <color rgb="FF231F20"/>
      </left>
      <right/>
      <top style="thin">
        <color rgb="FF231F20"/>
      </top>
      <bottom style="thin">
        <color rgb="FF231F20"/>
      </bottom>
      <diagonal/>
    </border>
    <border>
      <left/>
      <right/>
      <top style="thin">
        <color rgb="FF231F20"/>
      </top>
      <bottom/>
      <diagonal/>
    </border>
    <border>
      <left style="medium">
        <color indexed="64"/>
      </left>
      <right style="thin">
        <color indexed="64"/>
      </right>
      <top style="medium">
        <color indexed="64"/>
      </top>
      <bottom style="thin">
        <color indexed="64"/>
      </bottom>
      <diagonal/>
    </border>
    <border>
      <left style="thin">
        <color rgb="FF231F20"/>
      </left>
      <right/>
      <top style="medium">
        <color indexed="64"/>
      </top>
      <bottom style="thin">
        <color rgb="FF231F20"/>
      </bottom>
      <diagonal/>
    </border>
    <border>
      <left style="thin">
        <color indexed="64"/>
      </left>
      <right style="medium">
        <color indexed="64"/>
      </right>
      <top style="medium">
        <color indexed="64"/>
      </top>
      <bottom style="thin">
        <color rgb="FF231F2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rgb="FF231F20"/>
      </top>
      <bottom style="thin">
        <color rgb="FF231F20"/>
      </bottom>
      <diagonal/>
    </border>
    <border>
      <left style="medium">
        <color indexed="64"/>
      </left>
      <right style="thin">
        <color indexed="64"/>
      </right>
      <top style="thin">
        <color indexed="64"/>
      </top>
      <bottom style="medium">
        <color indexed="64"/>
      </bottom>
      <diagonal/>
    </border>
    <border>
      <left/>
      <right/>
      <top style="thin">
        <color rgb="FF231F20"/>
      </top>
      <bottom style="medium">
        <color indexed="64"/>
      </bottom>
      <diagonal/>
    </border>
    <border>
      <left style="thin">
        <color rgb="FF231F20"/>
      </left>
      <right/>
      <top style="thin">
        <color rgb="FF231F20"/>
      </top>
      <bottom style="medium">
        <color indexed="64"/>
      </bottom>
      <diagonal/>
    </border>
    <border>
      <left style="thin">
        <color indexed="64"/>
      </left>
      <right style="medium">
        <color indexed="64"/>
      </right>
      <top style="thin">
        <color rgb="FF231F20"/>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rgb="FF231F20"/>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231F20"/>
      </left>
      <right style="medium">
        <color indexed="64"/>
      </right>
      <top style="medium">
        <color indexed="64"/>
      </top>
      <bottom style="thin">
        <color rgb="FF231F20"/>
      </bottom>
      <diagonal/>
    </border>
    <border>
      <left style="thin">
        <color rgb="FF231F20"/>
      </left>
      <right style="medium">
        <color indexed="64"/>
      </right>
      <top style="thin">
        <color rgb="FF231F20"/>
      </top>
      <bottom style="thin">
        <color rgb="FF231F20"/>
      </bottom>
      <diagonal/>
    </border>
    <border>
      <left style="thin">
        <color rgb="FF231F20"/>
      </left>
      <right style="medium">
        <color indexed="64"/>
      </right>
      <top style="thin">
        <color rgb="FF231F20"/>
      </top>
      <bottom style="medium">
        <color indexed="64"/>
      </bottom>
      <diagonal/>
    </border>
    <border>
      <left/>
      <right/>
      <top style="thin">
        <color indexed="64"/>
      </top>
      <bottom style="medium">
        <color rgb="FFFF0000"/>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indexed="64"/>
      </bottom>
      <diagonal/>
    </border>
    <border>
      <left style="medium">
        <color rgb="FFFF0000"/>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medium">
        <color rgb="FFFF0000"/>
      </top>
      <bottom style="medium">
        <color rgb="FFFF0000"/>
      </bottom>
      <diagonal/>
    </border>
    <border>
      <left style="thin">
        <color rgb="FF808080"/>
      </left>
      <right/>
      <top/>
      <bottom/>
      <diagonal/>
    </border>
    <border>
      <left style="thin">
        <color indexed="64"/>
      </left>
      <right style="thin">
        <color rgb="FF808080"/>
      </right>
      <top style="thin">
        <color rgb="FF808080"/>
      </top>
      <bottom style="thin">
        <color rgb="FF808080"/>
      </bottom>
      <diagonal/>
    </border>
    <border>
      <left style="thin">
        <color indexed="64"/>
      </left>
      <right style="thin">
        <color indexed="64"/>
      </right>
      <top/>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style="thin">
        <color indexed="64"/>
      </left>
      <right/>
      <top/>
      <bottom style="thin">
        <color rgb="FF000000"/>
      </bottom>
      <diagonal/>
    </border>
    <border>
      <left style="thin">
        <color rgb="FF000000"/>
      </left>
      <right/>
      <top style="thin">
        <color indexed="64"/>
      </top>
      <bottom/>
      <diagonal/>
    </border>
    <border>
      <left style="medium">
        <color indexed="64"/>
      </left>
      <right style="thin">
        <color indexed="64"/>
      </right>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2" fillId="0" borderId="0"/>
    <xf numFmtId="0" fontId="1" fillId="0" borderId="0"/>
    <xf numFmtId="9" fontId="1" fillId="0" borderId="0" applyFont="0" applyFill="0" applyBorder="0" applyAlignment="0" applyProtection="0"/>
    <xf numFmtId="0" fontId="32" fillId="0" borderId="0"/>
  </cellStyleXfs>
  <cellXfs count="1090">
    <xf numFmtId="0" fontId="0" fillId="0" borderId="0" xfId="0"/>
    <xf numFmtId="0" fontId="0" fillId="2" borderId="0" xfId="0" applyFill="1"/>
    <xf numFmtId="0" fontId="2" fillId="4" borderId="0" xfId="1" applyFill="1" applyProtection="1">
      <protection locked="0"/>
    </xf>
    <xf numFmtId="0" fontId="2" fillId="0" borderId="0" xfId="1"/>
    <xf numFmtId="0" fontId="6" fillId="0" borderId="0" xfId="1" applyFont="1"/>
    <xf numFmtId="0" fontId="2" fillId="3" borderId="1" xfId="1" applyFill="1" applyBorder="1" applyProtection="1">
      <protection locked="0" hidden="1"/>
    </xf>
    <xf numFmtId="0" fontId="2" fillId="3" borderId="2" xfId="1" applyFill="1" applyBorder="1" applyProtection="1">
      <protection locked="0" hidden="1"/>
    </xf>
    <xf numFmtId="0" fontId="2" fillId="3" borderId="3" xfId="1" applyFill="1" applyBorder="1" applyProtection="1">
      <protection locked="0" hidden="1"/>
    </xf>
    <xf numFmtId="0" fontId="2" fillId="3" borderId="4" xfId="1" applyFill="1" applyBorder="1" applyProtection="1">
      <protection hidden="1"/>
    </xf>
    <xf numFmtId="0" fontId="2" fillId="4" borderId="0" xfId="1" applyFill="1" applyAlignment="1" applyProtection="1">
      <alignment vertical="center"/>
      <protection locked="0"/>
    </xf>
    <xf numFmtId="0" fontId="2" fillId="0" borderId="0" xfId="1" applyAlignment="1">
      <alignment vertical="center"/>
    </xf>
    <xf numFmtId="0" fontId="12" fillId="4" borderId="0" xfId="2" applyFont="1" applyFill="1" applyAlignment="1">
      <alignment horizontal="left" vertical="top"/>
    </xf>
    <xf numFmtId="0" fontId="2" fillId="4" borderId="0" xfId="1" applyFill="1"/>
    <xf numFmtId="0" fontId="7" fillId="3" borderId="5" xfId="1" applyFont="1" applyFill="1" applyBorder="1"/>
    <xf numFmtId="0" fontId="8" fillId="3" borderId="0" xfId="1" applyFont="1" applyFill="1" applyProtection="1">
      <protection hidden="1"/>
    </xf>
    <xf numFmtId="0" fontId="2" fillId="3" borderId="0" xfId="1" applyFill="1" applyProtection="1">
      <protection hidden="1"/>
    </xf>
    <xf numFmtId="0" fontId="12" fillId="0" borderId="0" xfId="1" applyFont="1" applyAlignment="1">
      <alignment vertical="center"/>
    </xf>
    <xf numFmtId="0" fontId="2" fillId="2" borderId="0" xfId="1" applyFill="1"/>
    <xf numFmtId="0" fontId="6" fillId="2" borderId="0" xfId="1" applyFont="1" applyFill="1" applyProtection="1">
      <protection hidden="1"/>
    </xf>
    <xf numFmtId="0" fontId="6" fillId="2" borderId="0" xfId="1" applyFont="1" applyFill="1"/>
    <xf numFmtId="0" fontId="2" fillId="2" borderId="0" xfId="1" applyFill="1" applyAlignment="1">
      <alignment vertical="center"/>
    </xf>
    <xf numFmtId="0" fontId="6" fillId="2" borderId="0" xfId="1" applyFont="1" applyFill="1" applyAlignment="1" applyProtection="1">
      <alignment vertical="center"/>
      <protection hidden="1"/>
    </xf>
    <xf numFmtId="0" fontId="6" fillId="2" borderId="0" xfId="1" applyFont="1" applyFill="1" applyAlignment="1">
      <alignment vertical="center"/>
    </xf>
    <xf numFmtId="0" fontId="6" fillId="2" borderId="0" xfId="1" applyFont="1" applyFill="1" applyAlignment="1">
      <alignment horizontal="center"/>
    </xf>
    <xf numFmtId="0" fontId="17" fillId="2" borderId="0" xfId="1" applyFont="1" applyFill="1" applyAlignment="1">
      <alignment vertical="center"/>
    </xf>
    <xf numFmtId="0" fontId="12" fillId="2" borderId="5" xfId="2" applyFont="1" applyFill="1" applyBorder="1" applyAlignment="1">
      <alignment horizontal="left" vertical="center"/>
    </xf>
    <xf numFmtId="0" fontId="12" fillId="2" borderId="0" xfId="1" applyFont="1" applyFill="1" applyAlignment="1">
      <alignment vertical="center"/>
    </xf>
    <xf numFmtId="0" fontId="2" fillId="2" borderId="4" xfId="1" applyFill="1" applyBorder="1" applyAlignment="1">
      <alignment vertical="center"/>
    </xf>
    <xf numFmtId="0" fontId="12" fillId="2" borderId="4" xfId="1" quotePrefix="1" applyFont="1" applyFill="1" applyBorder="1" applyAlignment="1">
      <alignment horizontal="left" vertical="center"/>
    </xf>
    <xf numFmtId="0" fontId="2" fillId="2" borderId="5" xfId="1" applyFill="1" applyBorder="1"/>
    <xf numFmtId="0" fontId="2" fillId="2" borderId="4" xfId="1" applyFill="1" applyBorder="1"/>
    <xf numFmtId="0" fontId="12" fillId="2" borderId="4" xfId="1" applyFont="1" applyFill="1" applyBorder="1" applyAlignment="1">
      <alignment vertical="center"/>
    </xf>
    <xf numFmtId="0" fontId="12" fillId="2" borderId="0" xfId="2" applyFont="1" applyFill="1" applyAlignment="1">
      <alignment horizontal="left" vertical="center"/>
    </xf>
    <xf numFmtId="0" fontId="2" fillId="2" borderId="0" xfId="1" applyFill="1" applyAlignment="1">
      <alignment horizontal="left" vertical="center"/>
    </xf>
    <xf numFmtId="167" fontId="2" fillId="2" borderId="4" xfId="1" applyNumberFormat="1" applyFill="1" applyBorder="1" applyAlignment="1">
      <alignment horizontal="left" vertical="center"/>
    </xf>
    <xf numFmtId="0" fontId="10" fillId="2" borderId="5" xfId="2" quotePrefix="1" applyFont="1" applyFill="1" applyBorder="1" applyAlignment="1">
      <alignment horizontal="left" vertical="center"/>
    </xf>
    <xf numFmtId="0" fontId="12" fillId="2" borderId="0" xfId="2" applyFont="1" applyFill="1" applyAlignment="1">
      <alignment horizontal="left" vertical="top"/>
    </xf>
    <xf numFmtId="0" fontId="12" fillId="2" borderId="14" xfId="2" applyFont="1" applyFill="1" applyBorder="1" applyAlignment="1">
      <alignment horizontal="left" vertical="top"/>
    </xf>
    <xf numFmtId="0" fontId="10" fillId="2" borderId="14" xfId="2" quotePrefix="1" applyFont="1" applyFill="1" applyBorder="1" applyAlignment="1">
      <alignment horizontal="left" vertical="center"/>
    </xf>
    <xf numFmtId="0" fontId="10" fillId="2" borderId="14" xfId="2" applyFont="1" applyFill="1" applyBorder="1" applyAlignment="1">
      <alignment vertical="center"/>
    </xf>
    <xf numFmtId="0" fontId="10" fillId="2" borderId="5" xfId="2" quotePrefix="1" applyFont="1" applyFill="1" applyBorder="1" applyAlignment="1">
      <alignment horizontal="right" vertical="center"/>
    </xf>
    <xf numFmtId="167" fontId="10" fillId="2" borderId="17" xfId="1" applyNumberFormat="1" applyFont="1" applyFill="1" applyBorder="1" applyAlignment="1" applyProtection="1">
      <alignment horizontal="center" vertical="center"/>
      <protection locked="0"/>
    </xf>
    <xf numFmtId="0" fontId="12" fillId="2" borderId="5" xfId="2" applyFont="1" applyFill="1" applyBorder="1" applyAlignment="1">
      <alignment horizontal="left" vertical="top"/>
    </xf>
    <xf numFmtId="0" fontId="13" fillId="2" borderId="12" xfId="1" quotePrefix="1" applyFont="1" applyFill="1" applyBorder="1" applyAlignment="1">
      <alignment horizontal="right" vertical="center"/>
    </xf>
    <xf numFmtId="0" fontId="14" fillId="2" borderId="10" xfId="3" quotePrefix="1" applyFont="1" applyFill="1" applyBorder="1" applyAlignment="1">
      <alignment vertical="center"/>
    </xf>
    <xf numFmtId="0" fontId="14" fillId="2" borderId="13" xfId="3" quotePrefix="1" applyFont="1" applyFill="1" applyBorder="1" applyAlignment="1">
      <alignment vertical="center"/>
    </xf>
    <xf numFmtId="0" fontId="12" fillId="2" borderId="16" xfId="2" applyFont="1" applyFill="1" applyBorder="1" applyAlignment="1">
      <alignment vertical="center"/>
    </xf>
    <xf numFmtId="0" fontId="12" fillId="2" borderId="14" xfId="2" applyFont="1" applyFill="1" applyBorder="1" applyAlignment="1">
      <alignment vertical="center"/>
    </xf>
    <xf numFmtId="0" fontId="16" fillId="2" borderId="9" xfId="2" applyFont="1" applyFill="1" applyBorder="1" applyAlignment="1">
      <alignment horizontal="left" vertical="top"/>
    </xf>
    <xf numFmtId="0" fontId="2" fillId="2" borderId="10" xfId="1" applyFill="1" applyBorder="1"/>
    <xf numFmtId="0" fontId="2" fillId="2" borderId="13" xfId="1" applyFill="1" applyBorder="1"/>
    <xf numFmtId="0" fontId="2" fillId="2" borderId="13" xfId="1" applyFill="1" applyBorder="1" applyProtection="1">
      <protection locked="0"/>
    </xf>
    <xf numFmtId="0" fontId="2" fillId="2" borderId="0" xfId="1" applyFill="1" applyAlignment="1">
      <alignment horizontal="left"/>
    </xf>
    <xf numFmtId="0" fontId="2" fillId="2" borderId="4" xfId="1" applyFill="1" applyBorder="1" applyAlignment="1">
      <alignment horizontal="left"/>
    </xf>
    <xf numFmtId="14" fontId="2" fillId="2" borderId="10" xfId="1" applyNumberFormat="1" applyFill="1" applyBorder="1" applyProtection="1">
      <protection locked="0"/>
    </xf>
    <xf numFmtId="14" fontId="2" fillId="2" borderId="13" xfId="1" applyNumberFormat="1" applyFill="1" applyBorder="1" applyProtection="1">
      <protection locked="0"/>
    </xf>
    <xf numFmtId="0" fontId="19" fillId="2" borderId="5" xfId="2" applyFont="1" applyFill="1" applyBorder="1" applyAlignment="1">
      <alignment horizontal="left" vertical="top"/>
    </xf>
    <xf numFmtId="0" fontId="18" fillId="2" borderId="5" xfId="2" applyFont="1" applyFill="1" applyBorder="1" applyAlignment="1">
      <alignment horizontal="left" vertical="top"/>
    </xf>
    <xf numFmtId="0" fontId="12" fillId="2" borderId="6" xfId="2" applyFont="1" applyFill="1" applyBorder="1" applyAlignment="1">
      <alignment horizontal="left" vertical="top"/>
    </xf>
    <xf numFmtId="0" fontId="2" fillId="2" borderId="7" xfId="1" applyFill="1" applyBorder="1"/>
    <xf numFmtId="0" fontId="22" fillId="2" borderId="8" xfId="1" quotePrefix="1" applyFont="1" applyFill="1" applyBorder="1" applyAlignment="1">
      <alignment horizontal="right"/>
    </xf>
    <xf numFmtId="3" fontId="12" fillId="2" borderId="14" xfId="2" applyNumberFormat="1" applyFont="1" applyFill="1" applyBorder="1" applyAlignment="1">
      <alignment horizontal="left" vertical="center"/>
    </xf>
    <xf numFmtId="0" fontId="0" fillId="5" borderId="0" xfId="0" applyFill="1"/>
    <xf numFmtId="0" fontId="0" fillId="2" borderId="0" xfId="0" applyFill="1" applyAlignment="1">
      <alignment horizontal="center"/>
    </xf>
    <xf numFmtId="0" fontId="0" fillId="2" borderId="0" xfId="0" applyFill="1" applyAlignment="1">
      <alignment wrapText="1"/>
    </xf>
    <xf numFmtId="0" fontId="0" fillId="2" borderId="0" xfId="0" applyFill="1" applyAlignment="1">
      <alignment vertical="center"/>
    </xf>
    <xf numFmtId="0" fontId="27" fillId="2" borderId="0" xfId="0" applyFont="1" applyFill="1"/>
    <xf numFmtId="0" fontId="27" fillId="2" borderId="0" xfId="0" applyFont="1" applyFill="1" applyAlignment="1">
      <alignment horizontal="center"/>
    </xf>
    <xf numFmtId="172" fontId="0" fillId="2" borderId="21" xfId="0" applyNumberFormat="1" applyFill="1" applyBorder="1" applyAlignment="1">
      <alignment horizontal="center"/>
    </xf>
    <xf numFmtId="2" fontId="0" fillId="2" borderId="21" xfId="0" applyNumberFormat="1" applyFill="1" applyBorder="1" applyAlignment="1">
      <alignment horizontal="center"/>
    </xf>
    <xf numFmtId="1" fontId="0" fillId="2" borderId="21" xfId="0" applyNumberFormat="1" applyFill="1" applyBorder="1" applyAlignment="1">
      <alignment horizontal="center" vertical="center"/>
    </xf>
    <xf numFmtId="0" fontId="27" fillId="6" borderId="21" xfId="0" applyFont="1" applyFill="1" applyBorder="1"/>
    <xf numFmtId="0" fontId="27" fillId="6" borderId="21" xfId="0" applyFont="1" applyFill="1" applyBorder="1" applyAlignment="1">
      <alignment horizontal="center"/>
    </xf>
    <xf numFmtId="0" fontId="27" fillId="6" borderId="21" xfId="0" applyFont="1" applyFill="1" applyBorder="1" applyAlignment="1">
      <alignment horizontal="center" vertical="center"/>
    </xf>
    <xf numFmtId="0" fontId="27" fillId="6" borderId="21" xfId="0" applyFont="1" applyFill="1" applyBorder="1" applyAlignment="1">
      <alignment vertical="center"/>
    </xf>
    <xf numFmtId="0" fontId="0" fillId="2" borderId="21" xfId="0" applyFill="1" applyBorder="1"/>
    <xf numFmtId="0" fontId="0" fillId="2" borderId="21" xfId="0" applyFill="1" applyBorder="1" applyAlignment="1">
      <alignment horizontal="center"/>
    </xf>
    <xf numFmtId="0" fontId="0" fillId="6" borderId="21" xfId="0" applyFill="1" applyBorder="1"/>
    <xf numFmtId="2" fontId="26" fillId="2" borderId="21" xfId="0" applyNumberFormat="1" applyFont="1" applyFill="1" applyBorder="1" applyAlignment="1">
      <alignment horizontal="center"/>
    </xf>
    <xf numFmtId="2" fontId="28" fillId="2" borderId="21" xfId="0" applyNumberFormat="1" applyFont="1" applyFill="1" applyBorder="1" applyAlignment="1">
      <alignment horizontal="center"/>
    </xf>
    <xf numFmtId="0" fontId="27" fillId="6" borderId="21" xfId="0" applyFont="1" applyFill="1" applyBorder="1" applyAlignment="1">
      <alignment horizontal="center" vertical="center" wrapText="1"/>
    </xf>
    <xf numFmtId="0" fontId="0" fillId="2" borderId="0" xfId="0" applyFill="1" applyAlignment="1">
      <alignment horizontal="right"/>
    </xf>
    <xf numFmtId="0" fontId="2" fillId="2" borderId="14" xfId="1" applyFill="1" applyBorder="1" applyAlignment="1">
      <alignment vertical="center"/>
    </xf>
    <xf numFmtId="0" fontId="2" fillId="2" borderId="15" xfId="1" applyFill="1" applyBorder="1" applyAlignment="1">
      <alignment vertical="center"/>
    </xf>
    <xf numFmtId="0" fontId="12" fillId="2" borderId="14" xfId="2" quotePrefix="1" applyFont="1" applyFill="1" applyBorder="1" applyAlignment="1">
      <alignment horizontal="left" vertical="center"/>
    </xf>
    <xf numFmtId="0" fontId="12" fillId="2" borderId="14" xfId="2" applyFont="1" applyFill="1" applyBorder="1" applyAlignment="1">
      <alignment horizontal="left" vertical="center"/>
    </xf>
    <xf numFmtId="3" fontId="0" fillId="2" borderId="21" xfId="0" applyNumberFormat="1" applyFill="1" applyBorder="1" applyAlignment="1">
      <alignment horizontal="center"/>
    </xf>
    <xf numFmtId="0" fontId="27" fillId="8" borderId="22" xfId="0" applyFont="1" applyFill="1" applyBorder="1" applyAlignment="1">
      <alignment horizontal="left"/>
    </xf>
    <xf numFmtId="0" fontId="0" fillId="8" borderId="17" xfId="0" applyFill="1" applyBorder="1" applyAlignment="1">
      <alignment horizontal="center"/>
    </xf>
    <xf numFmtId="0" fontId="0" fillId="8" borderId="23" xfId="0" applyFill="1" applyBorder="1" applyAlignment="1">
      <alignment horizontal="center"/>
    </xf>
    <xf numFmtId="167" fontId="27" fillId="6" borderId="21" xfId="0" applyNumberFormat="1" applyFont="1" applyFill="1" applyBorder="1" applyAlignment="1">
      <alignment horizontal="center"/>
    </xf>
    <xf numFmtId="167" fontId="0" fillId="2" borderId="21" xfId="0" applyNumberFormat="1" applyFill="1" applyBorder="1" applyAlignment="1">
      <alignment horizontal="center"/>
    </xf>
    <xf numFmtId="167" fontId="0" fillId="2" borderId="0" xfId="0" applyNumberFormat="1" applyFill="1" applyAlignment="1">
      <alignment horizontal="center"/>
    </xf>
    <xf numFmtId="0" fontId="29" fillId="5" borderId="0" xfId="0" applyFont="1" applyFill="1"/>
    <xf numFmtId="0" fontId="28" fillId="6" borderId="21" xfId="0" applyFont="1" applyFill="1" applyBorder="1"/>
    <xf numFmtId="0" fontId="26" fillId="6" borderId="21" xfId="0" applyFont="1" applyFill="1" applyBorder="1"/>
    <xf numFmtId="0" fontId="31" fillId="2" borderId="0" xfId="0" applyFont="1" applyFill="1"/>
    <xf numFmtId="172" fontId="26" fillId="2" borderId="21" xfId="0" applyNumberFormat="1" applyFont="1" applyFill="1" applyBorder="1" applyAlignment="1">
      <alignment horizontal="center"/>
    </xf>
    <xf numFmtId="0" fontId="26" fillId="2" borderId="21" xfId="0" applyFont="1" applyFill="1" applyBorder="1" applyAlignment="1">
      <alignment horizontal="center"/>
    </xf>
    <xf numFmtId="0" fontId="28" fillId="2" borderId="0" xfId="0" applyFont="1" applyFill="1"/>
    <xf numFmtId="0" fontId="33" fillId="2" borderId="0" xfId="7" applyFont="1" applyFill="1" applyAlignment="1">
      <alignment horizontal="left" vertical="center"/>
    </xf>
    <xf numFmtId="0" fontId="33" fillId="2" borderId="0" xfId="7" applyFont="1" applyFill="1" applyAlignment="1">
      <alignment horizontal="center" vertical="center"/>
    </xf>
    <xf numFmtId="0" fontId="33" fillId="2" borderId="0" xfId="7" applyFont="1" applyFill="1" applyAlignment="1">
      <alignment horizontal="left" vertical="top"/>
    </xf>
    <xf numFmtId="0" fontId="34" fillId="6" borderId="24" xfId="7" applyFont="1" applyFill="1" applyBorder="1" applyAlignment="1">
      <alignment vertical="center"/>
    </xf>
    <xf numFmtId="0" fontId="34" fillId="6" borderId="25" xfId="7" applyFont="1" applyFill="1" applyBorder="1" applyAlignment="1">
      <alignment horizontal="center" vertical="center" wrapText="1"/>
    </xf>
    <xf numFmtId="0" fontId="28" fillId="2" borderId="25" xfId="7" applyFont="1" applyFill="1" applyBorder="1" applyAlignment="1">
      <alignment horizontal="left" vertical="center" wrapText="1"/>
    </xf>
    <xf numFmtId="0" fontId="34" fillId="6" borderId="26" xfId="7" applyFont="1" applyFill="1" applyBorder="1" applyAlignment="1">
      <alignment horizontal="center" vertical="center" wrapText="1"/>
    </xf>
    <xf numFmtId="0" fontId="28" fillId="2" borderId="24" xfId="7" applyFont="1" applyFill="1" applyBorder="1" applyAlignment="1">
      <alignment vertical="center" wrapText="1"/>
    </xf>
    <xf numFmtId="0" fontId="34" fillId="6" borderId="21" xfId="7" applyFont="1" applyFill="1" applyBorder="1" applyAlignment="1">
      <alignment horizontal="center" vertical="center" wrapText="1"/>
    </xf>
    <xf numFmtId="0" fontId="34" fillId="6" borderId="24" xfId="7" applyFont="1" applyFill="1" applyBorder="1" applyAlignment="1">
      <alignment vertical="center" wrapText="1"/>
    </xf>
    <xf numFmtId="174" fontId="0" fillId="10" borderId="21" xfId="0" applyNumberFormat="1" applyFill="1" applyBorder="1" applyAlignment="1">
      <alignment horizontal="right" vertical="center"/>
    </xf>
    <xf numFmtId="0" fontId="0" fillId="10" borderId="21" xfId="0" applyFill="1" applyBorder="1" applyAlignment="1">
      <alignment horizontal="right" vertical="center"/>
    </xf>
    <xf numFmtId="0" fontId="35" fillId="9" borderId="22" xfId="0" applyFont="1" applyFill="1" applyBorder="1" applyAlignment="1">
      <alignment horizontal="left" vertical="center"/>
    </xf>
    <xf numFmtId="0" fontId="35" fillId="9" borderId="21" xfId="0" applyFont="1" applyFill="1" applyBorder="1" applyAlignment="1">
      <alignment vertical="center"/>
    </xf>
    <xf numFmtId="0" fontId="27" fillId="2" borderId="21" xfId="0" applyFont="1" applyFill="1" applyBorder="1" applyAlignment="1">
      <alignment horizontal="center" vertical="center"/>
    </xf>
    <xf numFmtId="0" fontId="0" fillId="2" borderId="28" xfId="0" applyFill="1" applyBorder="1"/>
    <xf numFmtId="0" fontId="0" fillId="2" borderId="18" xfId="0" applyFill="1" applyBorder="1"/>
    <xf numFmtId="0" fontId="0" fillId="2" borderId="12" xfId="0" applyFill="1" applyBorder="1"/>
    <xf numFmtId="169" fontId="15" fillId="2" borderId="12" xfId="4" quotePrefix="1" applyNumberFormat="1" applyFont="1" applyFill="1" applyBorder="1" applyAlignment="1" applyProtection="1">
      <alignment horizontal="center" vertical="center"/>
      <protection locked="0"/>
    </xf>
    <xf numFmtId="0" fontId="35" fillId="9" borderId="30" xfId="0" applyFont="1" applyFill="1" applyBorder="1" applyAlignment="1">
      <alignment horizontal="right" vertical="center"/>
    </xf>
    <xf numFmtId="0" fontId="35" fillId="9" borderId="31" xfId="0" applyFont="1" applyFill="1" applyBorder="1" applyAlignment="1">
      <alignment horizontal="right" vertical="center"/>
    </xf>
    <xf numFmtId="0" fontId="5" fillId="10" borderId="23" xfId="0" applyFont="1" applyFill="1" applyBorder="1" applyAlignment="1">
      <alignment horizontal="right" vertical="center"/>
    </xf>
    <xf numFmtId="0" fontId="39" fillId="2" borderId="0" xfId="0" applyFont="1" applyFill="1"/>
    <xf numFmtId="0" fontId="0" fillId="2" borderId="14" xfId="0" applyFill="1" applyBorder="1" applyAlignment="1">
      <alignment horizontal="center"/>
    </xf>
    <xf numFmtId="0" fontId="0" fillId="2" borderId="10" xfId="0" applyFill="1" applyBorder="1" applyAlignment="1">
      <alignment horizontal="center"/>
    </xf>
    <xf numFmtId="176" fontId="0" fillId="2" borderId="0" xfId="0" applyNumberFormat="1" applyFill="1" applyAlignment="1">
      <alignment horizontal="center"/>
    </xf>
    <xf numFmtId="174" fontId="0" fillId="2" borderId="14" xfId="0" applyNumberFormat="1" applyFill="1" applyBorder="1" applyAlignment="1">
      <alignment horizontal="center"/>
    </xf>
    <xf numFmtId="174" fontId="0" fillId="2" borderId="0" xfId="0" applyNumberFormat="1" applyFill="1" applyAlignment="1">
      <alignment horizontal="center"/>
    </xf>
    <xf numFmtId="174" fontId="0" fillId="2" borderId="10" xfId="0" applyNumberFormat="1" applyFill="1" applyBorder="1" applyAlignment="1">
      <alignment horizontal="center"/>
    </xf>
    <xf numFmtId="171" fontId="0" fillId="2" borderId="29" xfId="0" applyNumberFormat="1" applyFill="1" applyBorder="1" applyAlignment="1">
      <alignment horizontal="center"/>
    </xf>
    <xf numFmtId="171" fontId="0" fillId="2" borderId="19" xfId="0" applyNumberFormat="1" applyFill="1" applyBorder="1" applyAlignment="1">
      <alignment horizontal="center"/>
    </xf>
    <xf numFmtId="171" fontId="0" fillId="2" borderId="11" xfId="0" applyNumberFormat="1" applyFill="1" applyBorder="1" applyAlignment="1">
      <alignment horizontal="center"/>
    </xf>
    <xf numFmtId="0" fontId="27" fillId="6" borderId="22" xfId="0" applyFont="1" applyFill="1" applyBorder="1" applyAlignment="1">
      <alignment vertical="center" wrapText="1"/>
    </xf>
    <xf numFmtId="0" fontId="27" fillId="6" borderId="17" xfId="0" applyFont="1" applyFill="1" applyBorder="1" applyAlignment="1">
      <alignment horizontal="center" vertical="center" wrapText="1"/>
    </xf>
    <xf numFmtId="0" fontId="27" fillId="6" borderId="23" xfId="0" applyFont="1" applyFill="1" applyBorder="1" applyAlignment="1">
      <alignment horizontal="center" vertical="center" wrapText="1"/>
    </xf>
    <xf numFmtId="173" fontId="0" fillId="2" borderId="14" xfId="0" applyNumberFormat="1" applyFill="1" applyBorder="1" applyAlignment="1">
      <alignment horizontal="center"/>
    </xf>
    <xf numFmtId="173" fontId="0" fillId="2" borderId="0" xfId="0" applyNumberFormat="1" applyFill="1" applyAlignment="1">
      <alignment horizontal="center"/>
    </xf>
    <xf numFmtId="173" fontId="0" fillId="2" borderId="10" xfId="0" applyNumberFormat="1" applyFill="1" applyBorder="1" applyAlignment="1">
      <alignment horizontal="center"/>
    </xf>
    <xf numFmtId="0" fontId="28" fillId="2" borderId="26" xfId="7" applyFont="1" applyFill="1" applyBorder="1" applyAlignment="1">
      <alignment horizontal="left" vertical="center" wrapText="1"/>
    </xf>
    <xf numFmtId="0" fontId="33" fillId="5" borderId="0" xfId="7" applyFont="1" applyFill="1" applyAlignment="1">
      <alignment horizontal="left" vertical="center"/>
    </xf>
    <xf numFmtId="0" fontId="28" fillId="5" borderId="0" xfId="7" applyFont="1" applyFill="1" applyAlignment="1">
      <alignment horizontal="center" vertical="center"/>
    </xf>
    <xf numFmtId="0" fontId="33" fillId="5" borderId="0" xfId="7" applyFont="1" applyFill="1" applyAlignment="1">
      <alignment horizontal="center" vertical="center"/>
    </xf>
    <xf numFmtId="0" fontId="0" fillId="2" borderId="34" xfId="0" applyFill="1" applyBorder="1" applyAlignment="1">
      <alignment horizontal="center"/>
    </xf>
    <xf numFmtId="0" fontId="0" fillId="2" borderId="0" xfId="0" applyFill="1" applyAlignment="1">
      <alignment horizontal="center" vertical="center"/>
    </xf>
    <xf numFmtId="0" fontId="0" fillId="2" borderId="17" xfId="0" applyFill="1" applyBorder="1" applyAlignment="1">
      <alignment horizontal="center" vertical="center"/>
    </xf>
    <xf numFmtId="0" fontId="0" fillId="2" borderId="21" xfId="0" applyFill="1" applyBorder="1" applyAlignment="1">
      <alignment horizontal="center" vertical="center" wrapText="1"/>
    </xf>
    <xf numFmtId="0" fontId="42" fillId="2" borderId="0" xfId="0" applyFont="1" applyFill="1" applyAlignment="1">
      <alignment horizontal="left" vertical="top"/>
    </xf>
    <xf numFmtId="0" fontId="28" fillId="2" borderId="28" xfId="0" applyFont="1" applyFill="1" applyBorder="1"/>
    <xf numFmtId="0" fontId="28" fillId="2" borderId="12" xfId="0" applyFont="1" applyFill="1" applyBorder="1"/>
    <xf numFmtId="0" fontId="28" fillId="2" borderId="21" xfId="0" applyFont="1" applyFill="1" applyBorder="1"/>
    <xf numFmtId="0" fontId="28" fillId="2" borderId="21" xfId="0" applyFont="1" applyFill="1" applyBorder="1" applyProtection="1">
      <protection locked="0"/>
    </xf>
    <xf numFmtId="0" fontId="28" fillId="2" borderId="22" xfId="0" applyFont="1" applyFill="1" applyBorder="1" applyProtection="1">
      <protection locked="0"/>
    </xf>
    <xf numFmtId="0" fontId="28" fillId="2" borderId="17" xfId="0" applyFont="1" applyFill="1" applyBorder="1" applyProtection="1">
      <protection locked="0"/>
    </xf>
    <xf numFmtId="0" fontId="52" fillId="2" borderId="17" xfId="0" applyFont="1" applyFill="1" applyBorder="1" applyAlignment="1" applyProtection="1">
      <alignment horizontal="right"/>
      <protection locked="0"/>
    </xf>
    <xf numFmtId="0" fontId="28" fillId="2" borderId="17"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28" fillId="2" borderId="23" xfId="0" applyFont="1" applyFill="1" applyBorder="1" applyProtection="1">
      <protection locked="0"/>
    </xf>
    <xf numFmtId="0" fontId="45" fillId="2" borderId="36" xfId="0" applyFont="1" applyFill="1" applyBorder="1" applyAlignment="1" applyProtection="1">
      <alignment horizontal="right"/>
      <protection locked="0"/>
    </xf>
    <xf numFmtId="0" fontId="45" fillId="2" borderId="37" xfId="0" applyFont="1" applyFill="1" applyBorder="1" applyAlignment="1" applyProtection="1">
      <alignment horizontal="left"/>
      <protection locked="0"/>
      <extLst>
        <ext xmlns:xfpb="http://schemas.microsoft.com/office/spreadsheetml/2022/featurepropertybag" uri="{C7286773-470A-42A8-94C5-96B5CB345126}">
          <xfpb:xfComplement i="0"/>
        </ext>
      </extLst>
    </xf>
    <xf numFmtId="0" fontId="45" fillId="2" borderId="38" xfId="0" applyFont="1" applyFill="1" applyBorder="1" applyAlignment="1" applyProtection="1">
      <alignment horizontal="right"/>
      <protection locked="0"/>
    </xf>
    <xf numFmtId="0" fontId="28" fillId="2" borderId="28" xfId="0" applyFont="1" applyFill="1" applyBorder="1" applyProtection="1">
      <protection locked="0"/>
    </xf>
    <xf numFmtId="0" fontId="28" fillId="2" borderId="14" xfId="0" applyFont="1" applyFill="1" applyBorder="1" applyProtection="1">
      <protection locked="0"/>
    </xf>
    <xf numFmtId="0" fontId="28" fillId="2" borderId="29" xfId="0" applyFont="1" applyFill="1" applyBorder="1" applyProtection="1">
      <protection locked="0"/>
    </xf>
    <xf numFmtId="0" fontId="28" fillId="2" borderId="18" xfId="0" applyFont="1" applyFill="1" applyBorder="1" applyProtection="1">
      <protection locked="0"/>
    </xf>
    <xf numFmtId="0" fontId="28" fillId="2" borderId="0" xfId="0" applyFont="1" applyFill="1" applyProtection="1">
      <protection locked="0"/>
    </xf>
    <xf numFmtId="0" fontId="28" fillId="2" borderId="19" xfId="0" applyFont="1" applyFill="1" applyBorder="1" applyProtection="1">
      <protection locked="0"/>
    </xf>
    <xf numFmtId="0" fontId="28" fillId="2" borderId="12" xfId="0" applyFont="1" applyFill="1" applyBorder="1" applyProtection="1">
      <protection locked="0"/>
    </xf>
    <xf numFmtId="0" fontId="28" fillId="2" borderId="10" xfId="0" applyFont="1" applyFill="1" applyBorder="1" applyProtection="1">
      <protection locked="0"/>
    </xf>
    <xf numFmtId="0" fontId="28" fillId="2" borderId="11" xfId="0" applyFont="1" applyFill="1" applyBorder="1" applyProtection="1">
      <protection locked="0"/>
    </xf>
    <xf numFmtId="0" fontId="5" fillId="2" borderId="0" xfId="7" applyFont="1" applyFill="1" applyAlignment="1">
      <alignment vertical="center" wrapText="1"/>
    </xf>
    <xf numFmtId="0" fontId="33" fillId="2" borderId="0" xfId="7" applyFont="1" applyFill="1" applyAlignment="1">
      <alignment vertical="center" wrapText="1"/>
    </xf>
    <xf numFmtId="0" fontId="5" fillId="2" borderId="0" xfId="7" applyFont="1" applyFill="1" applyAlignment="1">
      <alignment horizontal="center" vertical="center"/>
    </xf>
    <xf numFmtId="0" fontId="33" fillId="2" borderId="41" xfId="7" applyFont="1" applyFill="1" applyBorder="1" applyAlignment="1">
      <alignment horizontal="left" vertical="center"/>
    </xf>
    <xf numFmtId="0" fontId="28" fillId="2" borderId="2" xfId="7" applyFont="1" applyFill="1" applyBorder="1" applyAlignment="1">
      <alignment vertical="center"/>
    </xf>
    <xf numFmtId="0" fontId="28" fillId="2" borderId="42" xfId="7" applyFont="1" applyFill="1" applyBorder="1" applyAlignment="1">
      <alignment vertical="center"/>
    </xf>
    <xf numFmtId="3" fontId="56" fillId="2" borderId="42" xfId="7" applyNumberFormat="1" applyFont="1" applyFill="1" applyBorder="1" applyAlignment="1">
      <alignment horizontal="center" vertical="center" shrinkToFit="1"/>
    </xf>
    <xf numFmtId="173" fontId="56" fillId="2" borderId="42" xfId="7" applyNumberFormat="1" applyFont="1" applyFill="1" applyBorder="1" applyAlignment="1">
      <alignment horizontal="center" vertical="center" shrinkToFit="1"/>
    </xf>
    <xf numFmtId="172" fontId="56" fillId="2" borderId="43" xfId="7" applyNumberFormat="1" applyFont="1" applyFill="1" applyBorder="1" applyAlignment="1">
      <alignment horizontal="center" vertical="center" shrinkToFit="1"/>
    </xf>
    <xf numFmtId="0" fontId="33" fillId="2" borderId="44" xfId="7" applyFont="1" applyFill="1" applyBorder="1" applyAlignment="1">
      <alignment horizontal="left" vertical="center"/>
    </xf>
    <xf numFmtId="0" fontId="28" fillId="2" borderId="40" xfId="7" applyFont="1" applyFill="1" applyBorder="1" applyAlignment="1">
      <alignment vertical="center"/>
    </xf>
    <xf numFmtId="0" fontId="28" fillId="2" borderId="39" xfId="7" applyFont="1" applyFill="1" applyBorder="1" applyAlignment="1">
      <alignment vertical="center"/>
    </xf>
    <xf numFmtId="1" fontId="56" fillId="2" borderId="39" xfId="7" applyNumberFormat="1" applyFont="1" applyFill="1" applyBorder="1" applyAlignment="1">
      <alignment horizontal="center" vertical="center" shrinkToFit="1"/>
    </xf>
    <xf numFmtId="173" fontId="56" fillId="2" borderId="39" xfId="7" applyNumberFormat="1" applyFont="1" applyFill="1" applyBorder="1" applyAlignment="1">
      <alignment horizontal="center" vertical="center" shrinkToFit="1"/>
    </xf>
    <xf numFmtId="172" fontId="56" fillId="2" borderId="45" xfId="7" applyNumberFormat="1" applyFont="1" applyFill="1" applyBorder="1" applyAlignment="1">
      <alignment horizontal="center" vertical="center" shrinkToFit="1"/>
    </xf>
    <xf numFmtId="3" fontId="56" fillId="2" borderId="39" xfId="7" applyNumberFormat="1" applyFont="1" applyFill="1" applyBorder="1" applyAlignment="1">
      <alignment horizontal="center" vertical="center" shrinkToFit="1"/>
    </xf>
    <xf numFmtId="0" fontId="33" fillId="2" borderId="46" xfId="7" applyFont="1" applyFill="1" applyBorder="1" applyAlignment="1">
      <alignment horizontal="left" vertical="center"/>
    </xf>
    <xf numFmtId="0" fontId="28" fillId="2" borderId="47" xfId="7" applyFont="1" applyFill="1" applyBorder="1" applyAlignment="1">
      <alignment vertical="center"/>
    </xf>
    <xf numFmtId="0" fontId="28" fillId="2" borderId="48" xfId="7" applyFont="1" applyFill="1" applyBorder="1" applyAlignment="1">
      <alignment vertical="center"/>
    </xf>
    <xf numFmtId="1" fontId="56" fillId="2" borderId="48" xfId="7" applyNumberFormat="1" applyFont="1" applyFill="1" applyBorder="1" applyAlignment="1">
      <alignment horizontal="center" vertical="center" shrinkToFit="1"/>
    </xf>
    <xf numFmtId="173" fontId="56" fillId="2" borderId="48" xfId="7" applyNumberFormat="1" applyFont="1" applyFill="1" applyBorder="1" applyAlignment="1">
      <alignment horizontal="center" vertical="center" shrinkToFit="1"/>
    </xf>
    <xf numFmtId="172" fontId="56" fillId="2" borderId="49" xfId="7" applyNumberFormat="1" applyFont="1" applyFill="1" applyBorder="1" applyAlignment="1">
      <alignment horizontal="center" vertical="center" shrinkToFit="1"/>
    </xf>
    <xf numFmtId="172" fontId="56" fillId="2" borderId="54" xfId="7" applyNumberFormat="1" applyFont="1" applyFill="1" applyBorder="1" applyAlignment="1">
      <alignment horizontal="center" vertical="center" shrinkToFit="1"/>
    </xf>
    <xf numFmtId="172" fontId="56" fillId="2" borderId="55" xfId="7" applyNumberFormat="1" applyFont="1" applyFill="1" applyBorder="1" applyAlignment="1">
      <alignment horizontal="center" vertical="center" shrinkToFit="1"/>
    </xf>
    <xf numFmtId="172" fontId="56" fillId="2" borderId="56" xfId="7" applyNumberFormat="1" applyFont="1" applyFill="1" applyBorder="1" applyAlignment="1">
      <alignment horizontal="center" vertical="center" shrinkToFit="1"/>
    </xf>
    <xf numFmtId="0" fontId="56" fillId="2" borderId="42" xfId="7" applyFont="1" applyFill="1" applyBorder="1" applyAlignment="1">
      <alignment vertical="center"/>
    </xf>
    <xf numFmtId="0" fontId="56" fillId="2" borderId="39" xfId="7" applyFont="1" applyFill="1" applyBorder="1" applyAlignment="1">
      <alignment vertical="center"/>
    </xf>
    <xf numFmtId="0" fontId="28" fillId="2" borderId="0" xfId="7" applyFont="1" applyFill="1" applyAlignment="1">
      <alignment horizontal="center" vertical="center"/>
    </xf>
    <xf numFmtId="0" fontId="5" fillId="6" borderId="50" xfId="7" applyFont="1" applyFill="1" applyBorder="1" applyAlignment="1">
      <alignment vertical="center"/>
    </xf>
    <xf numFmtId="0" fontId="55" fillId="6" borderId="51" xfId="7" applyFont="1" applyFill="1" applyBorder="1" applyAlignment="1">
      <alignment vertical="center"/>
    </xf>
    <xf numFmtId="0" fontId="55" fillId="6" borderId="52" xfId="7" applyFont="1" applyFill="1" applyBorder="1" applyAlignment="1">
      <alignment vertical="center"/>
    </xf>
    <xf numFmtId="0" fontId="55" fillId="6" borderId="52" xfId="7" applyFont="1" applyFill="1" applyBorder="1" applyAlignment="1">
      <alignment horizontal="center" vertical="center"/>
    </xf>
    <xf numFmtId="0" fontId="55" fillId="6" borderId="53" xfId="7" applyFont="1" applyFill="1" applyBorder="1" applyAlignment="1">
      <alignment horizontal="center" vertical="center"/>
    </xf>
    <xf numFmtId="0" fontId="27" fillId="5" borderId="33" xfId="0" applyFont="1" applyFill="1" applyBorder="1" applyAlignment="1">
      <alignment horizontal="center" vertical="center"/>
    </xf>
    <xf numFmtId="0" fontId="5" fillId="11" borderId="22" xfId="0" applyFont="1" applyFill="1" applyBorder="1" applyAlignment="1">
      <alignment horizontal="left" vertical="center"/>
    </xf>
    <xf numFmtId="174" fontId="5" fillId="12" borderId="21" xfId="0" applyNumberFormat="1" applyFont="1" applyFill="1" applyBorder="1" applyAlignment="1">
      <alignment horizontal="right" vertical="center"/>
    </xf>
    <xf numFmtId="0" fontId="0" fillId="2" borderId="0" xfId="0" applyFill="1" applyAlignment="1">
      <alignment horizontal="left"/>
    </xf>
    <xf numFmtId="0" fontId="0" fillId="2" borderId="0" xfId="0" applyFill="1" applyAlignment="1">
      <alignment horizontal="center" vertical="center" wrapText="1"/>
    </xf>
    <xf numFmtId="0" fontId="35" fillId="9" borderId="21" xfId="0" applyFont="1" applyFill="1" applyBorder="1" applyAlignment="1">
      <alignment horizontal="center" vertical="center" wrapText="1"/>
    </xf>
    <xf numFmtId="0" fontId="0" fillId="10" borderId="23" xfId="0" applyFill="1" applyBorder="1" applyAlignment="1">
      <alignment horizontal="right" vertical="center"/>
    </xf>
    <xf numFmtId="3" fontId="0" fillId="10" borderId="21" xfId="0" applyNumberFormat="1" applyFill="1" applyBorder="1" applyAlignment="1">
      <alignment horizontal="center"/>
    </xf>
    <xf numFmtId="0" fontId="0" fillId="10" borderId="21" xfId="0" applyFill="1" applyBorder="1" applyAlignment="1">
      <alignment horizontal="center"/>
    </xf>
    <xf numFmtId="0" fontId="28" fillId="10" borderId="21" xfId="0" applyFont="1" applyFill="1" applyBorder="1" applyAlignment="1">
      <alignment horizontal="center"/>
    </xf>
    <xf numFmtId="3" fontId="0" fillId="2" borderId="0" xfId="0" applyNumberFormat="1" applyFill="1" applyAlignment="1">
      <alignment horizontal="center"/>
    </xf>
    <xf numFmtId="178" fontId="0" fillId="2" borderId="21" xfId="0" applyNumberFormat="1" applyFill="1" applyBorder="1" applyAlignment="1">
      <alignment horizontal="center"/>
    </xf>
    <xf numFmtId="176" fontId="0" fillId="2" borderId="21" xfId="0" applyNumberFormat="1" applyFill="1" applyBorder="1" applyAlignment="1">
      <alignment horizontal="center"/>
    </xf>
    <xf numFmtId="174" fontId="0" fillId="2" borderId="21" xfId="0" applyNumberFormat="1" applyFill="1" applyBorder="1" applyAlignment="1">
      <alignment horizontal="center"/>
    </xf>
    <xf numFmtId="3" fontId="27" fillId="10" borderId="17" xfId="0" applyNumberFormat="1" applyFont="1" applyFill="1" applyBorder="1" applyAlignment="1">
      <alignment vertical="center"/>
    </xf>
    <xf numFmtId="4" fontId="27" fillId="10" borderId="17" xfId="0" applyNumberFormat="1" applyFont="1" applyFill="1" applyBorder="1" applyAlignment="1">
      <alignment vertical="center"/>
    </xf>
    <xf numFmtId="170" fontId="27" fillId="10" borderId="17" xfId="0" applyNumberFormat="1" applyFont="1" applyFill="1" applyBorder="1" applyAlignment="1">
      <alignment vertical="center"/>
    </xf>
    <xf numFmtId="3" fontId="27" fillId="10" borderId="57" xfId="0" applyNumberFormat="1" applyFont="1" applyFill="1" applyBorder="1" applyAlignment="1">
      <alignment vertical="center"/>
    </xf>
    <xf numFmtId="175" fontId="27" fillId="10" borderId="58" xfId="6" applyNumberFormat="1" applyFont="1" applyFill="1" applyBorder="1" applyAlignment="1">
      <alignment horizontal="center" vertical="center"/>
    </xf>
    <xf numFmtId="4" fontId="27" fillId="2" borderId="58" xfId="0" applyNumberFormat="1" applyFont="1" applyFill="1" applyBorder="1" applyAlignment="1">
      <alignment horizontal="center" vertical="center"/>
    </xf>
    <xf numFmtId="170" fontId="27" fillId="2" borderId="58" xfId="0" applyNumberFormat="1" applyFont="1" applyFill="1" applyBorder="1" applyAlignment="1">
      <alignment horizontal="center" vertical="center"/>
    </xf>
    <xf numFmtId="175" fontId="27" fillId="10" borderId="59" xfId="6" applyNumberFormat="1" applyFont="1" applyFill="1" applyBorder="1" applyAlignment="1">
      <alignment horizontal="center" vertical="center"/>
    </xf>
    <xf numFmtId="0" fontId="27" fillId="6" borderId="50" xfId="0" applyFont="1" applyFill="1" applyBorder="1"/>
    <xf numFmtId="0" fontId="27" fillId="6" borderId="60" xfId="0" applyFont="1" applyFill="1" applyBorder="1"/>
    <xf numFmtId="0" fontId="27" fillId="6" borderId="60" xfId="0" applyFont="1" applyFill="1" applyBorder="1" applyAlignment="1">
      <alignment horizontal="center"/>
    </xf>
    <xf numFmtId="0" fontId="27" fillId="6" borderId="53" xfId="0" applyFont="1" applyFill="1" applyBorder="1" applyAlignment="1">
      <alignment horizontal="center"/>
    </xf>
    <xf numFmtId="0" fontId="0" fillId="2" borderId="41" xfId="0" applyFill="1" applyBorder="1"/>
    <xf numFmtId="0" fontId="0" fillId="2" borderId="61" xfId="0" applyFill="1" applyBorder="1"/>
    <xf numFmtId="178" fontId="0" fillId="2" borderId="61" xfId="0" applyNumberFormat="1" applyFill="1" applyBorder="1" applyAlignment="1">
      <alignment horizontal="center"/>
    </xf>
    <xf numFmtId="0" fontId="0" fillId="2" borderId="61" xfId="0" applyFill="1" applyBorder="1" applyAlignment="1">
      <alignment horizontal="center"/>
    </xf>
    <xf numFmtId="176" fontId="0" fillId="2" borderId="61" xfId="0" applyNumberFormat="1" applyFill="1" applyBorder="1" applyAlignment="1">
      <alignment horizontal="center"/>
    </xf>
    <xf numFmtId="174" fontId="0" fillId="2" borderId="61" xfId="0" applyNumberFormat="1" applyFill="1" applyBorder="1" applyAlignment="1">
      <alignment horizontal="center"/>
    </xf>
    <xf numFmtId="171" fontId="0" fillId="2" borderId="62" xfId="0" applyNumberFormat="1" applyFill="1" applyBorder="1" applyAlignment="1">
      <alignment horizontal="center"/>
    </xf>
    <xf numFmtId="0" fontId="0" fillId="2" borderId="44" xfId="0" applyFill="1" applyBorder="1"/>
    <xf numFmtId="171" fontId="0" fillId="2" borderId="20" xfId="0" applyNumberFormat="1" applyFill="1" applyBorder="1" applyAlignment="1">
      <alignment horizontal="center"/>
    </xf>
    <xf numFmtId="0" fontId="0" fillId="2" borderId="46" xfId="0" applyFill="1" applyBorder="1"/>
    <xf numFmtId="0" fontId="0" fillId="2" borderId="63" xfId="0" applyFill="1" applyBorder="1"/>
    <xf numFmtId="178" fontId="0" fillId="2" borderId="63" xfId="0" applyNumberFormat="1" applyFill="1" applyBorder="1" applyAlignment="1">
      <alignment horizontal="center"/>
    </xf>
    <xf numFmtId="0" fontId="0" fillId="2" borderId="63" xfId="0" applyFill="1" applyBorder="1" applyAlignment="1">
      <alignment horizontal="center"/>
    </xf>
    <xf numFmtId="176" fontId="0" fillId="2" borderId="63" xfId="0" applyNumberFormat="1" applyFill="1" applyBorder="1" applyAlignment="1">
      <alignment horizontal="center"/>
    </xf>
    <xf numFmtId="174" fontId="0" fillId="2" borderId="63" xfId="0" applyNumberFormat="1" applyFill="1" applyBorder="1" applyAlignment="1">
      <alignment horizontal="center"/>
    </xf>
    <xf numFmtId="171" fontId="0" fillId="2" borderId="64" xfId="0" applyNumberFormat="1" applyFill="1" applyBorder="1" applyAlignment="1">
      <alignment horizontal="center"/>
    </xf>
    <xf numFmtId="174" fontId="28" fillId="10" borderId="21" xfId="0" applyNumberFormat="1" applyFont="1" applyFill="1" applyBorder="1" applyAlignment="1">
      <alignment horizontal="center"/>
    </xf>
    <xf numFmtId="174" fontId="5" fillId="10" borderId="21" xfId="0" applyNumberFormat="1" applyFont="1" applyFill="1" applyBorder="1" applyAlignment="1">
      <alignment horizontal="center"/>
    </xf>
    <xf numFmtId="170" fontId="0" fillId="10" borderId="23" xfId="0" applyNumberFormat="1" applyFill="1" applyBorder="1" applyAlignment="1">
      <alignment horizontal="right" vertical="center"/>
    </xf>
    <xf numFmtId="3" fontId="27" fillId="10" borderId="21" xfId="0" applyNumberFormat="1" applyFont="1" applyFill="1" applyBorder="1" applyAlignment="1">
      <alignment horizontal="center"/>
    </xf>
    <xf numFmtId="9" fontId="0" fillId="2" borderId="61" xfId="6" applyFont="1" applyFill="1" applyBorder="1" applyAlignment="1">
      <alignment horizontal="center"/>
    </xf>
    <xf numFmtId="9" fontId="0" fillId="2" borderId="21" xfId="6" applyFont="1" applyFill="1" applyBorder="1" applyAlignment="1">
      <alignment horizontal="center"/>
    </xf>
    <xf numFmtId="9" fontId="0" fillId="2" borderId="63" xfId="6" applyFont="1" applyFill="1" applyBorder="1" applyAlignment="1">
      <alignment horizontal="center"/>
    </xf>
    <xf numFmtId="0" fontId="5" fillId="6" borderId="21" xfId="0" applyFont="1" applyFill="1" applyBorder="1"/>
    <xf numFmtId="1" fontId="0" fillId="2" borderId="0" xfId="0" applyNumberFormat="1" applyFill="1"/>
    <xf numFmtId="0" fontId="28" fillId="2" borderId="41" xfId="7" applyFont="1" applyFill="1" applyBorder="1" applyAlignment="1">
      <alignment horizontal="left" vertical="center"/>
    </xf>
    <xf numFmtId="3" fontId="28" fillId="2" borderId="42" xfId="7" applyNumberFormat="1" applyFont="1" applyFill="1" applyBorder="1" applyAlignment="1">
      <alignment horizontal="center" vertical="center" shrinkToFit="1"/>
    </xf>
    <xf numFmtId="173" fontId="28" fillId="2" borderId="42" xfId="7" applyNumberFormat="1" applyFont="1" applyFill="1" applyBorder="1" applyAlignment="1">
      <alignment horizontal="center" vertical="center" shrinkToFit="1"/>
    </xf>
    <xf numFmtId="172" fontId="28" fillId="2" borderId="43" xfId="7" applyNumberFormat="1" applyFont="1" applyFill="1" applyBorder="1" applyAlignment="1">
      <alignment horizontal="center" vertical="center" shrinkToFit="1"/>
    </xf>
    <xf numFmtId="3" fontId="28" fillId="10" borderId="21" xfId="0" applyNumberFormat="1" applyFont="1" applyFill="1" applyBorder="1" applyAlignment="1">
      <alignment horizontal="center"/>
    </xf>
    <xf numFmtId="170" fontId="28" fillId="10" borderId="21" xfId="0" applyNumberFormat="1" applyFont="1" applyFill="1" applyBorder="1" applyAlignment="1">
      <alignment horizontal="center"/>
    </xf>
    <xf numFmtId="170" fontId="27" fillId="10" borderId="21" xfId="0" applyNumberFormat="1" applyFont="1" applyFill="1" applyBorder="1" applyAlignment="1">
      <alignment horizontal="center"/>
    </xf>
    <xf numFmtId="173" fontId="28" fillId="10" borderId="21" xfId="0" applyNumberFormat="1" applyFont="1" applyFill="1" applyBorder="1" applyAlignment="1">
      <alignment horizontal="center"/>
    </xf>
    <xf numFmtId="0" fontId="27" fillId="6" borderId="21" xfId="0" applyFont="1" applyFill="1" applyBorder="1" applyAlignment="1">
      <alignment horizontal="left"/>
    </xf>
    <xf numFmtId="4" fontId="28" fillId="2" borderId="21" xfId="0" applyNumberFormat="1" applyFont="1" applyFill="1" applyBorder="1" applyAlignment="1">
      <alignment horizontal="left" vertical="center"/>
    </xf>
    <xf numFmtId="173" fontId="28" fillId="2" borderId="21" xfId="0" applyNumberFormat="1" applyFont="1" applyFill="1" applyBorder="1" applyAlignment="1">
      <alignment horizontal="left"/>
    </xf>
    <xf numFmtId="173" fontId="28" fillId="2" borderId="21" xfId="0" applyNumberFormat="1" applyFont="1" applyFill="1" applyBorder="1" applyAlignment="1">
      <alignment horizontal="center"/>
    </xf>
    <xf numFmtId="0" fontId="0" fillId="2" borderId="21" xfId="0" applyFill="1" applyBorder="1" applyAlignment="1">
      <alignment horizontal="center" vertical="center"/>
    </xf>
    <xf numFmtId="174" fontId="27" fillId="12" borderId="21" xfId="0" applyNumberFormat="1" applyFont="1" applyFill="1" applyBorder="1" applyAlignment="1">
      <alignment horizontal="right" vertical="center"/>
    </xf>
    <xf numFmtId="0" fontId="59" fillId="2" borderId="0" xfId="0" applyFont="1" applyFill="1"/>
    <xf numFmtId="179" fontId="27" fillId="10" borderId="21" xfId="0" applyNumberFormat="1" applyFont="1" applyFill="1" applyBorder="1" applyAlignment="1">
      <alignment horizontal="center"/>
    </xf>
    <xf numFmtId="0" fontId="35" fillId="9" borderId="21" xfId="0" applyFont="1" applyFill="1" applyBorder="1" applyAlignment="1">
      <alignment horizontal="left" vertical="center"/>
    </xf>
    <xf numFmtId="1" fontId="33" fillId="2" borderId="26" xfId="0" applyNumberFormat="1" applyFont="1" applyFill="1" applyBorder="1" applyAlignment="1">
      <alignment horizontal="center" vertical="center" shrinkToFit="1"/>
    </xf>
    <xf numFmtId="3" fontId="33" fillId="2" borderId="65" xfId="0" applyNumberFormat="1" applyFont="1" applyFill="1" applyBorder="1" applyAlignment="1">
      <alignment horizontal="center" vertical="center" shrinkToFit="1"/>
    </xf>
    <xf numFmtId="1" fontId="33" fillId="2" borderId="68" xfId="0" applyNumberFormat="1" applyFont="1" applyFill="1" applyBorder="1" applyAlignment="1">
      <alignment horizontal="center" vertical="center" shrinkToFit="1"/>
    </xf>
    <xf numFmtId="3" fontId="33" fillId="2" borderId="26" xfId="0" applyNumberFormat="1" applyFont="1" applyFill="1" applyBorder="1" applyAlignment="1">
      <alignment horizontal="center" vertical="center" shrinkToFit="1"/>
    </xf>
    <xf numFmtId="3" fontId="33" fillId="2" borderId="68" xfId="0" applyNumberFormat="1" applyFont="1" applyFill="1" applyBorder="1" applyAlignment="1">
      <alignment horizontal="center" vertical="center" shrinkToFit="1"/>
    </xf>
    <xf numFmtId="3" fontId="33" fillId="2" borderId="69" xfId="0" applyNumberFormat="1" applyFont="1" applyFill="1" applyBorder="1" applyAlignment="1">
      <alignment horizontal="center" vertical="center" shrinkToFit="1"/>
    </xf>
    <xf numFmtId="1" fontId="33" fillId="2" borderId="69" xfId="0" applyNumberFormat="1" applyFont="1" applyFill="1" applyBorder="1" applyAlignment="1">
      <alignment horizontal="center" vertical="center" shrinkToFit="1"/>
    </xf>
    <xf numFmtId="1" fontId="33" fillId="2" borderId="70" xfId="0" applyNumberFormat="1" applyFont="1" applyFill="1" applyBorder="1" applyAlignment="1">
      <alignment horizontal="center" vertical="center" shrinkToFit="1"/>
    </xf>
    <xf numFmtId="0" fontId="28" fillId="2" borderId="34" xfId="0" applyFont="1" applyFill="1" applyBorder="1" applyAlignment="1">
      <alignment vertical="center"/>
    </xf>
    <xf numFmtId="3" fontId="33" fillId="2" borderId="66" xfId="0" applyNumberFormat="1" applyFont="1" applyFill="1" applyBorder="1" applyAlignment="1">
      <alignment horizontal="center" vertical="center" shrinkToFit="1"/>
    </xf>
    <xf numFmtId="3" fontId="33" fillId="2" borderId="67" xfId="0" applyNumberFormat="1" applyFont="1" applyFill="1" applyBorder="1" applyAlignment="1">
      <alignment horizontal="center" vertical="center" shrinkToFit="1"/>
    </xf>
    <xf numFmtId="0" fontId="28" fillId="2" borderId="21" xfId="0" applyFont="1" applyFill="1" applyBorder="1" applyAlignment="1">
      <alignment vertical="center"/>
    </xf>
    <xf numFmtId="3" fontId="33" fillId="2" borderId="74" xfId="0" applyNumberFormat="1" applyFont="1" applyFill="1" applyBorder="1" applyAlignment="1">
      <alignment horizontal="center" vertical="center" shrinkToFit="1"/>
    </xf>
    <xf numFmtId="1" fontId="33" fillId="2" borderId="74" xfId="0" applyNumberFormat="1" applyFont="1" applyFill="1" applyBorder="1" applyAlignment="1">
      <alignment horizontal="center" vertical="center" shrinkToFit="1"/>
    </xf>
    <xf numFmtId="0" fontId="28" fillId="2" borderId="21" xfId="0" applyFont="1" applyFill="1" applyBorder="1" applyAlignment="1">
      <alignment horizontal="left" vertical="center" wrapText="1"/>
    </xf>
    <xf numFmtId="3" fontId="33" fillId="2" borderId="75" xfId="0" applyNumberFormat="1" applyFont="1" applyFill="1" applyBorder="1" applyAlignment="1">
      <alignment horizontal="center" vertical="center" shrinkToFit="1"/>
    </xf>
    <xf numFmtId="0" fontId="28" fillId="2" borderId="26" xfId="0" applyFont="1" applyFill="1" applyBorder="1" applyAlignment="1">
      <alignment vertical="center"/>
    </xf>
    <xf numFmtId="1" fontId="33" fillId="2" borderId="21" xfId="0" applyNumberFormat="1" applyFont="1" applyFill="1" applyBorder="1" applyAlignment="1">
      <alignment horizontal="center" vertical="center" shrinkToFit="1"/>
    </xf>
    <xf numFmtId="3" fontId="33" fillId="2" borderId="21" xfId="0" applyNumberFormat="1" applyFont="1" applyFill="1" applyBorder="1" applyAlignment="1">
      <alignment horizontal="center" vertical="center" shrinkToFit="1"/>
    </xf>
    <xf numFmtId="0" fontId="5" fillId="6" borderId="71" xfId="0" applyFont="1" applyFill="1" applyBorder="1" applyAlignment="1">
      <alignment horizontal="left" vertical="center" wrapText="1"/>
    </xf>
    <xf numFmtId="0" fontId="5" fillId="6" borderId="72" xfId="0" applyFont="1" applyFill="1" applyBorder="1" applyAlignment="1">
      <alignment horizontal="center" vertical="center"/>
    </xf>
    <xf numFmtId="0" fontId="5" fillId="6" borderId="73" xfId="0" applyFont="1" applyFill="1" applyBorder="1" applyAlignment="1">
      <alignment horizontal="center" vertical="center"/>
    </xf>
    <xf numFmtId="0" fontId="5" fillId="6" borderId="21" xfId="0" applyFont="1" applyFill="1" applyBorder="1" applyAlignment="1">
      <alignment vertical="center"/>
    </xf>
    <xf numFmtId="0" fontId="5" fillId="6" borderId="21" xfId="0" applyFont="1" applyFill="1" applyBorder="1" applyAlignment="1">
      <alignment horizontal="center" vertical="center"/>
    </xf>
    <xf numFmtId="0" fontId="60" fillId="6" borderId="22" xfId="7" applyFont="1" applyFill="1" applyBorder="1" applyAlignment="1">
      <alignment vertical="center"/>
    </xf>
    <xf numFmtId="0" fontId="60" fillId="6" borderId="23" xfId="7" applyFont="1" applyFill="1" applyBorder="1" applyAlignment="1">
      <alignment vertical="center"/>
    </xf>
    <xf numFmtId="0" fontId="27" fillId="2" borderId="0" xfId="0" applyFont="1" applyFill="1" applyAlignment="1">
      <alignment vertical="center"/>
    </xf>
    <xf numFmtId="9" fontId="0" fillId="2" borderId="0" xfId="6" applyFont="1" applyFill="1" applyAlignment="1">
      <alignment horizontal="center" vertical="center"/>
    </xf>
    <xf numFmtId="0" fontId="60" fillId="6" borderId="21" xfId="7" applyFont="1" applyFill="1" applyBorder="1" applyAlignment="1">
      <alignment vertical="center"/>
    </xf>
    <xf numFmtId="0" fontId="60" fillId="6" borderId="21" xfId="7" applyFont="1" applyFill="1" applyBorder="1" applyAlignment="1">
      <alignment horizontal="left" vertical="center"/>
    </xf>
    <xf numFmtId="0" fontId="27" fillId="2" borderId="0" xfId="0" applyFont="1" applyFill="1" applyAlignment="1">
      <alignment horizontal="left"/>
    </xf>
    <xf numFmtId="0" fontId="0" fillId="2" borderId="21" xfId="0" applyFill="1" applyBorder="1" applyAlignment="1">
      <alignment horizontal="left"/>
    </xf>
    <xf numFmtId="9" fontId="0" fillId="2" borderId="21" xfId="6" applyFont="1" applyFill="1" applyBorder="1" applyAlignment="1">
      <alignment horizontal="center" vertical="center"/>
    </xf>
    <xf numFmtId="173" fontId="0" fillId="2" borderId="21" xfId="0" applyNumberFormat="1" applyFill="1" applyBorder="1" applyAlignment="1">
      <alignment horizontal="center" vertical="center"/>
    </xf>
    <xf numFmtId="0" fontId="27" fillId="6" borderId="21" xfId="0" applyFont="1" applyFill="1" applyBorder="1" applyAlignment="1">
      <alignment horizontal="left" vertical="center"/>
    </xf>
    <xf numFmtId="9" fontId="27" fillId="6" borderId="21" xfId="6" applyFont="1" applyFill="1" applyBorder="1" applyAlignment="1">
      <alignment horizontal="center" vertical="center" wrapText="1"/>
    </xf>
    <xf numFmtId="0" fontId="0" fillId="2" borderId="0" xfId="0" applyFill="1" applyAlignment="1">
      <alignment horizontal="left" vertical="center"/>
    </xf>
    <xf numFmtId="9" fontId="0" fillId="2" borderId="0" xfId="6" applyFont="1" applyFill="1" applyAlignment="1">
      <alignment horizontal="left"/>
    </xf>
    <xf numFmtId="2" fontId="33" fillId="2" borderId="25" xfId="0" applyNumberFormat="1" applyFont="1" applyFill="1" applyBorder="1" applyAlignment="1">
      <alignment horizontal="center" vertical="center" shrinkToFit="1"/>
    </xf>
    <xf numFmtId="0" fontId="0" fillId="2" borderId="26" xfId="0" applyFill="1" applyBorder="1" applyAlignment="1">
      <alignment vertical="center"/>
    </xf>
    <xf numFmtId="0" fontId="5" fillId="6" borderId="26" xfId="0" applyFont="1" applyFill="1" applyBorder="1" applyAlignment="1">
      <alignment vertical="center"/>
    </xf>
    <xf numFmtId="0" fontId="27" fillId="6" borderId="25" xfId="0" applyFont="1" applyFill="1" applyBorder="1" applyAlignment="1">
      <alignment horizontal="center" vertical="center"/>
    </xf>
    <xf numFmtId="2" fontId="0" fillId="2" borderId="21" xfId="0" applyNumberFormat="1" applyFill="1" applyBorder="1" applyAlignment="1">
      <alignment horizontal="left"/>
    </xf>
    <xf numFmtId="9" fontId="0" fillId="2" borderId="21" xfId="6" applyFont="1" applyFill="1" applyBorder="1" applyAlignment="1">
      <alignment horizontal="left"/>
    </xf>
    <xf numFmtId="182" fontId="0" fillId="2" borderId="21" xfId="0" applyNumberFormat="1" applyFill="1" applyBorder="1" applyAlignment="1">
      <alignment horizontal="left"/>
    </xf>
    <xf numFmtId="3" fontId="0" fillId="2" borderId="21" xfId="0" applyNumberFormat="1" applyFill="1" applyBorder="1" applyAlignment="1">
      <alignment horizontal="left"/>
    </xf>
    <xf numFmtId="0" fontId="5" fillId="2" borderId="0" xfId="7" applyFont="1" applyFill="1" applyAlignment="1">
      <alignment horizontal="center" vertical="center" wrapText="1"/>
    </xf>
    <xf numFmtId="175" fontId="27" fillId="10" borderId="76" xfId="6" applyNumberFormat="1" applyFont="1" applyFill="1" applyBorder="1" applyAlignment="1">
      <alignment horizontal="center" vertical="center"/>
    </xf>
    <xf numFmtId="183" fontId="0" fillId="2" borderId="21" xfId="0" applyNumberFormat="1" applyFill="1" applyBorder="1" applyAlignment="1">
      <alignment horizontal="center"/>
    </xf>
    <xf numFmtId="0" fontId="0" fillId="13" borderId="21" xfId="0" applyFill="1" applyBorder="1"/>
    <xf numFmtId="173" fontId="0" fillId="2" borderId="21" xfId="0" applyNumberFormat="1" applyFill="1" applyBorder="1" applyAlignment="1">
      <alignment horizontal="left"/>
    </xf>
    <xf numFmtId="181" fontId="0" fillId="2" borderId="21" xfId="0" applyNumberFormat="1" applyFill="1" applyBorder="1" applyAlignment="1">
      <alignment horizontal="left"/>
    </xf>
    <xf numFmtId="180" fontId="0" fillId="2" borderId="21" xfId="0" applyNumberFormat="1" applyFill="1" applyBorder="1" applyAlignment="1">
      <alignment horizontal="left"/>
    </xf>
    <xf numFmtId="174" fontId="0" fillId="2" borderId="34" xfId="0" applyNumberFormat="1" applyFill="1" applyBorder="1" applyAlignment="1">
      <alignment horizontal="center"/>
    </xf>
    <xf numFmtId="184" fontId="0" fillId="2" borderId="61" xfId="0" applyNumberFormat="1" applyFill="1" applyBorder="1" applyAlignment="1">
      <alignment horizontal="center"/>
    </xf>
    <xf numFmtId="184" fontId="0" fillId="2" borderId="34" xfId="0" applyNumberFormat="1" applyFill="1" applyBorder="1" applyAlignment="1">
      <alignment horizontal="center"/>
    </xf>
    <xf numFmtId="184" fontId="0" fillId="2" borderId="78" xfId="0" applyNumberFormat="1" applyFill="1" applyBorder="1" applyAlignment="1">
      <alignment horizontal="center"/>
    </xf>
    <xf numFmtId="185" fontId="0" fillId="2" borderId="21" xfId="0" applyNumberFormat="1" applyFill="1" applyBorder="1" applyAlignment="1">
      <alignment horizontal="center"/>
    </xf>
    <xf numFmtId="171" fontId="0" fillId="2" borderId="61" xfId="6" applyNumberFormat="1" applyFont="1" applyFill="1" applyBorder="1" applyAlignment="1">
      <alignment horizontal="center"/>
    </xf>
    <xf numFmtId="171" fontId="0" fillId="2" borderId="34" xfId="6" applyNumberFormat="1" applyFont="1" applyFill="1" applyBorder="1" applyAlignment="1">
      <alignment horizontal="center"/>
    </xf>
    <xf numFmtId="171" fontId="0" fillId="2" borderId="21" xfId="6" applyNumberFormat="1" applyFont="1" applyFill="1" applyBorder="1" applyAlignment="1">
      <alignment horizontal="center"/>
    </xf>
    <xf numFmtId="171" fontId="0" fillId="2" borderId="63" xfId="6" applyNumberFormat="1" applyFont="1" applyFill="1" applyBorder="1" applyAlignment="1">
      <alignment horizontal="center"/>
    </xf>
    <xf numFmtId="0" fontId="27" fillId="6" borderId="77" xfId="0" applyFont="1" applyFill="1" applyBorder="1" applyAlignment="1">
      <alignment horizontal="center"/>
    </xf>
    <xf numFmtId="171" fontId="0" fillId="6" borderId="62" xfId="0" applyNumberFormat="1" applyFill="1" applyBorder="1" applyAlignment="1">
      <alignment horizontal="center"/>
    </xf>
    <xf numFmtId="171" fontId="0" fillId="6" borderId="20" xfId="0" applyNumberFormat="1" applyFill="1" applyBorder="1" applyAlignment="1">
      <alignment horizontal="center"/>
    </xf>
    <xf numFmtId="171" fontId="0" fillId="6" borderId="64" xfId="0" applyNumberFormat="1" applyFill="1" applyBorder="1" applyAlignment="1">
      <alignment horizontal="center"/>
    </xf>
    <xf numFmtId="167" fontId="61" fillId="2" borderId="13" xfId="1" applyNumberFormat="1" applyFont="1" applyFill="1" applyBorder="1" applyAlignment="1" applyProtection="1">
      <alignment horizontal="left"/>
      <protection locked="0"/>
    </xf>
    <xf numFmtId="0" fontId="28" fillId="2" borderId="21" xfId="0" applyFont="1" applyFill="1" applyBorder="1" applyAlignment="1">
      <alignment horizontal="center" vertical="center"/>
    </xf>
    <xf numFmtId="0" fontId="35" fillId="9" borderId="22" xfId="0" applyFont="1" applyFill="1" applyBorder="1" applyAlignment="1">
      <alignment horizontal="left" vertical="center" wrapText="1"/>
    </xf>
    <xf numFmtId="0" fontId="0" fillId="2" borderId="21" xfId="0" applyFill="1" applyBorder="1" applyAlignment="1">
      <alignment vertical="center"/>
    </xf>
    <xf numFmtId="0" fontId="0" fillId="10" borderId="21" xfId="0" applyFill="1" applyBorder="1" applyAlignment="1">
      <alignment horizontal="center" vertical="center"/>
    </xf>
    <xf numFmtId="3" fontId="0" fillId="2" borderId="21" xfId="0" applyNumberFormat="1" applyFill="1" applyBorder="1" applyAlignment="1">
      <alignment horizontal="center" vertical="center"/>
    </xf>
    <xf numFmtId="0" fontId="0" fillId="6" borderId="21" xfId="0" applyFill="1" applyBorder="1" applyAlignment="1">
      <alignment horizontal="center"/>
    </xf>
    <xf numFmtId="173" fontId="28" fillId="2" borderId="21" xfId="0" applyNumberFormat="1" applyFont="1" applyFill="1" applyBorder="1" applyAlignment="1">
      <alignment horizontal="center" vertical="center"/>
    </xf>
    <xf numFmtId="3" fontId="27" fillId="6" borderId="21" xfId="0" applyNumberFormat="1" applyFont="1" applyFill="1" applyBorder="1" applyAlignment="1">
      <alignment horizontal="center" vertical="center"/>
    </xf>
    <xf numFmtId="172" fontId="28" fillId="2" borderId="21" xfId="0" applyNumberFormat="1" applyFont="1" applyFill="1" applyBorder="1" applyAlignment="1">
      <alignment horizontal="center" vertical="center"/>
    </xf>
    <xf numFmtId="175" fontId="27" fillId="2" borderId="76" xfId="6" applyNumberFormat="1" applyFont="1" applyFill="1" applyBorder="1" applyAlignment="1">
      <alignment horizontal="center" vertical="center"/>
    </xf>
    <xf numFmtId="175" fontId="27" fillId="10" borderId="79" xfId="6" applyNumberFormat="1" applyFont="1" applyFill="1" applyBorder="1" applyAlignment="1">
      <alignment horizontal="center" vertical="center"/>
    </xf>
    <xf numFmtId="175" fontId="27" fillId="2" borderId="58" xfId="6" applyNumberFormat="1" applyFont="1" applyFill="1" applyBorder="1" applyAlignment="1">
      <alignment horizontal="center" vertical="center"/>
    </xf>
    <xf numFmtId="3" fontId="27" fillId="10" borderId="17" xfId="0" applyNumberFormat="1" applyFont="1" applyFill="1" applyBorder="1" applyAlignment="1">
      <alignment horizontal="right" vertical="center"/>
    </xf>
    <xf numFmtId="170" fontId="27" fillId="10" borderId="17" xfId="0" applyNumberFormat="1" applyFont="1" applyFill="1" applyBorder="1" applyAlignment="1">
      <alignment horizontal="right" vertical="center"/>
    </xf>
    <xf numFmtId="3" fontId="27" fillId="10" borderId="57" xfId="0" applyNumberFormat="1" applyFont="1" applyFill="1" applyBorder="1" applyAlignment="1">
      <alignment horizontal="right" vertical="center"/>
    </xf>
    <xf numFmtId="170" fontId="0" fillId="10" borderId="21" xfId="0" applyNumberFormat="1" applyFill="1" applyBorder="1" applyAlignment="1">
      <alignment horizontal="center" vertical="center"/>
    </xf>
    <xf numFmtId="170" fontId="27" fillId="10" borderId="21" xfId="0" applyNumberFormat="1" applyFont="1" applyFill="1" applyBorder="1" applyAlignment="1">
      <alignment horizontal="center" vertical="center"/>
    </xf>
    <xf numFmtId="171" fontId="0" fillId="2" borderId="21" xfId="0" applyNumberFormat="1" applyFill="1" applyBorder="1" applyAlignment="1">
      <alignment horizontal="center"/>
    </xf>
    <xf numFmtId="188" fontId="0" fillId="2" borderId="61" xfId="0" applyNumberFormat="1" applyFill="1" applyBorder="1" applyAlignment="1">
      <alignment horizontal="center"/>
    </xf>
    <xf numFmtId="188" fontId="0" fillId="2" borderId="21" xfId="0" applyNumberFormat="1" applyFill="1" applyBorder="1" applyAlignment="1">
      <alignment horizontal="center"/>
    </xf>
    <xf numFmtId="188" fontId="0" fillId="2" borderId="63" xfId="0" applyNumberFormat="1" applyFill="1" applyBorder="1" applyAlignment="1">
      <alignment horizontal="center"/>
    </xf>
    <xf numFmtId="171" fontId="0" fillId="2" borderId="61" xfId="0" applyNumberFormat="1" applyFill="1" applyBorder="1" applyAlignment="1">
      <alignment horizontal="center"/>
    </xf>
    <xf numFmtId="171" fontId="0" fillId="2" borderId="63" xfId="0" applyNumberFormat="1" applyFill="1" applyBorder="1" applyAlignment="1">
      <alignment horizontal="center"/>
    </xf>
    <xf numFmtId="179" fontId="27" fillId="10" borderId="17" xfId="0" applyNumberFormat="1" applyFont="1" applyFill="1" applyBorder="1" applyAlignment="1">
      <alignment horizontal="right" vertical="center"/>
    </xf>
    <xf numFmtId="0" fontId="35" fillId="9" borderId="22" xfId="0" applyFont="1" applyFill="1" applyBorder="1" applyAlignment="1">
      <alignment horizontal="center"/>
    </xf>
    <xf numFmtId="0" fontId="28" fillId="2" borderId="44" xfId="0" applyFont="1" applyFill="1" applyBorder="1"/>
    <xf numFmtId="189" fontId="0" fillId="2" borderId="61" xfId="0" applyNumberFormat="1" applyFill="1" applyBorder="1" applyAlignment="1">
      <alignment horizontal="center"/>
    </xf>
    <xf numFmtId="189" fontId="0" fillId="2" borderId="21" xfId="0" applyNumberFormat="1" applyFill="1" applyBorder="1" applyAlignment="1">
      <alignment horizontal="center"/>
    </xf>
    <xf numFmtId="189" fontId="0" fillId="2" borderId="63" xfId="0" applyNumberFormat="1" applyFill="1" applyBorder="1" applyAlignment="1">
      <alignment horizontal="center"/>
    </xf>
    <xf numFmtId="171" fontId="0" fillId="6" borderId="80" xfId="0" applyNumberFormat="1" applyFill="1" applyBorder="1" applyAlignment="1">
      <alignment horizontal="center"/>
    </xf>
    <xf numFmtId="171" fontId="0" fillId="6" borderId="81" xfId="0" applyNumberFormat="1" applyFill="1" applyBorder="1" applyAlignment="1">
      <alignment horizontal="center"/>
    </xf>
    <xf numFmtId="171" fontId="0" fillId="6" borderId="82" xfId="0" applyNumberFormat="1" applyFill="1" applyBorder="1" applyAlignment="1">
      <alignment horizontal="center"/>
    </xf>
    <xf numFmtId="0" fontId="0" fillId="14" borderId="21" xfId="0" applyFill="1" applyBorder="1"/>
    <xf numFmtId="0" fontId="0" fillId="2" borderId="34" xfId="0" applyFill="1" applyBorder="1" applyAlignment="1">
      <alignment vertical="center"/>
    </xf>
    <xf numFmtId="174" fontId="28" fillId="12" borderId="21" xfId="0" applyNumberFormat="1" applyFont="1" applyFill="1" applyBorder="1" applyAlignment="1">
      <alignment horizontal="right" vertical="center"/>
    </xf>
    <xf numFmtId="171" fontId="0" fillId="2" borderId="78" xfId="6" applyNumberFormat="1" applyFont="1" applyFill="1" applyBorder="1" applyAlignment="1">
      <alignment horizontal="center"/>
    </xf>
    <xf numFmtId="3" fontId="0" fillId="2" borderId="61" xfId="0" applyNumberFormat="1" applyFill="1" applyBorder="1" applyAlignment="1">
      <alignment horizontal="center"/>
    </xf>
    <xf numFmtId="3" fontId="0" fillId="2" borderId="63" xfId="0" applyNumberFormat="1" applyFill="1" applyBorder="1" applyAlignment="1">
      <alignment horizontal="center"/>
    </xf>
    <xf numFmtId="0" fontId="27" fillId="6" borderId="50" xfId="0" applyFont="1" applyFill="1" applyBorder="1" applyAlignment="1">
      <alignment vertical="center"/>
    </xf>
    <xf numFmtId="0" fontId="27" fillId="6" borderId="60" xfId="0" applyFont="1" applyFill="1" applyBorder="1" applyAlignment="1">
      <alignment horizontal="center" vertical="center"/>
    </xf>
    <xf numFmtId="0" fontId="27" fillId="6" borderId="60" xfId="0" applyFont="1" applyFill="1" applyBorder="1" applyAlignment="1">
      <alignment horizontal="center" vertical="center" wrapText="1"/>
    </xf>
    <xf numFmtId="0" fontId="27" fillId="6" borderId="77" xfId="0" applyFont="1" applyFill="1" applyBorder="1" applyAlignment="1">
      <alignment horizontal="center" vertical="center" wrapText="1"/>
    </xf>
    <xf numFmtId="0" fontId="27" fillId="6" borderId="53" xfId="0" applyFont="1" applyFill="1" applyBorder="1" applyAlignment="1">
      <alignment horizontal="center" vertical="center" wrapText="1"/>
    </xf>
    <xf numFmtId="0" fontId="27" fillId="6" borderId="60" xfId="0" applyFont="1" applyFill="1" applyBorder="1" applyAlignment="1">
      <alignment vertical="center" wrapText="1"/>
    </xf>
    <xf numFmtId="0" fontId="5" fillId="6" borderId="21" xfId="0" applyFont="1" applyFill="1" applyBorder="1" applyAlignment="1">
      <alignment horizontal="left"/>
    </xf>
    <xf numFmtId="0" fontId="28" fillId="2" borderId="21" xfId="0" applyFont="1" applyFill="1" applyBorder="1" applyAlignment="1">
      <alignment horizontal="left"/>
    </xf>
    <xf numFmtId="0" fontId="29" fillId="2" borderId="0" xfId="0" applyFont="1" applyFill="1"/>
    <xf numFmtId="0" fontId="27" fillId="6" borderId="23" xfId="0" applyFont="1" applyFill="1" applyBorder="1" applyAlignment="1">
      <alignment horizontal="center"/>
    </xf>
    <xf numFmtId="0" fontId="27" fillId="8" borderId="17" xfId="0" applyFont="1" applyFill="1" applyBorder="1" applyAlignment="1">
      <alignment horizontal="center"/>
    </xf>
    <xf numFmtId="0" fontId="27" fillId="8" borderId="23" xfId="0" applyFont="1" applyFill="1" applyBorder="1" applyAlignment="1">
      <alignment horizontal="center"/>
    </xf>
    <xf numFmtId="0" fontId="26" fillId="2" borderId="21" xfId="0" applyFont="1" applyFill="1" applyBorder="1" applyAlignment="1">
      <alignment horizontal="left"/>
    </xf>
    <xf numFmtId="0" fontId="27" fillId="15" borderId="21" xfId="0" applyFont="1" applyFill="1" applyBorder="1"/>
    <xf numFmtId="0" fontId="27" fillId="15" borderId="21" xfId="0" applyFont="1" applyFill="1" applyBorder="1" applyAlignment="1">
      <alignment horizontal="left"/>
    </xf>
    <xf numFmtId="0" fontId="27" fillId="8" borderId="17" xfId="0" applyFont="1" applyFill="1" applyBorder="1" applyAlignment="1">
      <alignment horizontal="left"/>
    </xf>
    <xf numFmtId="0" fontId="27" fillId="8" borderId="23" xfId="0" applyFont="1" applyFill="1" applyBorder="1" applyAlignment="1">
      <alignment horizontal="left"/>
    </xf>
    <xf numFmtId="0" fontId="0" fillId="6" borderId="22" xfId="0" applyFill="1" applyBorder="1" applyAlignment="1">
      <alignment horizontal="center"/>
    </xf>
    <xf numFmtId="2" fontId="0" fillId="6" borderId="21" xfId="0" applyNumberFormat="1" applyFill="1" applyBorder="1" applyAlignment="1">
      <alignment horizontal="center"/>
    </xf>
    <xf numFmtId="0" fontId="0" fillId="2" borderId="0" xfId="0" quotePrefix="1" applyFill="1" applyAlignment="1">
      <alignment horizontal="center"/>
    </xf>
    <xf numFmtId="2" fontId="28" fillId="6" borderId="21" xfId="0" applyNumberFormat="1" applyFont="1" applyFill="1" applyBorder="1" applyAlignment="1">
      <alignment horizontal="center"/>
    </xf>
    <xf numFmtId="0" fontId="0" fillId="2" borderId="0" xfId="0" quotePrefix="1" applyFill="1" applyAlignment="1">
      <alignment horizontal="left"/>
    </xf>
    <xf numFmtId="0" fontId="27" fillId="6" borderId="34" xfId="0" applyFont="1" applyFill="1" applyBorder="1" applyAlignment="1">
      <alignment horizontal="center" vertical="center"/>
    </xf>
    <xf numFmtId="2" fontId="0" fillId="10" borderId="21" xfId="0" applyNumberFormat="1" applyFill="1" applyBorder="1" applyAlignment="1">
      <alignment horizontal="center"/>
    </xf>
    <xf numFmtId="0" fontId="28" fillId="10" borderId="21" xfId="0" applyFont="1" applyFill="1" applyBorder="1" applyAlignment="1">
      <alignment horizontal="center" wrapText="1"/>
    </xf>
    <xf numFmtId="14" fontId="28" fillId="2" borderId="21" xfId="0" applyNumberFormat="1" applyFont="1" applyFill="1" applyBorder="1" applyProtection="1">
      <protection locked="0"/>
    </xf>
    <xf numFmtId="0" fontId="52" fillId="2" borderId="17" xfId="0" applyFont="1" applyFill="1" applyBorder="1" applyAlignment="1" applyProtection="1">
      <alignment horizontal="left"/>
      <protection locked="0"/>
    </xf>
    <xf numFmtId="0" fontId="66" fillId="2" borderId="21" xfId="0" applyFont="1" applyFill="1" applyBorder="1" applyAlignment="1" applyProtection="1">
      <alignment horizontal="center" vertical="center"/>
      <protection locked="0"/>
    </xf>
    <xf numFmtId="1" fontId="5" fillId="2" borderId="13" xfId="4" applyNumberFormat="1" applyFont="1" applyFill="1" applyBorder="1" applyAlignment="1" applyProtection="1">
      <alignment horizontal="center"/>
      <protection locked="0"/>
    </xf>
    <xf numFmtId="0" fontId="65" fillId="9" borderId="22" xfId="0" applyFont="1" applyFill="1" applyBorder="1"/>
    <xf numFmtId="0" fontId="35" fillId="9" borderId="23" xfId="0" applyFont="1" applyFill="1" applyBorder="1" applyAlignment="1">
      <alignment horizontal="right"/>
    </xf>
    <xf numFmtId="0" fontId="0" fillId="6" borderId="21" xfId="0" applyFill="1" applyBorder="1" applyAlignment="1">
      <alignment horizontal="left"/>
    </xf>
    <xf numFmtId="0" fontId="28" fillId="6" borderId="21" xfId="0" applyFont="1" applyFill="1" applyBorder="1" applyAlignment="1">
      <alignment horizontal="left"/>
    </xf>
    <xf numFmtId="0" fontId="30" fillId="2" borderId="0" xfId="0" applyFont="1" applyFill="1" applyAlignment="1">
      <alignment vertical="top"/>
    </xf>
    <xf numFmtId="0" fontId="26" fillId="2" borderId="0" xfId="0" applyFont="1" applyFill="1"/>
    <xf numFmtId="3" fontId="28" fillId="2" borderId="21" xfId="0" applyNumberFormat="1" applyFont="1" applyFill="1" applyBorder="1" applyAlignment="1">
      <alignment horizontal="center"/>
    </xf>
    <xf numFmtId="1" fontId="28" fillId="6" borderId="21" xfId="0" applyNumberFormat="1" applyFont="1" applyFill="1" applyBorder="1"/>
    <xf numFmtId="173" fontId="28" fillId="6" borderId="21" xfId="0" applyNumberFormat="1" applyFont="1" applyFill="1" applyBorder="1" applyAlignment="1">
      <alignment horizontal="right"/>
    </xf>
    <xf numFmtId="0" fontId="10" fillId="2" borderId="14" xfId="2" quotePrefix="1" applyFont="1" applyFill="1" applyBorder="1" applyAlignment="1">
      <alignment vertical="center" shrinkToFit="1"/>
    </xf>
    <xf numFmtId="0" fontId="10" fillId="2" borderId="15" xfId="2" quotePrefix="1" applyFont="1" applyFill="1" applyBorder="1" applyAlignment="1">
      <alignment vertical="center" shrinkToFit="1"/>
    </xf>
    <xf numFmtId="0" fontId="6" fillId="2" borderId="10" xfId="1" applyFont="1" applyFill="1" applyBorder="1"/>
    <xf numFmtId="0" fontId="6" fillId="2" borderId="13" xfId="1" applyFont="1" applyFill="1" applyBorder="1"/>
    <xf numFmtId="0" fontId="28" fillId="2" borderId="21" xfId="0" applyFont="1" applyFill="1" applyBorder="1" applyAlignment="1">
      <alignment horizontal="center"/>
    </xf>
    <xf numFmtId="9" fontId="28" fillId="2" borderId="21" xfId="6" applyFont="1" applyFill="1" applyBorder="1" applyAlignment="1">
      <alignment horizontal="center" vertical="center"/>
    </xf>
    <xf numFmtId="170" fontId="2" fillId="2" borderId="10" xfId="1" applyNumberFormat="1" applyFill="1" applyBorder="1" applyProtection="1">
      <protection locked="0"/>
    </xf>
    <xf numFmtId="177" fontId="15" fillId="2" borderId="10" xfId="4" applyNumberFormat="1" applyFont="1" applyFill="1" applyBorder="1" applyAlignment="1" applyProtection="1">
      <alignment vertical="center"/>
      <protection locked="0"/>
    </xf>
    <xf numFmtId="177" fontId="15" fillId="2" borderId="13" xfId="4" applyNumberFormat="1" applyFont="1" applyFill="1" applyBorder="1" applyAlignment="1" applyProtection="1">
      <alignment vertical="center"/>
      <protection locked="0"/>
    </xf>
    <xf numFmtId="0" fontId="28" fillId="2" borderId="0" xfId="0" applyFont="1" applyFill="1" applyAlignment="1">
      <alignment horizontal="center"/>
    </xf>
    <xf numFmtId="170" fontId="2" fillId="2" borderId="12" xfId="1" applyNumberFormat="1" applyFill="1" applyBorder="1" applyAlignment="1" applyProtection="1">
      <alignment horizontal="center"/>
      <protection locked="0"/>
    </xf>
    <xf numFmtId="0" fontId="28" fillId="2" borderId="0" xfId="0" applyFont="1" applyFill="1" applyAlignment="1">
      <alignment horizontal="center" vertical="center"/>
    </xf>
    <xf numFmtId="9" fontId="0" fillId="2" borderId="14" xfId="6" applyFont="1" applyFill="1" applyBorder="1" applyAlignment="1">
      <alignment horizontal="center"/>
    </xf>
    <xf numFmtId="0" fontId="27" fillId="6" borderId="21" xfId="0" applyFont="1" applyFill="1" applyBorder="1" applyAlignment="1">
      <alignment vertical="center" wrapText="1"/>
    </xf>
    <xf numFmtId="9" fontId="0" fillId="2" borderId="0" xfId="6" applyFont="1" applyFill="1" applyBorder="1" applyAlignment="1">
      <alignment horizontal="center"/>
    </xf>
    <xf numFmtId="9" fontId="0" fillId="2" borderId="10" xfId="6" applyFont="1" applyFill="1" applyBorder="1" applyAlignment="1">
      <alignment horizontal="center"/>
    </xf>
    <xf numFmtId="172" fontId="28" fillId="2" borderId="25" xfId="7" applyNumberFormat="1" applyFont="1" applyFill="1" applyBorder="1" applyAlignment="1">
      <alignment horizontal="center" vertical="center" wrapText="1"/>
    </xf>
    <xf numFmtId="172" fontId="28" fillId="2" borderId="24" xfId="7" applyNumberFormat="1" applyFont="1" applyFill="1" applyBorder="1" applyAlignment="1">
      <alignment horizontal="center" vertical="center" wrapText="1"/>
    </xf>
    <xf numFmtId="172" fontId="28" fillId="2" borderId="21" xfId="7" applyNumberFormat="1" applyFont="1" applyFill="1" applyBorder="1" applyAlignment="1">
      <alignment horizontal="center" vertical="center" wrapText="1"/>
    </xf>
    <xf numFmtId="172" fontId="33" fillId="2" borderId="24" xfId="7" applyNumberFormat="1" applyFont="1" applyFill="1" applyBorder="1" applyAlignment="1">
      <alignment horizontal="center" vertical="center" wrapText="1"/>
    </xf>
    <xf numFmtId="172" fontId="28" fillId="2" borderId="21" xfId="7" applyNumberFormat="1" applyFont="1" applyFill="1" applyBorder="1" applyAlignment="1">
      <alignment horizontal="center" vertical="center"/>
    </xf>
    <xf numFmtId="172" fontId="28" fillId="2" borderId="27" xfId="7" applyNumberFormat="1" applyFont="1" applyFill="1" applyBorder="1" applyAlignment="1">
      <alignment horizontal="center" vertical="center" wrapText="1"/>
    </xf>
    <xf numFmtId="0" fontId="26" fillId="2" borderId="0" xfId="0" applyFont="1" applyFill="1" applyAlignment="1">
      <alignment horizontal="center"/>
    </xf>
    <xf numFmtId="0" fontId="28" fillId="2" borderId="14" xfId="0" applyFont="1" applyFill="1" applyBorder="1" applyAlignment="1">
      <alignment horizontal="center"/>
    </xf>
    <xf numFmtId="3" fontId="28" fillId="2" borderId="14" xfId="0" applyNumberFormat="1" applyFont="1" applyFill="1" applyBorder="1" applyAlignment="1">
      <alignment horizontal="center"/>
    </xf>
    <xf numFmtId="173" fontId="28" fillId="2" borderId="14" xfId="0" applyNumberFormat="1" applyFont="1" applyFill="1" applyBorder="1" applyAlignment="1">
      <alignment horizontal="center"/>
    </xf>
    <xf numFmtId="174" fontId="28" fillId="2" borderId="14" xfId="0" applyNumberFormat="1" applyFont="1" applyFill="1" applyBorder="1" applyAlignment="1">
      <alignment horizontal="center"/>
    </xf>
    <xf numFmtId="9" fontId="28" fillId="2" borderId="14" xfId="6" applyFont="1" applyFill="1" applyBorder="1" applyAlignment="1">
      <alignment horizontal="center"/>
    </xf>
    <xf numFmtId="171" fontId="28" fillId="2" borderId="29" xfId="0" applyNumberFormat="1" applyFont="1" applyFill="1" applyBorder="1" applyAlignment="1">
      <alignment horizontal="center"/>
    </xf>
    <xf numFmtId="0" fontId="28" fillId="2" borderId="18" xfId="0" applyFont="1" applyFill="1" applyBorder="1"/>
    <xf numFmtId="3" fontId="28" fillId="2" borderId="0" xfId="0" applyNumberFormat="1" applyFont="1" applyFill="1" applyAlignment="1">
      <alignment horizontal="center"/>
    </xf>
    <xf numFmtId="173" fontId="28" fillId="2" borderId="0" xfId="0" applyNumberFormat="1" applyFont="1" applyFill="1" applyAlignment="1">
      <alignment horizontal="center"/>
    </xf>
    <xf numFmtId="174" fontId="28" fillId="2" borderId="0" xfId="0" applyNumberFormat="1" applyFont="1" applyFill="1" applyAlignment="1">
      <alignment horizontal="center"/>
    </xf>
    <xf numFmtId="9" fontId="28" fillId="2" borderId="0" xfId="6" applyFont="1" applyFill="1" applyAlignment="1">
      <alignment horizontal="center"/>
    </xf>
    <xf numFmtId="171" fontId="28" fillId="2" borderId="19" xfId="0" applyNumberFormat="1" applyFont="1" applyFill="1" applyBorder="1" applyAlignment="1">
      <alignment horizontal="center"/>
    </xf>
    <xf numFmtId="0" fontId="28" fillId="2" borderId="10" xfId="0" applyFont="1" applyFill="1" applyBorder="1" applyAlignment="1">
      <alignment horizontal="center"/>
    </xf>
    <xf numFmtId="3" fontId="28" fillId="2" borderId="10" xfId="0" applyNumberFormat="1" applyFont="1" applyFill="1" applyBorder="1" applyAlignment="1">
      <alignment horizontal="center"/>
    </xf>
    <xf numFmtId="173" fontId="28" fillId="2" borderId="10" xfId="0" applyNumberFormat="1" applyFont="1" applyFill="1" applyBorder="1" applyAlignment="1">
      <alignment horizontal="center"/>
    </xf>
    <xf numFmtId="174" fontId="28" fillId="2" borderId="10" xfId="0" applyNumberFormat="1" applyFont="1" applyFill="1" applyBorder="1" applyAlignment="1">
      <alignment horizontal="center"/>
    </xf>
    <xf numFmtId="171" fontId="28" fillId="2" borderId="11" xfId="0" applyNumberFormat="1" applyFont="1" applyFill="1" applyBorder="1" applyAlignment="1">
      <alignment horizontal="center"/>
    </xf>
    <xf numFmtId="9" fontId="28" fillId="2" borderId="0" xfId="6" applyFont="1" applyFill="1" applyBorder="1" applyAlignment="1">
      <alignment horizontal="center"/>
    </xf>
    <xf numFmtId="172" fontId="28" fillId="2" borderId="0" xfId="0" applyNumberFormat="1" applyFont="1" applyFill="1" applyAlignment="1">
      <alignment horizontal="center"/>
    </xf>
    <xf numFmtId="172" fontId="28" fillId="2" borderId="10" xfId="0" applyNumberFormat="1" applyFont="1" applyFill="1" applyBorder="1" applyAlignment="1">
      <alignment horizontal="center"/>
    </xf>
    <xf numFmtId="9" fontId="28" fillId="2" borderId="10" xfId="6" applyFont="1" applyFill="1" applyBorder="1" applyAlignment="1">
      <alignment horizontal="center"/>
    </xf>
    <xf numFmtId="0" fontId="5" fillId="6" borderId="21" xfId="0" applyFont="1" applyFill="1" applyBorder="1" applyAlignment="1">
      <alignment horizontal="center" vertical="center" wrapText="1"/>
    </xf>
    <xf numFmtId="0" fontId="26" fillId="2" borderId="0" xfId="0" applyFont="1" applyFill="1" applyAlignment="1">
      <alignment horizontal="right"/>
    </xf>
    <xf numFmtId="174" fontId="28" fillId="10" borderId="21" xfId="0" applyNumberFormat="1" applyFont="1" applyFill="1" applyBorder="1" applyAlignment="1">
      <alignment horizontal="right" vertical="center"/>
    </xf>
    <xf numFmtId="174" fontId="0" fillId="2" borderId="0" xfId="0" applyNumberFormat="1" applyFill="1" applyAlignment="1">
      <alignment horizontal="center" vertical="center"/>
    </xf>
    <xf numFmtId="0" fontId="2" fillId="2" borderId="0" xfId="1" applyFill="1" applyProtection="1">
      <protection hidden="1"/>
    </xf>
    <xf numFmtId="0" fontId="2" fillId="2" borderId="0" xfId="1" applyFill="1" applyAlignment="1" applyProtection="1">
      <alignment vertical="center"/>
      <protection hidden="1"/>
    </xf>
    <xf numFmtId="172" fontId="0" fillId="10" borderId="21" xfId="0" applyNumberFormat="1" applyFill="1" applyBorder="1" applyAlignment="1">
      <alignment horizontal="center" vertical="center"/>
    </xf>
    <xf numFmtId="3" fontId="0" fillId="10" borderId="21" xfId="0" applyNumberFormat="1" applyFill="1" applyBorder="1" applyAlignment="1">
      <alignment horizontal="center" vertical="center"/>
    </xf>
    <xf numFmtId="4" fontId="0" fillId="10" borderId="21" xfId="0" applyNumberFormat="1" applyFill="1" applyBorder="1" applyAlignment="1">
      <alignment horizontal="center" vertical="center"/>
    </xf>
    <xf numFmtId="175" fontId="0" fillId="10" borderId="21" xfId="6" applyNumberFormat="1" applyFont="1" applyFill="1" applyBorder="1" applyAlignment="1">
      <alignment horizontal="center" vertical="center"/>
    </xf>
    <xf numFmtId="174" fontId="28" fillId="10" borderId="21" xfId="0" applyNumberFormat="1" applyFont="1" applyFill="1" applyBorder="1" applyAlignment="1">
      <alignment horizontal="center" vertical="center"/>
    </xf>
    <xf numFmtId="9" fontId="28" fillId="10" borderId="21" xfId="6" applyFont="1" applyFill="1" applyBorder="1" applyAlignment="1">
      <alignment horizontal="center" vertical="center"/>
    </xf>
    <xf numFmtId="171" fontId="28" fillId="10" borderId="21" xfId="6" applyNumberFormat="1" applyFont="1" applyFill="1" applyBorder="1" applyAlignment="1">
      <alignment horizontal="center" vertical="center"/>
    </xf>
    <xf numFmtId="0" fontId="0" fillId="2" borderId="0" xfId="0" applyFill="1" applyAlignment="1">
      <alignment vertical="center" wrapText="1"/>
    </xf>
    <xf numFmtId="0" fontId="0" fillId="2" borderId="0" xfId="0" applyFill="1" applyAlignment="1">
      <alignment horizontal="right" vertical="center"/>
    </xf>
    <xf numFmtId="3" fontId="27" fillId="10" borderId="21" xfId="0" applyNumberFormat="1" applyFont="1" applyFill="1" applyBorder="1" applyAlignment="1">
      <alignment horizontal="center" vertical="center"/>
    </xf>
    <xf numFmtId="175" fontId="27" fillId="10" borderId="21" xfId="0" applyNumberFormat="1" applyFont="1" applyFill="1" applyBorder="1" applyAlignment="1">
      <alignment horizontal="center" vertical="center"/>
    </xf>
    <xf numFmtId="174" fontId="27" fillId="10" borderId="21" xfId="0" applyNumberFormat="1" applyFont="1" applyFill="1" applyBorder="1" applyAlignment="1">
      <alignment horizontal="center" vertical="center"/>
    </xf>
    <xf numFmtId="9" fontId="5" fillId="10" borderId="21" xfId="6" applyFont="1" applyFill="1" applyBorder="1" applyAlignment="1">
      <alignment horizontal="center" vertical="center"/>
    </xf>
    <xf numFmtId="171" fontId="5" fillId="10" borderId="21" xfId="6" applyNumberFormat="1" applyFont="1" applyFill="1" applyBorder="1" applyAlignment="1">
      <alignment horizontal="center" vertical="center"/>
    </xf>
    <xf numFmtId="175" fontId="0" fillId="10" borderId="21" xfId="6" applyNumberFormat="1" applyFont="1" applyFill="1" applyBorder="1" applyAlignment="1" applyProtection="1">
      <alignment horizontal="center"/>
    </xf>
    <xf numFmtId="9" fontId="0" fillId="2" borderId="0" xfId="6" applyFont="1" applyFill="1" applyAlignment="1" applyProtection="1">
      <alignment horizontal="center"/>
    </xf>
    <xf numFmtId="171" fontId="0" fillId="5" borderId="0" xfId="6" applyNumberFormat="1" applyFont="1" applyFill="1" applyAlignment="1" applyProtection="1">
      <alignment horizontal="center"/>
    </xf>
    <xf numFmtId="9" fontId="0" fillId="5" borderId="0" xfId="6" applyFont="1" applyFill="1" applyAlignment="1" applyProtection="1">
      <alignment horizontal="center"/>
    </xf>
    <xf numFmtId="0" fontId="0" fillId="2" borderId="21" xfId="0" applyFill="1" applyBorder="1" applyAlignment="1" applyProtection="1">
      <alignment horizontal="center"/>
      <protection locked="0"/>
    </xf>
    <xf numFmtId="2" fontId="0" fillId="2" borderId="21" xfId="0" applyNumberFormat="1" applyFill="1" applyBorder="1" applyAlignment="1" applyProtection="1">
      <alignment horizontal="center"/>
      <protection locked="0"/>
    </xf>
    <xf numFmtId="172" fontId="0" fillId="2" borderId="21" xfId="0" applyNumberFormat="1" applyFill="1" applyBorder="1" applyAlignment="1" applyProtection="1">
      <alignment horizontal="center"/>
      <protection locked="0"/>
    </xf>
    <xf numFmtId="2" fontId="28" fillId="0" borderId="21" xfId="6" applyNumberFormat="1" applyFont="1" applyBorder="1" applyAlignment="1" applyProtection="1">
      <alignment horizontal="center" vertical="top" wrapText="1"/>
    </xf>
    <xf numFmtId="175" fontId="0" fillId="2" borderId="29" xfId="6" applyNumberFormat="1" applyFont="1" applyFill="1" applyBorder="1" applyAlignment="1" applyProtection="1">
      <alignment horizontal="center"/>
    </xf>
    <xf numFmtId="175" fontId="0" fillId="2" borderId="11" xfId="6" applyNumberFormat="1" applyFont="1" applyFill="1" applyBorder="1" applyAlignment="1" applyProtection="1">
      <alignment horizontal="center"/>
    </xf>
    <xf numFmtId="9" fontId="0" fillId="2" borderId="23" xfId="6" applyFont="1" applyFill="1" applyBorder="1" applyAlignment="1" applyProtection="1">
      <alignment horizontal="center"/>
    </xf>
    <xf numFmtId="0" fontId="5" fillId="2" borderId="22" xfId="0" applyFont="1" applyFill="1" applyBorder="1" applyAlignment="1">
      <alignment vertical="center"/>
    </xf>
    <xf numFmtId="0" fontId="5" fillId="2" borderId="17" xfId="0" applyFont="1" applyFill="1" applyBorder="1" applyAlignment="1">
      <alignment vertical="center" wrapText="1"/>
    </xf>
    <xf numFmtId="0" fontId="5" fillId="2" borderId="23" xfId="0" applyFont="1" applyFill="1" applyBorder="1" applyAlignment="1">
      <alignment vertical="center" wrapText="1"/>
    </xf>
    <xf numFmtId="0" fontId="5" fillId="2" borderId="0" xfId="0" applyFont="1" applyFill="1" applyAlignment="1">
      <alignment vertical="center" wrapText="1"/>
    </xf>
    <xf numFmtId="0" fontId="5" fillId="2" borderId="93" xfId="0" applyFont="1" applyFill="1" applyBorder="1" applyAlignment="1">
      <alignment vertical="center"/>
    </xf>
    <xf numFmtId="0" fontId="27" fillId="2" borderId="92" xfId="0" applyFont="1" applyFill="1" applyBorder="1" applyAlignment="1">
      <alignment horizontal="center" vertical="center" wrapText="1"/>
    </xf>
    <xf numFmtId="0" fontId="5" fillId="2" borderId="92" xfId="0" applyFont="1" applyFill="1" applyBorder="1" applyAlignment="1">
      <alignment horizontal="center" vertical="center" wrapText="1"/>
    </xf>
    <xf numFmtId="0" fontId="5" fillId="2" borderId="97" xfId="0" applyFont="1" applyFill="1" applyBorder="1" applyAlignment="1">
      <alignment horizontal="center" vertical="center" wrapText="1"/>
    </xf>
    <xf numFmtId="0" fontId="5" fillId="2" borderId="98" xfId="0" applyFont="1" applyFill="1" applyBorder="1" applyAlignment="1">
      <alignment horizontal="center" vertical="center" wrapText="1"/>
    </xf>
    <xf numFmtId="0" fontId="28" fillId="2" borderId="99" xfId="0" applyFont="1" applyFill="1" applyBorder="1" applyAlignment="1">
      <alignment vertical="center" wrapText="1"/>
    </xf>
    <xf numFmtId="0" fontId="5" fillId="2" borderId="17"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0" xfId="0" applyFont="1" applyFill="1" applyAlignment="1">
      <alignment vertical="center"/>
    </xf>
    <xf numFmtId="0" fontId="28" fillId="2" borderId="100" xfId="0" applyFont="1" applyFill="1" applyBorder="1" applyAlignment="1">
      <alignment vertical="center" wrapText="1"/>
    </xf>
    <xf numFmtId="0" fontId="5" fillId="2" borderId="22" xfId="0" applyFont="1" applyFill="1" applyBorder="1" applyAlignment="1">
      <alignment horizontal="left" vertical="center"/>
    </xf>
    <xf numFmtId="0" fontId="5" fillId="2" borderId="17" xfId="0" applyFont="1" applyFill="1" applyBorder="1" applyAlignment="1">
      <alignment vertical="center"/>
    </xf>
    <xf numFmtId="0" fontId="5" fillId="2" borderId="23" xfId="0" applyFont="1" applyFill="1" applyBorder="1" applyAlignment="1">
      <alignment vertical="center"/>
    </xf>
    <xf numFmtId="0" fontId="0" fillId="2" borderId="0" xfId="0" applyFill="1" applyAlignment="1">
      <alignment horizontal="left" vertical="center" wrapText="1"/>
    </xf>
    <xf numFmtId="0" fontId="5" fillId="2" borderId="101" xfId="0" applyFont="1" applyFill="1" applyBorder="1" applyAlignment="1">
      <alignment vertical="center"/>
    </xf>
    <xf numFmtId="0" fontId="5" fillId="2" borderId="65" xfId="0" applyFont="1" applyFill="1" applyBorder="1" applyAlignment="1">
      <alignment horizontal="center" vertical="center"/>
    </xf>
    <xf numFmtId="0" fontId="5" fillId="2" borderId="34"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21" xfId="0" applyFont="1" applyFill="1" applyBorder="1" applyAlignment="1">
      <alignment horizontal="center" vertical="center" wrapText="1"/>
    </xf>
    <xf numFmtId="0" fontId="28" fillId="2" borderId="99" xfId="0" applyFont="1" applyFill="1" applyBorder="1" applyAlignment="1">
      <alignment vertical="center"/>
    </xf>
    <xf numFmtId="0" fontId="28" fillId="2" borderId="100" xfId="0" applyFont="1" applyFill="1" applyBorder="1" applyAlignment="1">
      <alignment vertical="center"/>
    </xf>
    <xf numFmtId="0" fontId="5" fillId="2" borderId="71" xfId="0" applyFont="1" applyFill="1" applyBorder="1" applyAlignment="1">
      <alignment horizontal="left" vertical="center" wrapText="1"/>
    </xf>
    <xf numFmtId="0" fontId="5" fillId="2" borderId="72"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21" xfId="0" applyFont="1" applyFill="1" applyBorder="1" applyAlignment="1">
      <alignment vertical="center" wrapText="1"/>
    </xf>
    <xf numFmtId="0" fontId="27" fillId="2" borderId="102" xfId="0" applyFont="1" applyFill="1" applyBorder="1" applyAlignment="1">
      <alignment horizontal="center" vertical="center" wrapText="1"/>
    </xf>
    <xf numFmtId="0" fontId="5" fillId="2" borderId="65" xfId="0" applyFont="1" applyFill="1" applyBorder="1" applyAlignment="1">
      <alignment vertical="center"/>
    </xf>
    <xf numFmtId="0" fontId="5" fillId="2" borderId="95" xfId="0" applyFont="1" applyFill="1" applyBorder="1" applyAlignment="1">
      <alignment horizontal="left" vertical="center" wrapText="1"/>
    </xf>
    <xf numFmtId="0" fontId="27" fillId="2" borderId="50" xfId="0" applyFont="1" applyFill="1" applyBorder="1" applyAlignment="1">
      <alignment horizontal="left" vertical="center" wrapText="1"/>
    </xf>
    <xf numFmtId="0" fontId="27" fillId="2" borderId="60" xfId="0" applyFont="1" applyFill="1" applyBorder="1" applyAlignment="1">
      <alignment horizontal="center" vertical="center" wrapText="1"/>
    </xf>
    <xf numFmtId="0" fontId="28" fillId="2" borderId="41" xfId="0" applyFont="1" applyFill="1" applyBorder="1" applyAlignment="1">
      <alignment horizontal="left" vertical="center" wrapText="1"/>
    </xf>
    <xf numFmtId="196" fontId="28" fillId="2" borderId="61" xfId="0" applyNumberFormat="1" applyFont="1" applyFill="1" applyBorder="1" applyAlignment="1">
      <alignment horizontal="center" vertical="center" wrapText="1"/>
    </xf>
    <xf numFmtId="9" fontId="28" fillId="5" borderId="61" xfId="0" applyNumberFormat="1" applyFont="1" applyFill="1" applyBorder="1" applyAlignment="1">
      <alignment horizontal="center" vertical="center" wrapText="1"/>
    </xf>
    <xf numFmtId="171" fontId="28" fillId="5" borderId="61" xfId="0" applyNumberFormat="1" applyFont="1" applyFill="1" applyBorder="1" applyAlignment="1">
      <alignment horizontal="center" vertical="center" wrapText="1"/>
    </xf>
    <xf numFmtId="0" fontId="28" fillId="2" borderId="44" xfId="0" applyFont="1" applyFill="1" applyBorder="1" applyAlignment="1">
      <alignment horizontal="left" vertical="center" wrapText="1"/>
    </xf>
    <xf numFmtId="196" fontId="28" fillId="2" borderId="21" xfId="0" applyNumberFormat="1" applyFont="1" applyFill="1" applyBorder="1" applyAlignment="1">
      <alignment horizontal="center" vertical="center" wrapText="1"/>
    </xf>
    <xf numFmtId="9" fontId="28" fillId="2" borderId="21" xfId="0" applyNumberFormat="1" applyFont="1" applyFill="1" applyBorder="1" applyAlignment="1">
      <alignment horizontal="center" vertical="center" wrapText="1"/>
    </xf>
    <xf numFmtId="171" fontId="28" fillId="2" borderId="21" xfId="0" applyNumberFormat="1" applyFont="1" applyFill="1" applyBorder="1" applyAlignment="1">
      <alignment horizontal="center" vertical="center" wrapText="1"/>
    </xf>
    <xf numFmtId="0" fontId="28" fillId="2" borderId="46" xfId="0" applyFont="1" applyFill="1" applyBorder="1" applyAlignment="1">
      <alignment horizontal="left" vertical="center" wrapText="1"/>
    </xf>
    <xf numFmtId="196" fontId="28" fillId="2" borderId="63" xfId="0" applyNumberFormat="1" applyFont="1" applyFill="1" applyBorder="1" applyAlignment="1">
      <alignment horizontal="center" vertical="center" wrapText="1"/>
    </xf>
    <xf numFmtId="9" fontId="28" fillId="2" borderId="63" xfId="0" applyNumberFormat="1" applyFont="1" applyFill="1" applyBorder="1" applyAlignment="1">
      <alignment horizontal="center" vertical="center" wrapText="1"/>
    </xf>
    <xf numFmtId="171" fontId="28" fillId="2" borderId="63" xfId="0" applyNumberFormat="1" applyFont="1" applyFill="1" applyBorder="1" applyAlignment="1">
      <alignment horizontal="center" vertical="center" wrapText="1"/>
    </xf>
    <xf numFmtId="0" fontId="28" fillId="2" borderId="103" xfId="0" applyFont="1" applyFill="1" applyBorder="1" applyAlignment="1">
      <alignment horizontal="left" vertical="center" wrapText="1"/>
    </xf>
    <xf numFmtId="197" fontId="28" fillId="2" borderId="34" xfId="0" applyNumberFormat="1" applyFont="1" applyFill="1" applyBorder="1" applyAlignment="1">
      <alignment horizontal="center" vertical="center" wrapText="1"/>
    </xf>
    <xf numFmtId="9" fontId="28" fillId="5" borderId="34" xfId="0" applyNumberFormat="1" applyFont="1" applyFill="1" applyBorder="1" applyAlignment="1">
      <alignment horizontal="center" vertical="center" wrapText="1"/>
    </xf>
    <xf numFmtId="171" fontId="28" fillId="5" borderId="34" xfId="0" applyNumberFormat="1" applyFont="1" applyFill="1" applyBorder="1" applyAlignment="1">
      <alignment horizontal="center" vertical="center" wrapText="1"/>
    </xf>
    <xf numFmtId="0" fontId="0" fillId="2" borderId="44" xfId="0" applyFill="1" applyBorder="1" applyAlignment="1">
      <alignment horizontal="left" vertical="center" wrapText="1"/>
    </xf>
    <xf numFmtId="197" fontId="0" fillId="2" borderId="21" xfId="0" applyNumberFormat="1" applyFill="1" applyBorder="1" applyAlignment="1">
      <alignment horizontal="center" vertical="center" wrapText="1"/>
    </xf>
    <xf numFmtId="9" fontId="0" fillId="5" borderId="21" xfId="0" applyNumberFormat="1" applyFill="1" applyBorder="1" applyAlignment="1">
      <alignment horizontal="center" vertical="center" wrapText="1"/>
    </xf>
    <xf numFmtId="171" fontId="0" fillId="2" borderId="21" xfId="0" applyNumberFormat="1" applyFill="1" applyBorder="1" applyAlignment="1">
      <alignment horizontal="center" vertical="center" wrapText="1"/>
    </xf>
    <xf numFmtId="9" fontId="0" fillId="2" borderId="21" xfId="0" applyNumberFormat="1" applyFill="1" applyBorder="1" applyAlignment="1">
      <alignment horizontal="center" vertical="center" wrapText="1"/>
    </xf>
    <xf numFmtId="0" fontId="0" fillId="2" borderId="46" xfId="0" applyFill="1" applyBorder="1" applyAlignment="1">
      <alignment horizontal="left" vertical="center" wrapText="1"/>
    </xf>
    <xf numFmtId="9" fontId="0" fillId="2" borderId="63" xfId="0" applyNumberFormat="1" applyFill="1" applyBorder="1" applyAlignment="1">
      <alignment horizontal="center" vertical="center" wrapText="1"/>
    </xf>
    <xf numFmtId="171" fontId="0" fillId="2" borderId="63" xfId="0" applyNumberFormat="1" applyFill="1" applyBorder="1" applyAlignment="1">
      <alignment horizontal="center" vertical="center" wrapText="1"/>
    </xf>
    <xf numFmtId="0" fontId="0" fillId="2" borderId="41" xfId="0" applyFill="1" applyBorder="1" applyAlignment="1">
      <alignment horizontal="left" vertical="center" wrapText="1"/>
    </xf>
    <xf numFmtId="197" fontId="0" fillId="2" borderId="61" xfId="0" applyNumberFormat="1" applyFill="1" applyBorder="1" applyAlignment="1">
      <alignment horizontal="center" vertical="center" wrapText="1"/>
    </xf>
    <xf numFmtId="9" fontId="0" fillId="5" borderId="61" xfId="0" applyNumberFormat="1" applyFill="1" applyBorder="1" applyAlignment="1">
      <alignment horizontal="center" vertical="center" wrapText="1"/>
    </xf>
    <xf numFmtId="171" fontId="0" fillId="5" borderId="61" xfId="0" applyNumberFormat="1" applyFill="1" applyBorder="1" applyAlignment="1">
      <alignment horizontal="center" vertical="center" wrapText="1"/>
    </xf>
    <xf numFmtId="197" fontId="0" fillId="2" borderId="63" xfId="0" applyNumberFormat="1" applyFill="1" applyBorder="1" applyAlignment="1">
      <alignment horizontal="center" vertical="center" wrapText="1"/>
    </xf>
    <xf numFmtId="9" fontId="0" fillId="5" borderId="63" xfId="0" applyNumberFormat="1" applyFill="1" applyBorder="1" applyAlignment="1">
      <alignment horizontal="center" vertical="center" wrapText="1"/>
    </xf>
    <xf numFmtId="3" fontId="0" fillId="2" borderId="21" xfId="0" applyNumberFormat="1" applyFill="1" applyBorder="1" applyAlignment="1" applyProtection="1">
      <alignment horizontal="right"/>
      <protection locked="0"/>
    </xf>
    <xf numFmtId="0" fontId="0" fillId="2" borderId="21" xfId="0" applyFill="1" applyBorder="1" applyAlignment="1" applyProtection="1">
      <alignment horizontal="right"/>
      <protection locked="0"/>
    </xf>
    <xf numFmtId="0" fontId="14" fillId="10" borderId="23" xfId="3" applyFont="1" applyFill="1" applyBorder="1" applyAlignment="1" applyProtection="1">
      <alignment horizontal="right"/>
    </xf>
    <xf numFmtId="0" fontId="28" fillId="2" borderId="21" xfId="0" applyFont="1" applyFill="1" applyBorder="1" applyAlignment="1" applyProtection="1">
      <alignment horizontal="right"/>
      <protection locked="0"/>
    </xf>
    <xf numFmtId="170" fontId="0" fillId="2" borderId="21" xfId="0" applyNumberFormat="1" applyFill="1" applyBorder="1" applyAlignment="1" applyProtection="1">
      <alignment horizontal="right"/>
      <protection locked="0"/>
    </xf>
    <xf numFmtId="174" fontId="0" fillId="2" borderId="21" xfId="0" applyNumberFormat="1" applyFill="1" applyBorder="1" applyAlignment="1" applyProtection="1">
      <alignment horizontal="right"/>
      <protection locked="0"/>
    </xf>
    <xf numFmtId="174" fontId="28" fillId="2" borderId="21" xfId="0" applyNumberFormat="1" applyFont="1" applyFill="1" applyBorder="1" applyAlignment="1">
      <alignment horizontal="center"/>
    </xf>
    <xf numFmtId="174" fontId="28" fillId="2" borderId="63" xfId="0" applyNumberFormat="1" applyFont="1" applyFill="1" applyBorder="1" applyAlignment="1">
      <alignment horizontal="center"/>
    </xf>
    <xf numFmtId="189" fontId="28" fillId="2" borderId="21" xfId="0" applyNumberFormat="1" applyFont="1" applyFill="1" applyBorder="1" applyAlignment="1">
      <alignment horizontal="center"/>
    </xf>
    <xf numFmtId="171" fontId="28" fillId="2" borderId="21" xfId="0" applyNumberFormat="1" applyFont="1" applyFill="1" applyBorder="1" applyAlignment="1">
      <alignment horizontal="center"/>
    </xf>
    <xf numFmtId="171" fontId="28" fillId="2" borderId="21" xfId="6" applyNumberFormat="1" applyFont="1" applyFill="1" applyBorder="1" applyAlignment="1">
      <alignment horizontal="center"/>
    </xf>
    <xf numFmtId="171" fontId="28" fillId="2" borderId="20" xfId="0" applyNumberFormat="1" applyFont="1" applyFill="1" applyBorder="1" applyAlignment="1">
      <alignment horizontal="center"/>
    </xf>
    <xf numFmtId="171" fontId="28" fillId="6" borderId="81" xfId="0" applyNumberFormat="1" applyFont="1" applyFill="1" applyBorder="1" applyAlignment="1">
      <alignment horizontal="center"/>
    </xf>
    <xf numFmtId="0" fontId="28" fillId="2" borderId="46" xfId="0" applyFont="1" applyFill="1" applyBorder="1"/>
    <xf numFmtId="0" fontId="28" fillId="2" borderId="63" xfId="0" applyFont="1" applyFill="1" applyBorder="1"/>
    <xf numFmtId="0" fontId="28" fillId="2" borderId="63" xfId="0" applyFont="1" applyFill="1" applyBorder="1" applyAlignment="1">
      <alignment horizontal="center"/>
    </xf>
    <xf numFmtId="189" fontId="28" fillId="2" borderId="63" xfId="0" applyNumberFormat="1" applyFont="1" applyFill="1" applyBorder="1" applyAlignment="1">
      <alignment horizontal="center"/>
    </xf>
    <xf numFmtId="171" fontId="28" fillId="2" borderId="63" xfId="0" applyNumberFormat="1" applyFont="1" applyFill="1" applyBorder="1" applyAlignment="1">
      <alignment horizontal="center"/>
    </xf>
    <xf numFmtId="171" fontId="28" fillId="2" borderId="63" xfId="6" applyNumberFormat="1" applyFont="1" applyFill="1" applyBorder="1" applyAlignment="1">
      <alignment horizontal="center"/>
    </xf>
    <xf numFmtId="171" fontId="28" fillId="2" borderId="64" xfId="0" applyNumberFormat="1" applyFont="1" applyFill="1" applyBorder="1" applyAlignment="1">
      <alignment horizontal="center"/>
    </xf>
    <xf numFmtId="171" fontId="28" fillId="6" borderId="82" xfId="0" applyNumberFormat="1" applyFont="1" applyFill="1" applyBorder="1" applyAlignment="1">
      <alignment horizontal="center"/>
    </xf>
    <xf numFmtId="0" fontId="35" fillId="9" borderId="21" xfId="0" applyFont="1" applyFill="1" applyBorder="1" applyAlignment="1">
      <alignment horizontal="center"/>
    </xf>
    <xf numFmtId="0" fontId="74" fillId="2" borderId="0" xfId="0" applyFont="1" applyFill="1"/>
    <xf numFmtId="0" fontId="0" fillId="9" borderId="23" xfId="0" applyFill="1" applyBorder="1" applyAlignment="1">
      <alignment horizontal="center"/>
    </xf>
    <xf numFmtId="0" fontId="27" fillId="10" borderId="21" xfId="0" applyFont="1" applyFill="1" applyBorder="1" applyAlignment="1">
      <alignment horizontal="right"/>
    </xf>
    <xf numFmtId="0" fontId="35" fillId="9" borderId="22" xfId="0" applyFont="1" applyFill="1" applyBorder="1" applyAlignment="1">
      <alignment horizontal="left"/>
    </xf>
    <xf numFmtId="0" fontId="35" fillId="9" borderId="17" xfId="0" applyFont="1" applyFill="1" applyBorder="1" applyAlignment="1">
      <alignment horizontal="left"/>
    </xf>
    <xf numFmtId="0" fontId="0" fillId="10" borderId="21" xfId="0" applyFill="1" applyBorder="1" applyAlignment="1">
      <alignment horizontal="right"/>
    </xf>
    <xf numFmtId="174" fontId="0" fillId="2" borderId="0" xfId="0" applyNumberFormat="1" applyFill="1" applyAlignment="1">
      <alignment horizontal="left"/>
    </xf>
    <xf numFmtId="0" fontId="75" fillId="2" borderId="0" xfId="0" applyFont="1" applyFill="1" applyAlignment="1">
      <alignment horizontal="left"/>
    </xf>
    <xf numFmtId="0" fontId="49" fillId="10" borderId="22" xfId="0" applyFont="1" applyFill="1" applyBorder="1" applyAlignment="1">
      <alignment horizontal="right"/>
    </xf>
    <xf numFmtId="0" fontId="49" fillId="10" borderId="17" xfId="0" applyFont="1" applyFill="1" applyBorder="1" applyAlignment="1">
      <alignment horizontal="right"/>
    </xf>
    <xf numFmtId="0" fontId="28" fillId="2" borderId="0" xfId="0" applyFont="1" applyFill="1" applyAlignment="1">
      <alignment horizontal="left"/>
    </xf>
    <xf numFmtId="0" fontId="29" fillId="2" borderId="0" xfId="0" applyFont="1" applyFill="1" applyAlignment="1">
      <alignment horizontal="left"/>
    </xf>
    <xf numFmtId="0" fontId="35" fillId="9" borderId="21" xfId="0" quotePrefix="1" applyFont="1" applyFill="1" applyBorder="1" applyAlignment="1">
      <alignment horizontal="left"/>
    </xf>
    <xf numFmtId="194" fontId="0" fillId="10" borderId="21" xfId="0" quotePrefix="1" applyNumberFormat="1" applyFill="1" applyBorder="1" applyAlignment="1">
      <alignment horizontal="center"/>
    </xf>
    <xf numFmtId="198" fontId="0" fillId="10" borderId="21" xfId="0" quotePrefix="1" applyNumberFormat="1" applyFill="1" applyBorder="1" applyAlignment="1">
      <alignment horizontal="center"/>
    </xf>
    <xf numFmtId="184" fontId="0" fillId="10" borderId="21" xfId="0" quotePrefix="1" applyNumberFormat="1" applyFill="1" applyBorder="1" applyAlignment="1">
      <alignment horizontal="center"/>
    </xf>
    <xf numFmtId="0" fontId="35" fillId="9" borderId="21" xfId="0" applyFont="1" applyFill="1" applyBorder="1" applyAlignment="1">
      <alignment horizontal="right"/>
    </xf>
    <xf numFmtId="0" fontId="0" fillId="2" borderId="22" xfId="0" applyFill="1" applyBorder="1" applyAlignment="1">
      <alignment horizontal="left"/>
    </xf>
    <xf numFmtId="0" fontId="0" fillId="2" borderId="17" xfId="0" applyFill="1" applyBorder="1" applyAlignment="1">
      <alignment horizontal="left"/>
    </xf>
    <xf numFmtId="0" fontId="76" fillId="2" borderId="0" xfId="0" quotePrefix="1" applyFont="1" applyFill="1" applyAlignment="1">
      <alignment horizontal="left"/>
    </xf>
    <xf numFmtId="3" fontId="0" fillId="2" borderId="0" xfId="0" applyNumberFormat="1" applyFill="1" applyAlignment="1">
      <alignment horizontal="left"/>
    </xf>
    <xf numFmtId="0" fontId="76" fillId="2" borderId="0" xfId="0" applyFont="1" applyFill="1" applyAlignment="1">
      <alignment horizontal="left"/>
    </xf>
    <xf numFmtId="0" fontId="29" fillId="5" borderId="0" xfId="0" applyFont="1" applyFill="1" applyAlignment="1">
      <alignment horizontal="left"/>
    </xf>
    <xf numFmtId="0" fontId="46" fillId="5" borderId="0" xfId="0" applyFont="1" applyFill="1" applyAlignment="1">
      <alignment horizontal="left"/>
    </xf>
    <xf numFmtId="0" fontId="0" fillId="5" borderId="0" xfId="0" applyFill="1" applyAlignment="1">
      <alignment horizontal="center"/>
    </xf>
    <xf numFmtId="174" fontId="0" fillId="5" borderId="0" xfId="0" applyNumberFormat="1" applyFill="1" applyAlignment="1">
      <alignment horizontal="center"/>
    </xf>
    <xf numFmtId="0" fontId="76" fillId="5" borderId="0" xfId="0" applyFont="1" applyFill="1" applyAlignment="1">
      <alignment horizontal="left"/>
    </xf>
    <xf numFmtId="174" fontId="27" fillId="10" borderId="21" xfId="0" applyNumberFormat="1" applyFont="1" applyFill="1" applyBorder="1" applyAlignment="1">
      <alignment horizontal="right"/>
    </xf>
    <xf numFmtId="174" fontId="0" fillId="10" borderId="21" xfId="0" applyNumberFormat="1" applyFill="1" applyBorder="1" applyAlignment="1">
      <alignment horizontal="right"/>
    </xf>
    <xf numFmtId="0" fontId="35" fillId="9" borderId="21" xfId="0" applyFont="1" applyFill="1" applyBorder="1" applyAlignment="1">
      <alignment horizontal="center" vertical="center"/>
    </xf>
    <xf numFmtId="0" fontId="35" fillId="9" borderId="22" xfId="0" applyFont="1" applyFill="1" applyBorder="1" applyAlignment="1">
      <alignment horizontal="center" vertical="center" wrapText="1"/>
    </xf>
    <xf numFmtId="174" fontId="35" fillId="9" borderId="22" xfId="0" applyNumberFormat="1" applyFont="1" applyFill="1" applyBorder="1" applyAlignment="1">
      <alignment horizontal="center" vertical="center" wrapText="1"/>
    </xf>
    <xf numFmtId="0" fontId="35" fillId="9" borderId="22" xfId="0" applyFont="1" applyFill="1" applyBorder="1" applyAlignment="1">
      <alignment horizontal="center" vertical="center"/>
    </xf>
    <xf numFmtId="172" fontId="0" fillId="10" borderId="21" xfId="0" applyNumberFormat="1" applyFill="1" applyBorder="1" applyAlignment="1">
      <alignment horizontal="center"/>
    </xf>
    <xf numFmtId="174" fontId="0" fillId="10" borderId="21" xfId="0" applyNumberFormat="1" applyFill="1" applyBorder="1" applyAlignment="1">
      <alignment horizontal="center"/>
    </xf>
    <xf numFmtId="4" fontId="0" fillId="10" borderId="21" xfId="0" applyNumberFormat="1" applyFill="1" applyBorder="1" applyAlignment="1">
      <alignment horizontal="center"/>
    </xf>
    <xf numFmtId="170" fontId="0" fillId="10" borderId="21" xfId="0" applyNumberFormat="1" applyFill="1" applyBorder="1" applyAlignment="1">
      <alignment horizontal="center"/>
    </xf>
    <xf numFmtId="0" fontId="27" fillId="6" borderId="22" xfId="0" applyFont="1" applyFill="1" applyBorder="1" applyAlignment="1">
      <alignment vertical="center"/>
    </xf>
    <xf numFmtId="0" fontId="27" fillId="6" borderId="17" xfId="0" applyFont="1" applyFill="1" applyBorder="1" applyAlignment="1">
      <alignment vertical="center"/>
    </xf>
    <xf numFmtId="0" fontId="27" fillId="6" borderId="23" xfId="0" applyFont="1" applyFill="1" applyBorder="1" applyAlignment="1">
      <alignment vertical="center"/>
    </xf>
    <xf numFmtId="0" fontId="78" fillId="2" borderId="21" xfId="0" applyFont="1" applyFill="1" applyBorder="1" applyAlignment="1">
      <alignment horizontal="center" vertical="center"/>
    </xf>
    <xf numFmtId="2" fontId="79" fillId="2" borderId="22" xfId="0" applyNumberFormat="1" applyFont="1" applyFill="1" applyBorder="1" applyAlignment="1">
      <alignment vertical="center"/>
    </xf>
    <xf numFmtId="2" fontId="79" fillId="2" borderId="17" xfId="0" applyNumberFormat="1" applyFont="1" applyFill="1" applyBorder="1" applyAlignment="1">
      <alignment vertical="center"/>
    </xf>
    <xf numFmtId="2" fontId="80" fillId="2" borderId="17" xfId="0" applyNumberFormat="1" applyFont="1" applyFill="1" applyBorder="1" applyAlignment="1">
      <alignment vertical="center"/>
    </xf>
    <xf numFmtId="2" fontId="80" fillId="2" borderId="23" xfId="0" applyNumberFormat="1" applyFont="1" applyFill="1" applyBorder="1" applyAlignment="1">
      <alignment vertical="center"/>
    </xf>
    <xf numFmtId="0" fontId="27" fillId="2" borderId="21" xfId="0" applyFont="1" applyFill="1" applyBorder="1"/>
    <xf numFmtId="2" fontId="0" fillId="2" borderId="0" xfId="0" applyNumberFormat="1" applyFill="1" applyAlignment="1">
      <alignment horizontal="center" vertical="center"/>
    </xf>
    <xf numFmtId="0" fontId="79" fillId="2" borderId="35" xfId="0" applyFont="1" applyFill="1" applyBorder="1" applyAlignment="1">
      <alignment horizontal="center"/>
    </xf>
    <xf numFmtId="2" fontId="0" fillId="2" borderId="28" xfId="0" applyNumberFormat="1" applyFill="1" applyBorder="1"/>
    <xf numFmtId="2" fontId="0" fillId="2" borderId="14" xfId="0" applyNumberFormat="1" applyFill="1" applyBorder="1"/>
    <xf numFmtId="2" fontId="26" fillId="2" borderId="14" xfId="0" applyNumberFormat="1" applyFont="1" applyFill="1" applyBorder="1"/>
    <xf numFmtId="2" fontId="26" fillId="2" borderId="29" xfId="0" applyNumberFormat="1" applyFont="1" applyFill="1" applyBorder="1"/>
    <xf numFmtId="0" fontId="26" fillId="2" borderId="35" xfId="0" applyFont="1" applyFill="1" applyBorder="1"/>
    <xf numFmtId="0" fontId="79" fillId="2" borderId="91" xfId="0" applyFont="1" applyFill="1" applyBorder="1" applyAlignment="1">
      <alignment horizontal="center"/>
    </xf>
    <xf numFmtId="2" fontId="0" fillId="2" borderId="18" xfId="0" applyNumberFormat="1" applyFill="1" applyBorder="1"/>
    <xf numFmtId="2" fontId="0" fillId="2" borderId="0" xfId="0" applyNumberFormat="1" applyFill="1"/>
    <xf numFmtId="2" fontId="26" fillId="2" borderId="0" xfId="0" applyNumberFormat="1" applyFont="1" applyFill="1"/>
    <xf numFmtId="2" fontId="26" fillId="2" borderId="19" xfId="0" applyNumberFormat="1" applyFont="1" applyFill="1" applyBorder="1"/>
    <xf numFmtId="0" fontId="26" fillId="2" borderId="91" xfId="0" applyFont="1" applyFill="1" applyBorder="1"/>
    <xf numFmtId="0" fontId="80" fillId="2" borderId="91" xfId="0" applyFont="1" applyFill="1" applyBorder="1" applyAlignment="1">
      <alignment horizontal="center"/>
    </xf>
    <xf numFmtId="2" fontId="26" fillId="2" borderId="18" xfId="0" applyNumberFormat="1" applyFont="1" applyFill="1" applyBorder="1"/>
    <xf numFmtId="0" fontId="80" fillId="2" borderId="34" xfId="0" applyFont="1" applyFill="1" applyBorder="1" applyAlignment="1">
      <alignment horizontal="center"/>
    </xf>
    <xf numFmtId="2" fontId="26" fillId="2" borderId="12" xfId="0" applyNumberFormat="1" applyFont="1" applyFill="1" applyBorder="1"/>
    <xf numFmtId="2" fontId="26" fillId="2" borderId="10" xfId="0" applyNumberFormat="1" applyFont="1" applyFill="1" applyBorder="1"/>
    <xf numFmtId="2" fontId="26" fillId="2" borderId="11" xfId="0" applyNumberFormat="1" applyFont="1" applyFill="1" applyBorder="1"/>
    <xf numFmtId="0" fontId="26" fillId="2" borderId="34" xfId="0" applyFont="1" applyFill="1" applyBorder="1"/>
    <xf numFmtId="0" fontId="27" fillId="6" borderId="22" xfId="0" applyFont="1" applyFill="1" applyBorder="1" applyAlignment="1">
      <alignment horizontal="center"/>
    </xf>
    <xf numFmtId="0" fontId="78" fillId="6" borderId="23" xfId="0" applyFont="1" applyFill="1" applyBorder="1" applyAlignment="1">
      <alignment horizontal="left"/>
    </xf>
    <xf numFmtId="0" fontId="78" fillId="2" borderId="21" xfId="0" applyFont="1" applyFill="1" applyBorder="1" applyAlignment="1">
      <alignment horizontal="center"/>
    </xf>
    <xf numFmtId="2" fontId="79" fillId="2" borderId="21" xfId="0" applyNumberFormat="1" applyFont="1" applyFill="1" applyBorder="1" applyAlignment="1">
      <alignment horizontal="center"/>
    </xf>
    <xf numFmtId="2" fontId="80" fillId="2" borderId="21" xfId="0" applyNumberFormat="1" applyFont="1" applyFill="1" applyBorder="1" applyAlignment="1">
      <alignment horizontal="center"/>
    </xf>
    <xf numFmtId="172" fontId="79" fillId="2" borderId="35" xfId="0" applyNumberFormat="1" applyFont="1" applyFill="1" applyBorder="1" applyAlignment="1">
      <alignment horizontal="center"/>
    </xf>
    <xf numFmtId="2" fontId="0" fillId="2" borderId="35" xfId="0" applyNumberFormat="1" applyFill="1" applyBorder="1" applyAlignment="1">
      <alignment horizontal="center"/>
    </xf>
    <xf numFmtId="2" fontId="26" fillId="2" borderId="91" xfId="0" applyNumberFormat="1" applyFont="1" applyFill="1" applyBorder="1" applyAlignment="1">
      <alignment horizontal="center"/>
    </xf>
    <xf numFmtId="172" fontId="79" fillId="2" borderId="91" xfId="0" applyNumberFormat="1" applyFont="1" applyFill="1" applyBorder="1" applyAlignment="1">
      <alignment horizontal="center"/>
    </xf>
    <xf numFmtId="2" fontId="0" fillId="2" borderId="91" xfId="0" applyNumberFormat="1" applyFill="1" applyBorder="1" applyAlignment="1">
      <alignment horizontal="center"/>
    </xf>
    <xf numFmtId="0" fontId="27" fillId="6" borderId="17" xfId="0" applyFont="1" applyFill="1" applyBorder="1" applyAlignment="1">
      <alignment horizontal="center"/>
    </xf>
    <xf numFmtId="0" fontId="78" fillId="2" borderId="21" xfId="0" applyFont="1" applyFill="1" applyBorder="1" applyAlignment="1">
      <alignment horizontal="left"/>
    </xf>
    <xf numFmtId="172" fontId="80" fillId="2" borderId="91" xfId="0" applyNumberFormat="1" applyFont="1" applyFill="1" applyBorder="1" applyAlignment="1">
      <alignment horizontal="center"/>
    </xf>
    <xf numFmtId="172" fontId="80" fillId="2" borderId="34" xfId="0" applyNumberFormat="1" applyFont="1" applyFill="1" applyBorder="1" applyAlignment="1">
      <alignment horizontal="center"/>
    </xf>
    <xf numFmtId="2" fontId="26" fillId="2" borderId="34" xfId="0" applyNumberFormat="1" applyFont="1" applyFill="1" applyBorder="1" applyAlignment="1">
      <alignment horizontal="center"/>
    </xf>
    <xf numFmtId="2" fontId="26" fillId="2" borderId="35" xfId="0" applyNumberFormat="1" applyFont="1" applyFill="1" applyBorder="1" applyAlignment="1">
      <alignment horizontal="center"/>
    </xf>
    <xf numFmtId="0" fontId="27" fillId="6" borderId="22" xfId="0" applyFont="1" applyFill="1" applyBorder="1"/>
    <xf numFmtId="0" fontId="27" fillId="6" borderId="17" xfId="0" applyFont="1" applyFill="1" applyBorder="1"/>
    <xf numFmtId="0" fontId="27" fillId="6" borderId="23" xfId="0" applyFont="1" applyFill="1" applyBorder="1"/>
    <xf numFmtId="0" fontId="81" fillId="0" borderId="21" xfId="0" applyFont="1" applyBorder="1" applyAlignment="1">
      <alignment horizontal="center" vertical="top" wrapText="1"/>
    </xf>
    <xf numFmtId="0" fontId="81" fillId="0" borderId="21" xfId="0" applyFont="1" applyBorder="1" applyAlignment="1">
      <alignment horizontal="left" vertical="top" wrapText="1"/>
    </xf>
    <xf numFmtId="0" fontId="28" fillId="0" borderId="21" xfId="0" applyFont="1" applyBorder="1" applyAlignment="1">
      <alignment horizontal="center" vertical="top" wrapText="1"/>
    </xf>
    <xf numFmtId="3" fontId="33" fillId="0" borderId="21" xfId="0" applyNumberFormat="1" applyFont="1" applyBorder="1" applyAlignment="1">
      <alignment horizontal="center" vertical="top" shrinkToFit="1"/>
    </xf>
    <xf numFmtId="0" fontId="78" fillId="2" borderId="22" xfId="0" applyFont="1" applyFill="1" applyBorder="1"/>
    <xf numFmtId="0" fontId="78" fillId="2" borderId="17" xfId="0" applyFont="1" applyFill="1" applyBorder="1"/>
    <xf numFmtId="0" fontId="78" fillId="2" borderId="23" xfId="0" applyFont="1" applyFill="1" applyBorder="1"/>
    <xf numFmtId="0" fontId="0" fillId="2" borderId="35" xfId="0" applyFill="1" applyBorder="1" applyAlignment="1">
      <alignment horizontal="center"/>
    </xf>
    <xf numFmtId="0" fontId="0" fillId="2" borderId="91" xfId="0" applyFill="1" applyBorder="1" applyAlignment="1">
      <alignment horizontal="center"/>
    </xf>
    <xf numFmtId="0" fontId="27" fillId="6" borderId="22" xfId="0" applyFont="1" applyFill="1" applyBorder="1" applyAlignment="1">
      <alignment horizontal="left"/>
    </xf>
    <xf numFmtId="0" fontId="78" fillId="2" borderId="22" xfId="0" applyFont="1" applyFill="1" applyBorder="1" applyAlignment="1">
      <alignment horizontal="center"/>
    </xf>
    <xf numFmtId="2" fontId="0" fillId="2" borderId="34" xfId="0" applyNumberFormat="1" applyFill="1" applyBorder="1" applyAlignment="1">
      <alignment horizontal="center"/>
    </xf>
    <xf numFmtId="0" fontId="5" fillId="6" borderId="21" xfId="0" applyFont="1" applyFill="1" applyBorder="1" applyAlignment="1">
      <alignment vertical="center" wrapText="1"/>
    </xf>
    <xf numFmtId="0" fontId="28" fillId="0" borderId="21" xfId="0" applyFont="1" applyBorder="1" applyAlignment="1">
      <alignment vertical="center" wrapText="1"/>
    </xf>
    <xf numFmtId="3" fontId="28" fillId="0" borderId="21" xfId="0" applyNumberFormat="1" applyFont="1" applyBorder="1" applyAlignment="1">
      <alignment horizontal="center" vertical="top" wrapText="1"/>
    </xf>
    <xf numFmtId="3" fontId="0" fillId="0" borderId="21" xfId="0" applyNumberFormat="1" applyBorder="1" applyAlignment="1">
      <alignment horizontal="center" vertical="top" wrapText="1"/>
    </xf>
    <xf numFmtId="195" fontId="28" fillId="0" borderId="21" xfId="0" applyNumberFormat="1" applyFont="1" applyBorder="1" applyAlignment="1">
      <alignment horizontal="center" vertical="top" wrapText="1"/>
    </xf>
    <xf numFmtId="0" fontId="5" fillId="6" borderId="23" xfId="0" applyFont="1" applyFill="1" applyBorder="1" applyAlignment="1">
      <alignment horizontal="center" vertical="center"/>
    </xf>
    <xf numFmtId="173" fontId="0" fillId="2" borderId="21" xfId="0" applyNumberFormat="1" applyFill="1" applyBorder="1" applyAlignment="1">
      <alignment horizontal="center"/>
    </xf>
    <xf numFmtId="0" fontId="0" fillId="2" borderId="19" xfId="0" applyFill="1" applyBorder="1" applyAlignment="1">
      <alignment horizontal="center"/>
    </xf>
    <xf numFmtId="0" fontId="0" fillId="2" borderId="92" xfId="0" applyFill="1" applyBorder="1" applyAlignment="1">
      <alignment horizontal="center" vertical="center" wrapText="1"/>
    </xf>
    <xf numFmtId="0" fontId="0" fillId="2" borderId="93" xfId="0" applyFill="1" applyBorder="1" applyAlignment="1">
      <alignment horizontal="center" vertical="center" wrapText="1"/>
    </xf>
    <xf numFmtId="0" fontId="0" fillId="2" borderId="22" xfId="0" applyFill="1" applyBorder="1" applyAlignment="1">
      <alignment horizontal="center"/>
    </xf>
    <xf numFmtId="0" fontId="0" fillId="2" borderId="18" xfId="0" applyFill="1" applyBorder="1" applyAlignment="1">
      <alignment horizontal="left"/>
    </xf>
    <xf numFmtId="0" fontId="28" fillId="2" borderId="92" xfId="0" applyFont="1" applyFill="1" applyBorder="1" applyAlignment="1">
      <alignment horizontal="center" vertical="center" wrapText="1"/>
    </xf>
    <xf numFmtId="0" fontId="28" fillId="2" borderId="93"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0" fillId="2" borderId="28" xfId="0" applyFill="1" applyBorder="1" applyAlignment="1">
      <alignment horizontal="right"/>
    </xf>
    <xf numFmtId="0" fontId="0" fillId="2" borderId="12" xfId="0" applyFill="1" applyBorder="1" applyAlignment="1">
      <alignment horizontal="right"/>
    </xf>
    <xf numFmtId="0" fontId="0" fillId="2" borderId="22" xfId="0" applyFill="1" applyBorder="1" applyAlignment="1">
      <alignment horizontal="right"/>
    </xf>
    <xf numFmtId="175" fontId="0" fillId="2" borderId="23" xfId="0" applyNumberFormat="1" applyFill="1" applyBorder="1" applyAlignment="1">
      <alignment horizontal="center"/>
    </xf>
    <xf numFmtId="0" fontId="73" fillId="2" borderId="12" xfId="0" applyFont="1" applyFill="1" applyBorder="1" applyAlignment="1">
      <alignment horizontal="right"/>
    </xf>
    <xf numFmtId="0" fontId="73" fillId="2" borderId="11" xfId="0" applyFont="1" applyFill="1" applyBorder="1" applyAlignment="1">
      <alignment horizontal="center"/>
    </xf>
    <xf numFmtId="0" fontId="0" fillId="2" borderId="29" xfId="0" applyFill="1" applyBorder="1" applyAlignment="1">
      <alignment horizontal="center"/>
    </xf>
    <xf numFmtId="171" fontId="0" fillId="2" borderId="23" xfId="0" applyNumberFormat="1" applyFill="1" applyBorder="1" applyAlignment="1">
      <alignment horizontal="center"/>
    </xf>
    <xf numFmtId="0" fontId="0" fillId="2" borderId="12" xfId="0" applyFill="1" applyBorder="1" applyAlignment="1">
      <alignment horizontal="left"/>
    </xf>
    <xf numFmtId="0" fontId="0" fillId="2" borderId="11" xfId="0" applyFill="1" applyBorder="1" applyAlignment="1">
      <alignment horizontal="center"/>
    </xf>
    <xf numFmtId="174" fontId="0" fillId="2" borderId="29" xfId="0" applyNumberFormat="1" applyFill="1" applyBorder="1" applyAlignment="1">
      <alignment horizontal="center"/>
    </xf>
    <xf numFmtId="174" fontId="0" fillId="2" borderId="11" xfId="0" applyNumberFormat="1" applyFill="1" applyBorder="1" applyAlignment="1">
      <alignment horizontal="center"/>
    </xf>
    <xf numFmtId="3" fontId="35" fillId="9" borderId="21" xfId="0" applyNumberFormat="1" applyFont="1" applyFill="1" applyBorder="1" applyAlignment="1">
      <alignment horizontal="center"/>
    </xf>
    <xf numFmtId="4" fontId="35" fillId="9" borderId="21" xfId="0" applyNumberFormat="1" applyFont="1" applyFill="1" applyBorder="1" applyAlignment="1">
      <alignment horizontal="center"/>
    </xf>
    <xf numFmtId="170" fontId="35" fillId="9" borderId="21" xfId="0" applyNumberFormat="1" applyFont="1" applyFill="1" applyBorder="1" applyAlignment="1">
      <alignment horizontal="center"/>
    </xf>
    <xf numFmtId="174" fontId="35" fillId="9" borderId="21" xfId="0" applyNumberFormat="1" applyFont="1" applyFill="1" applyBorder="1" applyAlignment="1">
      <alignment horizontal="center"/>
    </xf>
    <xf numFmtId="0" fontId="49" fillId="2" borderId="0" xfId="0" applyFont="1" applyFill="1" applyAlignment="1">
      <alignment horizontal="left"/>
    </xf>
    <xf numFmtId="0" fontId="29" fillId="2" borderId="0" xfId="0" applyFont="1" applyFill="1" applyAlignment="1">
      <alignment horizontal="right"/>
    </xf>
    <xf numFmtId="0" fontId="31" fillId="2" borderId="0" xfId="0" applyFont="1" applyFill="1" applyAlignment="1">
      <alignment horizontal="center"/>
    </xf>
    <xf numFmtId="0" fontId="0" fillId="2" borderId="17" xfId="0" applyFill="1" applyBorder="1" applyAlignment="1">
      <alignment horizontal="center"/>
    </xf>
    <xf numFmtId="0" fontId="0" fillId="2" borderId="23" xfId="0" applyFill="1" applyBorder="1" applyAlignment="1">
      <alignment horizontal="center"/>
    </xf>
    <xf numFmtId="0" fontId="0" fillId="2" borderId="21" xfId="0" applyFill="1" applyBorder="1" applyAlignment="1" applyProtection="1">
      <alignment horizontal="right" vertical="center"/>
      <protection locked="0"/>
    </xf>
    <xf numFmtId="0" fontId="28" fillId="10" borderId="21" xfId="0" applyFont="1" applyFill="1" applyBorder="1" applyAlignment="1" applyProtection="1">
      <alignment horizontal="right" vertical="center"/>
      <protection locked="0"/>
    </xf>
    <xf numFmtId="175" fontId="28" fillId="2" borderId="21" xfId="6" applyNumberFormat="1" applyFont="1" applyFill="1" applyBorder="1" applyAlignment="1" applyProtection="1">
      <alignment horizontal="right" vertical="center"/>
      <protection locked="0"/>
    </xf>
    <xf numFmtId="172" fontId="28" fillId="2" borderId="21" xfId="0" applyNumberFormat="1" applyFont="1" applyFill="1" applyBorder="1" applyAlignment="1" applyProtection="1">
      <alignment horizontal="right" vertical="center"/>
      <protection locked="0"/>
    </xf>
    <xf numFmtId="174" fontId="28" fillId="2" borderId="21" xfId="0" applyNumberFormat="1" applyFont="1" applyFill="1" applyBorder="1" applyAlignment="1" applyProtection="1">
      <alignment horizontal="right" vertical="center"/>
      <protection locked="0"/>
    </xf>
    <xf numFmtId="0" fontId="0" fillId="2" borderId="21" xfId="0" applyFill="1" applyBorder="1" applyAlignment="1" applyProtection="1">
      <alignment horizontal="center" vertical="center"/>
      <protection locked="0"/>
    </xf>
    <xf numFmtId="3" fontId="0" fillId="2" borderId="21" xfId="0" applyNumberFormat="1" applyFill="1" applyBorder="1" applyAlignment="1" applyProtection="1">
      <alignment horizontal="center" vertical="center"/>
      <protection locked="0"/>
    </xf>
    <xf numFmtId="0" fontId="28" fillId="2" borderId="21" xfId="0" applyFont="1" applyFill="1" applyBorder="1" applyAlignment="1" applyProtection="1">
      <alignment horizontal="center" vertical="center"/>
      <protection locked="0"/>
    </xf>
    <xf numFmtId="172" fontId="0" fillId="2" borderId="21" xfId="0" applyNumberFormat="1" applyFill="1" applyBorder="1" applyAlignment="1" applyProtection="1">
      <alignment horizontal="center" vertical="center"/>
      <protection locked="0"/>
    </xf>
    <xf numFmtId="0" fontId="0" fillId="2" borderId="23" xfId="0" applyFill="1" applyBorder="1" applyAlignment="1" applyProtection="1">
      <alignment horizontal="right" vertical="center"/>
      <protection locked="0"/>
    </xf>
    <xf numFmtId="0" fontId="28" fillId="2" borderId="21" xfId="0" applyFont="1" applyFill="1" applyBorder="1" applyAlignment="1" applyProtection="1">
      <alignment horizontal="right" vertical="center"/>
      <protection locked="0"/>
    </xf>
    <xf numFmtId="175" fontId="0" fillId="2" borderId="23" xfId="0" applyNumberFormat="1" applyFill="1" applyBorder="1" applyAlignment="1" applyProtection="1">
      <alignment horizontal="right" vertical="center"/>
      <protection locked="0"/>
    </xf>
    <xf numFmtId="172" fontId="0" fillId="2" borderId="23" xfId="0" applyNumberFormat="1" applyFill="1" applyBorder="1" applyAlignment="1" applyProtection="1">
      <alignment horizontal="right" vertical="center"/>
      <protection locked="0"/>
    </xf>
    <xf numFmtId="174" fontId="0" fillId="2" borderId="21" xfId="0" applyNumberFormat="1" applyFill="1" applyBorder="1" applyAlignment="1" applyProtection="1">
      <alignment horizontal="right" vertical="center"/>
      <protection locked="0"/>
    </xf>
    <xf numFmtId="0" fontId="0" fillId="10" borderId="21" xfId="0" applyFill="1" applyBorder="1" applyAlignment="1" applyProtection="1">
      <alignment horizontal="center"/>
      <protection locked="0"/>
    </xf>
    <xf numFmtId="0" fontId="0" fillId="2" borderId="21" xfId="0" applyFill="1" applyBorder="1" applyProtection="1">
      <protection locked="0"/>
    </xf>
    <xf numFmtId="173" fontId="0" fillId="2" borderId="21" xfId="0" applyNumberFormat="1" applyFill="1" applyBorder="1" applyAlignment="1" applyProtection="1">
      <alignment horizontal="center"/>
      <protection locked="0"/>
    </xf>
    <xf numFmtId="9" fontId="0" fillId="2" borderId="21" xfId="6" applyFont="1" applyFill="1" applyBorder="1" applyAlignment="1" applyProtection="1">
      <alignment vertical="center"/>
      <protection locked="0"/>
    </xf>
    <xf numFmtId="181" fontId="0" fillId="2" borderId="21" xfId="0" applyNumberFormat="1" applyFill="1" applyBorder="1" applyProtection="1">
      <protection locked="0"/>
    </xf>
    <xf numFmtId="180" fontId="0" fillId="2" borderId="21" xfId="0" applyNumberFormat="1" applyFill="1" applyBorder="1" applyProtection="1">
      <protection locked="0"/>
    </xf>
    <xf numFmtId="182" fontId="0" fillId="2" borderId="21" xfId="0" applyNumberFormat="1" applyFill="1" applyBorder="1" applyProtection="1">
      <protection locked="0"/>
    </xf>
    <xf numFmtId="3" fontId="28" fillId="2" borderId="21" xfId="0" applyNumberFormat="1" applyFont="1" applyFill="1" applyBorder="1" applyProtection="1">
      <protection locked="0"/>
    </xf>
    <xf numFmtId="172" fontId="0" fillId="2" borderId="21" xfId="0" applyNumberFormat="1" applyFill="1" applyBorder="1" applyProtection="1">
      <protection locked="0"/>
    </xf>
    <xf numFmtId="175" fontId="27" fillId="2" borderId="76" xfId="6" applyNumberFormat="1" applyFont="1" applyFill="1" applyBorder="1" applyAlignment="1" applyProtection="1">
      <alignment horizontal="center" vertical="center"/>
    </xf>
    <xf numFmtId="175" fontId="27" fillId="2" borderId="58" xfId="6" applyNumberFormat="1" applyFont="1" applyFill="1" applyBorder="1" applyAlignment="1" applyProtection="1">
      <alignment horizontal="center" vertical="center"/>
    </xf>
    <xf numFmtId="175" fontId="27" fillId="10" borderId="79" xfId="6" applyNumberFormat="1" applyFont="1" applyFill="1" applyBorder="1" applyAlignment="1" applyProtection="1">
      <alignment horizontal="center" vertical="center"/>
    </xf>
    <xf numFmtId="0" fontId="0" fillId="2" borderId="21" xfId="0" applyFill="1" applyBorder="1" applyAlignment="1">
      <alignment horizontal="left" vertical="center"/>
    </xf>
    <xf numFmtId="4" fontId="0" fillId="2" borderId="21" xfId="0" applyNumberFormat="1" applyFill="1" applyBorder="1" applyAlignment="1">
      <alignment horizontal="center" vertical="center"/>
    </xf>
    <xf numFmtId="175" fontId="27" fillId="10" borderId="59" xfId="6" applyNumberFormat="1" applyFont="1" applyFill="1" applyBorder="1" applyAlignment="1" applyProtection="1">
      <alignment horizontal="center" vertical="center"/>
    </xf>
    <xf numFmtId="4" fontId="27" fillId="6" borderId="21" xfId="0" applyNumberFormat="1" applyFont="1" applyFill="1" applyBorder="1" applyAlignment="1">
      <alignment horizontal="center" vertical="center"/>
    </xf>
    <xf numFmtId="174" fontId="0" fillId="2" borderId="0" xfId="0" applyNumberFormat="1" applyFill="1"/>
    <xf numFmtId="0" fontId="28" fillId="6" borderId="21" xfId="0" applyFont="1" applyFill="1" applyBorder="1" applyAlignment="1">
      <alignment horizontal="center" vertical="center"/>
    </xf>
    <xf numFmtId="175" fontId="0" fillId="2" borderId="0" xfId="6" applyNumberFormat="1" applyFont="1" applyFill="1" applyProtection="1"/>
    <xf numFmtId="172" fontId="0" fillId="2" borderId="21" xfId="0" applyNumberFormat="1" applyFill="1" applyBorder="1" applyAlignment="1">
      <alignment horizontal="center" vertical="center"/>
    </xf>
    <xf numFmtId="187" fontId="0" fillId="2" borderId="0" xfId="0" applyNumberFormat="1" applyFill="1"/>
    <xf numFmtId="0" fontId="0" fillId="2" borderId="21" xfId="0" applyFill="1" applyBorder="1" applyAlignment="1" applyProtection="1">
      <alignment horizontal="right" vertical="center" wrapText="1"/>
      <protection locked="0"/>
    </xf>
    <xf numFmtId="186" fontId="28" fillId="2" borderId="21" xfId="0" applyNumberFormat="1" applyFont="1" applyFill="1" applyBorder="1" applyAlignment="1" applyProtection="1">
      <alignment horizontal="right" vertical="center"/>
      <protection locked="0"/>
    </xf>
    <xf numFmtId="2" fontId="0" fillId="2" borderId="21" xfId="0" applyNumberFormat="1" applyFill="1" applyBorder="1" applyAlignment="1" applyProtection="1">
      <alignment horizontal="right" vertical="center"/>
      <protection locked="0"/>
    </xf>
    <xf numFmtId="175" fontId="0" fillId="2" borderId="21" xfId="0" applyNumberFormat="1" applyFill="1" applyBorder="1" applyAlignment="1" applyProtection="1">
      <alignment horizontal="right" vertical="center"/>
      <protection locked="0"/>
    </xf>
    <xf numFmtId="172" fontId="0" fillId="2" borderId="21" xfId="0" applyNumberFormat="1" applyFill="1" applyBorder="1" applyAlignment="1" applyProtection="1">
      <alignment horizontal="right" vertical="center"/>
      <protection locked="0"/>
    </xf>
    <xf numFmtId="0" fontId="0" fillId="2" borderId="21" xfId="0" applyFill="1" applyBorder="1" applyAlignment="1" applyProtection="1">
      <alignment horizontal="center" vertical="center" wrapText="1"/>
      <protection locked="0"/>
    </xf>
    <xf numFmtId="0" fontId="0" fillId="2" borderId="21" xfId="0" applyFill="1" applyBorder="1" applyAlignment="1" applyProtection="1">
      <alignment horizontal="left" vertical="center"/>
      <protection locked="0"/>
    </xf>
    <xf numFmtId="170" fontId="0" fillId="2" borderId="21" xfId="0" applyNumberFormat="1" applyFill="1" applyBorder="1" applyAlignment="1" applyProtection="1">
      <alignment horizontal="center" vertical="center"/>
      <protection locked="0"/>
    </xf>
    <xf numFmtId="0" fontId="0" fillId="0" borderId="21" xfId="0" applyBorder="1" applyAlignment="1" applyProtection="1">
      <alignment horizontal="right" vertical="center"/>
      <protection locked="0"/>
    </xf>
    <xf numFmtId="172" fontId="0" fillId="0" borderId="21" xfId="0" applyNumberFormat="1" applyBorder="1" applyProtection="1">
      <protection locked="0"/>
    </xf>
    <xf numFmtId="0" fontId="0" fillId="0" borderId="21" xfId="0" applyBorder="1" applyProtection="1">
      <protection locked="0"/>
    </xf>
    <xf numFmtId="4" fontId="0" fillId="0" borderId="21" xfId="0" applyNumberFormat="1" applyBorder="1" applyProtection="1">
      <protection locked="0"/>
    </xf>
    <xf numFmtId="190" fontId="0" fillId="0" borderId="21" xfId="0" applyNumberFormat="1" applyBorder="1" applyAlignment="1" applyProtection="1">
      <alignment horizontal="right" vertical="center"/>
      <protection locked="0"/>
    </xf>
    <xf numFmtId="175" fontId="28" fillId="0" borderId="21" xfId="6" applyNumberFormat="1" applyFont="1" applyBorder="1" applyAlignment="1" applyProtection="1">
      <alignment horizontal="right" vertical="center"/>
      <protection locked="0"/>
    </xf>
    <xf numFmtId="170" fontId="28" fillId="0" borderId="21" xfId="0" applyNumberFormat="1" applyFont="1" applyBorder="1" applyAlignment="1" applyProtection="1">
      <alignment horizontal="right" vertical="center"/>
      <protection locked="0"/>
    </xf>
    <xf numFmtId="1" fontId="45" fillId="2" borderId="21" xfId="0" applyNumberFormat="1" applyFont="1" applyFill="1" applyBorder="1" applyAlignment="1" applyProtection="1">
      <alignment horizontal="center"/>
      <protection locked="0"/>
    </xf>
    <xf numFmtId="0" fontId="47" fillId="2" borderId="21" xfId="0" applyFont="1" applyFill="1" applyBorder="1" applyAlignment="1" applyProtection="1">
      <alignment vertical="center"/>
      <protection locked="0"/>
    </xf>
    <xf numFmtId="0" fontId="47" fillId="2" borderId="17" xfId="0" applyFont="1" applyFill="1" applyBorder="1" applyAlignment="1" applyProtection="1">
      <alignment horizontal="left" wrapText="1"/>
      <protection locked="0"/>
    </xf>
    <xf numFmtId="0" fontId="47" fillId="2" borderId="23" xfId="0" applyFont="1" applyFill="1" applyBorder="1" applyAlignment="1" applyProtection="1">
      <alignment horizontal="left" wrapText="1"/>
      <protection locked="0"/>
    </xf>
    <xf numFmtId="0" fontId="47" fillId="2" borderId="35" xfId="0" applyFont="1" applyFill="1" applyBorder="1" applyAlignment="1" applyProtection="1">
      <alignment vertical="center"/>
      <protection locked="0"/>
    </xf>
    <xf numFmtId="0" fontId="43" fillId="2" borderId="28" xfId="0" applyFont="1" applyFill="1" applyBorder="1" applyAlignment="1" applyProtection="1">
      <alignment horizontal="left"/>
      <protection locked="0"/>
    </xf>
    <xf numFmtId="0" fontId="47" fillId="2" borderId="14" xfId="0" applyFont="1" applyFill="1" applyBorder="1" applyAlignment="1" applyProtection="1">
      <alignment horizontal="left" wrapText="1"/>
      <protection locked="0"/>
    </xf>
    <xf numFmtId="0" fontId="47" fillId="2" borderId="29" xfId="0" applyFont="1" applyFill="1" applyBorder="1" applyAlignment="1" applyProtection="1">
      <alignment horizontal="left" wrapText="1"/>
      <protection locked="0"/>
    </xf>
    <xf numFmtId="0" fontId="49" fillId="2" borderId="0" xfId="0" applyFont="1" applyFill="1" applyAlignment="1" applyProtection="1">
      <alignment horizontal="center" vertical="top"/>
      <protection locked="0"/>
    </xf>
    <xf numFmtId="0" fontId="50" fillId="0" borderId="0" xfId="0" quotePrefix="1" applyFont="1" applyAlignment="1" applyProtection="1">
      <alignment horizontal="center" vertical="center"/>
      <protection locked="0"/>
    </xf>
    <xf numFmtId="0" fontId="47" fillId="2" borderId="0" xfId="0" applyFont="1" applyFill="1" applyAlignment="1" applyProtection="1">
      <alignment horizontal="left" wrapText="1"/>
      <protection locked="0"/>
    </xf>
    <xf numFmtId="0" fontId="47" fillId="2" borderId="0" xfId="0" applyFont="1" applyFill="1" applyAlignment="1" applyProtection="1">
      <alignment wrapText="1"/>
      <protection locked="0"/>
    </xf>
    <xf numFmtId="0" fontId="52" fillId="2" borderId="28" xfId="0" applyFont="1" applyFill="1" applyBorder="1" applyAlignment="1" applyProtection="1">
      <alignment horizontal="left"/>
      <protection locked="0"/>
    </xf>
    <xf numFmtId="0" fontId="52" fillId="2" borderId="14" xfId="0" applyFont="1" applyFill="1" applyBorder="1" applyAlignment="1" applyProtection="1">
      <alignment wrapText="1"/>
      <protection locked="0"/>
    </xf>
    <xf numFmtId="0" fontId="52" fillId="2" borderId="29" xfId="0" applyFont="1" applyFill="1" applyBorder="1" applyAlignment="1" applyProtection="1">
      <alignment wrapText="1"/>
      <protection locked="0"/>
    </xf>
    <xf numFmtId="0" fontId="53" fillId="2" borderId="0" xfId="0" applyFont="1" applyFill="1" applyProtection="1">
      <protection locked="0"/>
    </xf>
    <xf numFmtId="0" fontId="54" fillId="0" borderId="28" xfId="0" applyFont="1" applyBorder="1" applyAlignment="1" applyProtection="1">
      <alignment vertical="center"/>
      <protection locked="0"/>
    </xf>
    <xf numFmtId="0" fontId="52" fillId="2" borderId="0" xfId="0" applyFont="1" applyFill="1" applyProtection="1">
      <protection locked="0"/>
    </xf>
    <xf numFmtId="0" fontId="45" fillId="2" borderId="21" xfId="0" applyFont="1" applyFill="1" applyBorder="1"/>
    <xf numFmtId="0" fontId="45" fillId="2" borderId="22" xfId="0" applyFont="1" applyFill="1" applyBorder="1"/>
    <xf numFmtId="0" fontId="45" fillId="2" borderId="17" xfId="0" applyFont="1" applyFill="1" applyBorder="1"/>
    <xf numFmtId="0" fontId="45" fillId="2" borderId="23" xfId="0" applyFont="1" applyFill="1" applyBorder="1"/>
    <xf numFmtId="0" fontId="28" fillId="2" borderId="14" xfId="0" applyFont="1" applyFill="1" applyBorder="1"/>
    <xf numFmtId="0" fontId="28" fillId="2" borderId="10" xfId="0" applyFont="1" applyFill="1" applyBorder="1"/>
    <xf numFmtId="3" fontId="45" fillId="2" borderId="22" xfId="0" applyNumberFormat="1" applyFont="1" applyFill="1" applyBorder="1"/>
    <xf numFmtId="0" fontId="45" fillId="2" borderId="21" xfId="0" applyFont="1" applyFill="1" applyBorder="1" applyAlignment="1">
      <alignment horizontal="center"/>
    </xf>
    <xf numFmtId="0" fontId="0" fillId="2" borderId="0" xfId="0" applyFill="1" applyAlignment="1" applyProtection="1">
      <alignment horizontal="center"/>
      <protection locked="0"/>
    </xf>
    <xf numFmtId="0" fontId="0" fillId="2" borderId="0" xfId="0" applyFill="1" applyProtection="1">
      <protection locked="0"/>
    </xf>
    <xf numFmtId="0" fontId="35" fillId="9" borderId="21" xfId="0" applyFont="1" applyFill="1" applyBorder="1" applyAlignment="1" applyProtection="1">
      <alignment horizontal="center" vertical="center" wrapText="1"/>
      <protection locked="0"/>
    </xf>
    <xf numFmtId="0" fontId="43" fillId="2" borderId="14" xfId="0" applyFont="1" applyFill="1" applyBorder="1"/>
    <xf numFmtId="0" fontId="43" fillId="2" borderId="29" xfId="0" applyFont="1" applyFill="1" applyBorder="1"/>
    <xf numFmtId="1" fontId="45" fillId="2" borderId="21" xfId="0" applyNumberFormat="1" applyFont="1" applyFill="1" applyBorder="1" applyAlignment="1">
      <alignment horizontal="center"/>
    </xf>
    <xf numFmtId="0" fontId="43" fillId="2" borderId="0" xfId="0" applyFont="1" applyFill="1" applyAlignment="1" applyProtection="1">
      <alignment horizontal="right"/>
      <protection locked="0"/>
    </xf>
    <xf numFmtId="0" fontId="46" fillId="2" borderId="0" xfId="0" applyFont="1" applyFill="1" applyAlignment="1" applyProtection="1">
      <alignment horizontal="left" wrapText="1"/>
      <protection locked="0"/>
    </xf>
    <xf numFmtId="0" fontId="47" fillId="2" borderId="17" xfId="0" applyFont="1" applyFill="1" applyBorder="1" applyAlignment="1" applyProtection="1">
      <alignment horizontal="left" vertical="center" wrapText="1"/>
      <protection locked="0"/>
    </xf>
    <xf numFmtId="0" fontId="47" fillId="2" borderId="0" xfId="0" applyFont="1" applyFill="1" applyAlignment="1" applyProtection="1">
      <alignment horizontal="left" vertical="center" wrapText="1"/>
      <protection locked="0"/>
    </xf>
    <xf numFmtId="0" fontId="47" fillId="2" borderId="21" xfId="0" applyFont="1" applyFill="1" applyBorder="1" applyAlignment="1" applyProtection="1">
      <alignment horizontal="left" vertical="center" wrapText="1"/>
      <protection locked="0"/>
    </xf>
    <xf numFmtId="9" fontId="47" fillId="2" borderId="21" xfId="6" applyFont="1" applyFill="1" applyBorder="1" applyAlignment="1" applyProtection="1">
      <alignment horizontal="left" vertical="center" wrapText="1"/>
      <protection locked="0"/>
    </xf>
    <xf numFmtId="172" fontId="47" fillId="2" borderId="21" xfId="0" applyNumberFormat="1" applyFont="1" applyFill="1" applyBorder="1" applyAlignment="1" applyProtection="1">
      <alignment horizontal="left" vertical="center" wrapText="1"/>
      <protection locked="0"/>
    </xf>
    <xf numFmtId="0" fontId="48" fillId="2" borderId="22" xfId="0" applyFont="1" applyFill="1" applyBorder="1" applyAlignment="1" applyProtection="1">
      <alignment vertical="center"/>
      <protection locked="0"/>
    </xf>
    <xf numFmtId="0" fontId="47" fillId="2" borderId="17" xfId="0" applyFont="1" applyFill="1" applyBorder="1" applyAlignment="1" applyProtection="1">
      <alignment vertical="center"/>
      <protection locked="0"/>
    </xf>
    <xf numFmtId="0" fontId="47" fillId="2" borderId="0" xfId="0" applyFont="1" applyFill="1" applyAlignment="1" applyProtection="1">
      <alignment horizontal="left"/>
      <protection locked="0"/>
    </xf>
    <xf numFmtId="0" fontId="47" fillId="2" borderId="0" xfId="0" applyFont="1" applyFill="1" applyAlignment="1" applyProtection="1">
      <alignment horizontal="left" vertical="center"/>
      <protection locked="0"/>
    </xf>
    <xf numFmtId="0" fontId="28" fillId="2" borderId="0" xfId="0" applyFont="1" applyFill="1" applyAlignment="1" applyProtection="1">
      <alignment horizontal="left" vertical="center"/>
      <protection locked="0"/>
    </xf>
    <xf numFmtId="0" fontId="52" fillId="2" borderId="0" xfId="0" applyFont="1" applyFill="1" applyAlignment="1" applyProtection="1">
      <alignment wrapText="1"/>
      <protection locked="0"/>
    </xf>
    <xf numFmtId="0" fontId="28" fillId="2" borderId="10" xfId="0" applyFont="1" applyFill="1" applyBorder="1" applyAlignment="1">
      <alignment horizontal="right"/>
    </xf>
    <xf numFmtId="0" fontId="65" fillId="9" borderId="21" xfId="0" applyFont="1" applyFill="1" applyBorder="1" applyAlignment="1" applyProtection="1">
      <alignment horizontal="center" vertical="center" wrapText="1"/>
      <protection locked="0"/>
    </xf>
    <xf numFmtId="0" fontId="65" fillId="9" borderId="22" xfId="0" applyFont="1" applyFill="1" applyBorder="1" applyAlignment="1" applyProtection="1">
      <alignment horizontal="center" vertical="center" wrapText="1"/>
      <protection locked="0"/>
    </xf>
    <xf numFmtId="0" fontId="66" fillId="2" borderId="0" xfId="0" applyFont="1" applyFill="1" applyAlignment="1" applyProtection="1">
      <alignment wrapText="1"/>
      <protection locked="0"/>
    </xf>
    <xf numFmtId="0" fontId="65" fillId="9" borderId="21" xfId="0" applyFont="1" applyFill="1" applyBorder="1" applyAlignment="1">
      <alignment horizontal="center" vertical="center" wrapText="1"/>
    </xf>
    <xf numFmtId="0" fontId="65" fillId="9" borderId="22" xfId="0" applyFont="1" applyFill="1" applyBorder="1" applyAlignment="1">
      <alignment horizontal="center" vertical="center" wrapText="1"/>
    </xf>
    <xf numFmtId="0" fontId="66" fillId="2" borderId="0" xfId="0" applyFont="1" applyFill="1" applyAlignment="1">
      <alignment wrapText="1"/>
    </xf>
    <xf numFmtId="0" fontId="66" fillId="2" borderId="21" xfId="0" applyFont="1" applyFill="1" applyBorder="1" applyAlignment="1">
      <alignment horizontal="center" vertical="center"/>
    </xf>
    <xf numFmtId="166" fontId="66" fillId="2" borderId="21" xfId="0" applyNumberFormat="1" applyFont="1" applyFill="1" applyBorder="1" applyAlignment="1">
      <alignment horizontal="center" vertical="center"/>
    </xf>
    <xf numFmtId="2" fontId="66" fillId="2" borderId="21" xfId="0" applyNumberFormat="1" applyFont="1" applyFill="1" applyBorder="1" applyAlignment="1">
      <alignment horizontal="center" vertical="center"/>
    </xf>
    <xf numFmtId="0" fontId="66" fillId="2" borderId="0" xfId="0" applyFont="1" applyFill="1" applyAlignment="1">
      <alignment vertical="center"/>
    </xf>
    <xf numFmtId="0" fontId="66" fillId="2" borderId="0" xfId="0" applyFont="1" applyFill="1" applyAlignment="1">
      <alignment horizontal="center"/>
    </xf>
    <xf numFmtId="0" fontId="66" fillId="2" borderId="0" xfId="0" applyFont="1" applyFill="1"/>
    <xf numFmtId="0" fontId="44" fillId="2" borderId="0" xfId="0" applyFont="1" applyFill="1" applyAlignment="1" applyProtection="1">
      <alignment horizontal="right"/>
      <protection locked="0"/>
    </xf>
    <xf numFmtId="189" fontId="47" fillId="2" borderId="21" xfId="0" applyNumberFormat="1" applyFont="1" applyFill="1" applyBorder="1" applyAlignment="1" applyProtection="1">
      <alignment horizontal="left" vertical="center" wrapText="1"/>
      <protection locked="0"/>
    </xf>
    <xf numFmtId="175" fontId="47" fillId="2" borderId="21" xfId="6" applyNumberFormat="1" applyFont="1" applyFill="1" applyBorder="1" applyAlignment="1" applyProtection="1">
      <alignment horizontal="left" vertical="center" wrapText="1"/>
      <protection locked="0"/>
    </xf>
    <xf numFmtId="0" fontId="47" fillId="2" borderId="14" xfId="0" applyFont="1" applyFill="1" applyBorder="1" applyAlignment="1" applyProtection="1">
      <alignment horizontal="left" vertical="center" wrapText="1"/>
      <protection locked="0"/>
    </xf>
    <xf numFmtId="0" fontId="50" fillId="2" borderId="0" xfId="0" quotePrefix="1" applyFont="1" applyFill="1" applyAlignment="1" applyProtection="1">
      <alignment horizontal="center" vertical="center"/>
      <protection locked="0"/>
    </xf>
    <xf numFmtId="172" fontId="66" fillId="2" borderId="21" xfId="0" applyNumberFormat="1" applyFont="1" applyFill="1" applyBorder="1" applyAlignment="1">
      <alignment horizontal="center" vertical="center"/>
    </xf>
    <xf numFmtId="0" fontId="47" fillId="2" borderId="21" xfId="6" applyNumberFormat="1" applyFont="1" applyFill="1" applyBorder="1" applyAlignment="1" applyProtection="1">
      <alignment horizontal="left" vertical="center" wrapText="1"/>
      <protection locked="0"/>
    </xf>
    <xf numFmtId="181" fontId="47" fillId="2" borderId="21" xfId="6" applyNumberFormat="1" applyFont="1" applyFill="1" applyBorder="1" applyAlignment="1" applyProtection="1">
      <alignment horizontal="left" vertical="center" wrapText="1"/>
      <protection locked="0"/>
    </xf>
    <xf numFmtId="180" fontId="47" fillId="2" borderId="21" xfId="6" applyNumberFormat="1" applyFont="1" applyFill="1" applyBorder="1" applyAlignment="1" applyProtection="1">
      <alignment horizontal="left" vertical="center" wrapText="1"/>
      <protection locked="0"/>
    </xf>
    <xf numFmtId="182" fontId="47" fillId="2" borderId="21" xfId="6" applyNumberFormat="1" applyFont="1" applyFill="1" applyBorder="1" applyAlignment="1" applyProtection="1">
      <alignment horizontal="left" vertical="center" wrapText="1"/>
      <protection locked="0"/>
    </xf>
    <xf numFmtId="3" fontId="47" fillId="2" borderId="21" xfId="6" applyNumberFormat="1" applyFont="1" applyFill="1" applyBorder="1" applyAlignment="1" applyProtection="1">
      <alignment horizontal="left" vertical="center" wrapText="1"/>
      <protection locked="0"/>
    </xf>
    <xf numFmtId="172" fontId="47" fillId="2" borderId="21" xfId="6" applyNumberFormat="1" applyFont="1" applyFill="1" applyBorder="1" applyAlignment="1" applyProtection="1">
      <alignment horizontal="left" vertical="center" wrapText="1"/>
      <protection locked="0"/>
    </xf>
    <xf numFmtId="2" fontId="47" fillId="2" borderId="21" xfId="0" applyNumberFormat="1" applyFont="1" applyFill="1" applyBorder="1" applyAlignment="1" applyProtection="1">
      <alignment horizontal="left" vertical="center" wrapText="1"/>
      <protection locked="0"/>
    </xf>
    <xf numFmtId="3" fontId="66" fillId="2" borderId="21" xfId="0" applyNumberFormat="1" applyFont="1" applyFill="1" applyBorder="1" applyAlignment="1">
      <alignment horizontal="center" vertical="center"/>
    </xf>
    <xf numFmtId="191" fontId="47" fillId="2" borderId="21" xfId="0" applyNumberFormat="1" applyFont="1" applyFill="1" applyBorder="1" applyAlignment="1" applyProtection="1">
      <alignment horizontal="left" vertical="center" wrapText="1"/>
      <protection locked="0"/>
    </xf>
    <xf numFmtId="192" fontId="47" fillId="2" borderId="21" xfId="0" applyNumberFormat="1" applyFont="1" applyFill="1" applyBorder="1" applyAlignment="1" applyProtection="1">
      <alignment horizontal="left" vertical="center" wrapText="1"/>
      <protection locked="0"/>
    </xf>
    <xf numFmtId="193" fontId="47" fillId="2" borderId="21" xfId="0" applyNumberFormat="1" applyFont="1" applyFill="1" applyBorder="1" applyAlignment="1" applyProtection="1">
      <alignment horizontal="left" vertical="center" wrapText="1"/>
      <protection locked="0"/>
    </xf>
    <xf numFmtId="0" fontId="28" fillId="2" borderId="27" xfId="0" applyFont="1" applyFill="1" applyBorder="1" applyAlignment="1">
      <alignment horizontal="center" vertical="center" wrapText="1"/>
    </xf>
    <xf numFmtId="11" fontId="28" fillId="2" borderId="27" xfId="0" applyNumberFormat="1" applyFont="1" applyFill="1" applyBorder="1" applyAlignment="1">
      <alignment horizontal="center" vertical="center" wrapText="1"/>
    </xf>
    <xf numFmtId="0" fontId="28" fillId="2" borderId="25" xfId="0" applyFont="1" applyFill="1" applyBorder="1" applyAlignment="1">
      <alignment horizontal="center" vertical="center" wrapText="1"/>
    </xf>
    <xf numFmtId="1" fontId="33" fillId="2" borderId="25" xfId="0" applyNumberFormat="1" applyFont="1" applyFill="1" applyBorder="1" applyAlignment="1">
      <alignment horizontal="center" vertical="center" shrinkToFit="1"/>
    </xf>
    <xf numFmtId="172" fontId="33" fillId="2" borderId="25" xfId="0" applyNumberFormat="1" applyFont="1" applyFill="1" applyBorder="1" applyAlignment="1">
      <alignment horizontal="center" vertical="top" shrinkToFit="1"/>
    </xf>
    <xf numFmtId="1" fontId="33" fillId="2" borderId="25" xfId="0" applyNumberFormat="1" applyFont="1" applyFill="1" applyBorder="1" applyAlignment="1">
      <alignment horizontal="center" vertical="top" shrinkToFit="1"/>
    </xf>
    <xf numFmtId="0" fontId="5" fillId="6" borderId="25" xfId="0" applyFont="1" applyFill="1" applyBorder="1" applyAlignment="1">
      <alignment horizontal="center" vertical="center" wrapText="1"/>
    </xf>
    <xf numFmtId="0" fontId="27" fillId="6" borderId="25" xfId="0" applyFont="1" applyFill="1" applyBorder="1" applyAlignment="1">
      <alignment horizontal="center" vertical="center" wrapText="1"/>
    </xf>
    <xf numFmtId="1" fontId="60" fillId="6" borderId="25" xfId="0" applyNumberFormat="1" applyFont="1" applyFill="1" applyBorder="1" applyAlignment="1">
      <alignment horizontal="center" vertical="center" shrinkToFit="1"/>
    </xf>
    <xf numFmtId="0" fontId="2" fillId="3" borderId="1" xfId="1" applyFill="1" applyBorder="1"/>
    <xf numFmtId="0" fontId="2" fillId="3" borderId="2" xfId="1" applyFill="1" applyBorder="1"/>
    <xf numFmtId="0" fontId="2" fillId="3" borderId="3" xfId="1" applyFill="1" applyBorder="1"/>
    <xf numFmtId="0" fontId="8" fillId="3" borderId="0" xfId="1" applyFont="1" applyFill="1"/>
    <xf numFmtId="0" fontId="8" fillId="3" borderId="4" xfId="1" applyFont="1" applyFill="1" applyBorder="1"/>
    <xf numFmtId="0" fontId="7" fillId="3" borderId="6" xfId="1" applyFont="1" applyFill="1" applyBorder="1"/>
    <xf numFmtId="0" fontId="8" fillId="3" borderId="7" xfId="1" applyFont="1" applyFill="1" applyBorder="1"/>
    <xf numFmtId="0" fontId="8" fillId="3" borderId="8" xfId="1" applyFont="1" applyFill="1" applyBorder="1"/>
    <xf numFmtId="0" fontId="15" fillId="2" borderId="0" xfId="1" applyFont="1" applyFill="1" applyAlignment="1">
      <alignment vertical="center"/>
    </xf>
    <xf numFmtId="0" fontId="2" fillId="2" borderId="0" xfId="1" applyFill="1" applyAlignment="1">
      <alignment horizontal="left" vertical="top"/>
    </xf>
    <xf numFmtId="0" fontId="25" fillId="2" borderId="0" xfId="0" applyFont="1" applyFill="1"/>
    <xf numFmtId="0" fontId="2" fillId="2" borderId="0" xfId="1" quotePrefix="1" applyFill="1" applyAlignment="1">
      <alignment horizontal="left"/>
    </xf>
    <xf numFmtId="0" fontId="0" fillId="2" borderId="0" xfId="0" applyFill="1" applyAlignment="1">
      <alignment vertical="top" wrapText="1"/>
    </xf>
    <xf numFmtId="0" fontId="71" fillId="10" borderId="90" xfId="0" applyFont="1" applyFill="1" applyBorder="1" applyAlignment="1">
      <alignment horizontal="left" vertical="center" wrapText="1"/>
    </xf>
    <xf numFmtId="0" fontId="71" fillId="10" borderId="21" xfId="0" applyFont="1" applyFill="1" applyBorder="1" applyAlignment="1">
      <alignment horizontal="center" vertical="center"/>
    </xf>
    <xf numFmtId="14" fontId="0" fillId="0" borderId="21" xfId="0" applyNumberForma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172" fontId="0" fillId="10" borderId="21" xfId="0" applyNumberFormat="1" applyFill="1" applyBorder="1" applyAlignment="1" applyProtection="1">
      <alignment horizontal="center" vertical="center"/>
      <protection locked="0"/>
    </xf>
    <xf numFmtId="0" fontId="0" fillId="0" borderId="0" xfId="0" applyProtection="1">
      <protection locked="0"/>
    </xf>
    <xf numFmtId="0" fontId="42" fillId="2" borderId="0" xfId="0" applyFont="1" applyFill="1" applyAlignment="1">
      <alignment vertical="top"/>
    </xf>
    <xf numFmtId="0" fontId="0" fillId="0" borderId="21" xfId="0" applyBorder="1" applyAlignment="1" applyProtection="1">
      <alignment horizontal="center"/>
      <protection locked="0"/>
    </xf>
    <xf numFmtId="0" fontId="9" fillId="3" borderId="5" xfId="1" applyFont="1" applyFill="1" applyBorder="1" applyAlignment="1" applyProtection="1">
      <alignment horizontal="center"/>
      <protection hidden="1"/>
    </xf>
    <xf numFmtId="0" fontId="9" fillId="3" borderId="0" xfId="1" applyFont="1" applyFill="1" applyAlignment="1" applyProtection="1">
      <alignment horizontal="center"/>
      <protection hidden="1"/>
    </xf>
    <xf numFmtId="0" fontId="9" fillId="3" borderId="4" xfId="1" applyFont="1" applyFill="1" applyBorder="1" applyAlignment="1" applyProtection="1">
      <alignment horizontal="center"/>
      <protection hidden="1"/>
    </xf>
    <xf numFmtId="0" fontId="11" fillId="3" borderId="5" xfId="2" applyFont="1" applyFill="1" applyBorder="1" applyAlignment="1" applyProtection="1">
      <alignment horizontal="left" vertical="top"/>
      <protection locked="0"/>
    </xf>
    <xf numFmtId="0" fontId="11" fillId="3" borderId="0" xfId="2" applyFont="1" applyFill="1" applyAlignment="1" applyProtection="1">
      <alignment horizontal="left" vertical="top"/>
      <protection locked="0"/>
    </xf>
    <xf numFmtId="0" fontId="11" fillId="3" borderId="4" xfId="2" applyFont="1" applyFill="1" applyBorder="1" applyAlignment="1" applyProtection="1">
      <alignment horizontal="left" vertical="top"/>
      <protection locked="0"/>
    </xf>
    <xf numFmtId="0" fontId="38" fillId="2" borderId="9" xfId="2" applyFont="1" applyFill="1" applyBorder="1" applyAlignment="1" applyProtection="1">
      <alignment horizontal="left"/>
      <protection locked="0"/>
    </xf>
    <xf numFmtId="0" fontId="38" fillId="2" borderId="10" xfId="2" applyFont="1" applyFill="1" applyBorder="1" applyAlignment="1" applyProtection="1">
      <alignment horizontal="left"/>
      <protection locked="0"/>
    </xf>
    <xf numFmtId="0" fontId="38" fillId="2" borderId="11" xfId="2" applyFont="1" applyFill="1" applyBorder="1" applyAlignment="1" applyProtection="1">
      <alignment horizontal="left"/>
      <protection locked="0"/>
    </xf>
    <xf numFmtId="0" fontId="38" fillId="2" borderId="12" xfId="1" applyFont="1" applyFill="1" applyBorder="1" applyAlignment="1" applyProtection="1">
      <alignment horizontal="left"/>
      <protection locked="0"/>
    </xf>
    <xf numFmtId="0" fontId="38" fillId="2" borderId="10" xfId="1" applyFont="1" applyFill="1" applyBorder="1" applyAlignment="1" applyProtection="1">
      <alignment horizontal="left"/>
      <protection locked="0"/>
    </xf>
    <xf numFmtId="14" fontId="38" fillId="2" borderId="12" xfId="1" applyNumberFormat="1" applyFont="1" applyFill="1" applyBorder="1" applyAlignment="1" applyProtection="1">
      <alignment horizontal="left"/>
      <protection locked="0"/>
    </xf>
    <xf numFmtId="14" fontId="38" fillId="2" borderId="13" xfId="1" applyNumberFormat="1" applyFont="1" applyFill="1" applyBorder="1" applyAlignment="1" applyProtection="1">
      <alignment horizontal="left"/>
      <protection locked="0"/>
    </xf>
    <xf numFmtId="0" fontId="10" fillId="2" borderId="5" xfId="2" applyFont="1" applyFill="1" applyBorder="1" applyAlignment="1">
      <alignment horizontal="left" vertical="top" wrapText="1"/>
    </xf>
    <xf numFmtId="0" fontId="10" fillId="2" borderId="0" xfId="2" applyFont="1" applyFill="1" applyAlignment="1">
      <alignment horizontal="left" vertical="top" wrapText="1"/>
    </xf>
    <xf numFmtId="0" fontId="10" fillId="2" borderId="4" xfId="2" applyFont="1" applyFill="1" applyBorder="1" applyAlignment="1">
      <alignment horizontal="left" vertical="top" wrapText="1"/>
    </xf>
    <xf numFmtId="164" fontId="2" fillId="2" borderId="9" xfId="2" applyNumberFormat="1" applyFont="1" applyFill="1" applyBorder="1" applyAlignment="1" applyProtection="1">
      <alignment horizontal="left"/>
      <protection locked="0"/>
    </xf>
    <xf numFmtId="164" fontId="2" fillId="2" borderId="10" xfId="2" applyNumberFormat="1" applyFont="1" applyFill="1" applyBorder="1" applyAlignment="1" applyProtection="1">
      <alignment horizontal="left"/>
      <protection locked="0"/>
    </xf>
    <xf numFmtId="164" fontId="2" fillId="2" borderId="11" xfId="2" applyNumberFormat="1" applyFont="1" applyFill="1" applyBorder="1" applyAlignment="1" applyProtection="1">
      <alignment horizontal="left"/>
      <protection locked="0"/>
    </xf>
    <xf numFmtId="164" fontId="2" fillId="0" borderId="12" xfId="1" applyNumberFormat="1" applyBorder="1" applyAlignment="1" applyProtection="1">
      <alignment horizontal="left"/>
      <protection locked="0"/>
    </xf>
    <xf numFmtId="164" fontId="2" fillId="0" borderId="10" xfId="1" applyNumberFormat="1" applyBorder="1" applyAlignment="1" applyProtection="1">
      <alignment horizontal="left"/>
      <protection locked="0"/>
    </xf>
    <xf numFmtId="164" fontId="2" fillId="0" borderId="11" xfId="1" applyNumberFormat="1" applyBorder="1" applyAlignment="1" applyProtection="1">
      <alignment horizontal="left"/>
      <protection locked="0"/>
    </xf>
    <xf numFmtId="165" fontId="2" fillId="2" borderId="12" xfId="1" applyNumberFormat="1" applyFill="1" applyBorder="1" applyAlignment="1" applyProtection="1">
      <alignment horizontal="left"/>
      <protection locked="0"/>
    </xf>
    <xf numFmtId="165" fontId="2" fillId="2" borderId="10" xfId="1" applyNumberFormat="1" applyFill="1" applyBorder="1" applyAlignment="1" applyProtection="1">
      <alignment horizontal="left"/>
      <protection locked="0"/>
    </xf>
    <xf numFmtId="165" fontId="2" fillId="2" borderId="13" xfId="1" applyNumberFormat="1" applyFill="1" applyBorder="1" applyAlignment="1" applyProtection="1">
      <alignment horizontal="left"/>
      <protection locked="0"/>
    </xf>
    <xf numFmtId="0" fontId="2" fillId="2" borderId="9" xfId="2" applyFont="1" applyFill="1" applyBorder="1" applyAlignment="1" applyProtection="1">
      <alignment horizontal="left"/>
      <protection locked="0"/>
    </xf>
    <xf numFmtId="0" fontId="2" fillId="2" borderId="10" xfId="2" applyFont="1" applyFill="1" applyBorder="1" applyAlignment="1" applyProtection="1">
      <alignment horizontal="left"/>
      <protection locked="0"/>
    </xf>
    <xf numFmtId="0" fontId="2" fillId="2" borderId="11" xfId="2" applyFont="1" applyFill="1" applyBorder="1" applyAlignment="1" applyProtection="1">
      <alignment horizontal="left"/>
      <protection locked="0"/>
    </xf>
    <xf numFmtId="0" fontId="4" fillId="2" borderId="12" xfId="3" applyFill="1" applyBorder="1" applyAlignment="1" applyProtection="1">
      <alignment horizontal="left"/>
      <protection locked="0"/>
    </xf>
    <xf numFmtId="0" fontId="2" fillId="2" borderId="10" xfId="1" applyFill="1" applyBorder="1" applyAlignment="1" applyProtection="1">
      <alignment horizontal="left"/>
      <protection locked="0"/>
    </xf>
    <xf numFmtId="0" fontId="2" fillId="2" borderId="11" xfId="1" applyFill="1" applyBorder="1" applyAlignment="1" applyProtection="1">
      <alignment horizontal="left"/>
      <protection locked="0"/>
    </xf>
    <xf numFmtId="166" fontId="5" fillId="2" borderId="12" xfId="4" applyNumberFormat="1" applyFont="1" applyFill="1" applyBorder="1" applyAlignment="1" applyProtection="1">
      <alignment horizontal="center"/>
      <protection locked="0"/>
    </xf>
    <xf numFmtId="166" fontId="5" fillId="2" borderId="10" xfId="4" applyNumberFormat="1" applyFont="1" applyFill="1" applyBorder="1" applyAlignment="1" applyProtection="1">
      <alignment horizontal="center"/>
      <protection locked="0"/>
    </xf>
    <xf numFmtId="0" fontId="2" fillId="2" borderId="12" xfId="1" applyFill="1" applyBorder="1" applyAlignment="1" applyProtection="1">
      <alignment horizontal="left"/>
      <protection locked="0"/>
    </xf>
    <xf numFmtId="0" fontId="12" fillId="2" borderId="9" xfId="2" applyFont="1" applyFill="1" applyBorder="1" applyAlignment="1">
      <alignment horizontal="left" vertical="top"/>
    </xf>
    <xf numFmtId="0" fontId="12" fillId="2" borderId="10" xfId="2" applyFont="1" applyFill="1" applyBorder="1" applyAlignment="1">
      <alignment horizontal="left" vertical="top"/>
    </xf>
    <xf numFmtId="0" fontId="12" fillId="2" borderId="11" xfId="2" applyFont="1" applyFill="1" applyBorder="1" applyAlignment="1">
      <alignment horizontal="left" vertical="top"/>
    </xf>
    <xf numFmtId="168" fontId="2" fillId="2" borderId="9" xfId="1" applyNumberFormat="1" applyFill="1" applyBorder="1" applyAlignment="1" applyProtection="1">
      <alignment horizontal="center"/>
      <protection locked="0"/>
    </xf>
    <xf numFmtId="168" fontId="2" fillId="2" borderId="10" xfId="1" applyNumberFormat="1" applyFill="1" applyBorder="1" applyAlignment="1" applyProtection="1">
      <alignment horizontal="center"/>
      <protection locked="0"/>
    </xf>
    <xf numFmtId="168" fontId="2" fillId="2" borderId="11" xfId="1" applyNumberFormat="1" applyFill="1" applyBorder="1" applyAlignment="1" applyProtection="1">
      <alignment horizontal="center"/>
      <protection locked="0"/>
    </xf>
    <xf numFmtId="3" fontId="2" fillId="2" borderId="12" xfId="1" applyNumberFormat="1" applyFill="1" applyBorder="1" applyAlignment="1" applyProtection="1">
      <alignment horizontal="center"/>
      <protection locked="0"/>
    </xf>
    <xf numFmtId="3" fontId="2" fillId="2" borderId="11" xfId="1" applyNumberFormat="1" applyFill="1" applyBorder="1" applyAlignment="1" applyProtection="1">
      <alignment horizontal="center"/>
      <protection locked="0"/>
    </xf>
    <xf numFmtId="0" fontId="14" fillId="2" borderId="10" xfId="3" quotePrefix="1" applyFont="1" applyFill="1" applyBorder="1" applyAlignment="1" applyProtection="1">
      <alignment horizontal="left" vertical="center"/>
      <protection locked="0"/>
    </xf>
    <xf numFmtId="3" fontId="2" fillId="2" borderId="18" xfId="1" applyNumberFormat="1" applyFill="1" applyBorder="1" applyAlignment="1" applyProtection="1">
      <alignment horizontal="center"/>
      <protection locked="0"/>
    </xf>
    <xf numFmtId="3" fontId="2" fillId="2" borderId="19" xfId="1" applyNumberFormat="1" applyFill="1" applyBorder="1" applyAlignment="1" applyProtection="1">
      <alignment horizontal="center"/>
      <protection locked="0"/>
    </xf>
    <xf numFmtId="0" fontId="2" fillId="2" borderId="9" xfId="1" applyFill="1" applyBorder="1" applyAlignment="1" applyProtection="1">
      <alignment horizontal="left"/>
      <protection locked="0"/>
    </xf>
    <xf numFmtId="0" fontId="2" fillId="2" borderId="13" xfId="1" applyFill="1" applyBorder="1" applyAlignment="1" applyProtection="1">
      <alignment horizontal="left"/>
      <protection locked="0"/>
    </xf>
    <xf numFmtId="0" fontId="2" fillId="2" borderId="12" xfId="4" applyFill="1" applyBorder="1" applyAlignment="1" applyProtection="1">
      <alignment horizontal="left" vertical="center"/>
      <protection locked="0"/>
    </xf>
    <xf numFmtId="0" fontId="2" fillId="2" borderId="10" xfId="4" applyFill="1" applyBorder="1" applyAlignment="1" applyProtection="1">
      <alignment horizontal="left" vertical="center"/>
      <protection locked="0"/>
    </xf>
    <xf numFmtId="0" fontId="2" fillId="2" borderId="13" xfId="4" applyFill="1" applyBorder="1" applyAlignment="1" applyProtection="1">
      <alignment horizontal="left" vertical="center"/>
      <protection locked="0"/>
    </xf>
    <xf numFmtId="14" fontId="21" fillId="2" borderId="9" xfId="2" applyNumberFormat="1" applyFont="1" applyFill="1" applyBorder="1" applyAlignment="1" applyProtection="1">
      <alignment horizontal="left"/>
      <protection locked="0"/>
    </xf>
    <xf numFmtId="14" fontId="21" fillId="2" borderId="10" xfId="2" applyNumberFormat="1" applyFont="1" applyFill="1" applyBorder="1" applyAlignment="1" applyProtection="1">
      <alignment horizontal="left"/>
      <protection locked="0"/>
    </xf>
    <xf numFmtId="14" fontId="21" fillId="2" borderId="13" xfId="2" applyNumberFormat="1" applyFont="1" applyFill="1" applyBorder="1" applyAlignment="1" applyProtection="1">
      <alignment horizontal="left"/>
      <protection locked="0"/>
    </xf>
    <xf numFmtId="164" fontId="2" fillId="2" borderId="9" xfId="1" applyNumberFormat="1" applyFill="1" applyBorder="1" applyAlignment="1" applyProtection="1">
      <alignment horizontal="left"/>
      <protection locked="0"/>
    </xf>
    <xf numFmtId="164" fontId="2" fillId="2" borderId="10" xfId="1" applyNumberFormat="1" applyFill="1" applyBorder="1" applyAlignment="1" applyProtection="1">
      <alignment horizontal="left"/>
      <protection locked="0"/>
    </xf>
    <xf numFmtId="164" fontId="2" fillId="2" borderId="11" xfId="1" applyNumberFormat="1" applyFill="1" applyBorder="1" applyAlignment="1" applyProtection="1">
      <alignment horizontal="left"/>
      <protection locked="0"/>
    </xf>
    <xf numFmtId="14" fontId="2" fillId="2" borderId="9" xfId="1" applyNumberFormat="1" applyFill="1" applyBorder="1" applyAlignment="1" applyProtection="1">
      <alignment horizontal="center"/>
      <protection locked="0"/>
    </xf>
    <xf numFmtId="14" fontId="2" fillId="2" borderId="10" xfId="1" applyNumberFormat="1" applyFill="1" applyBorder="1" applyAlignment="1" applyProtection="1">
      <alignment horizontal="center"/>
      <protection locked="0"/>
    </xf>
    <xf numFmtId="14" fontId="2" fillId="2" borderId="11" xfId="1" applyNumberFormat="1" applyFill="1" applyBorder="1" applyAlignment="1" applyProtection="1">
      <alignment horizontal="center"/>
      <protection locked="0"/>
    </xf>
    <xf numFmtId="49" fontId="20" fillId="2" borderId="9" xfId="1" applyNumberFormat="1" applyFont="1" applyFill="1" applyBorder="1" applyAlignment="1" applyProtection="1">
      <alignment horizontal="left"/>
      <protection locked="0"/>
    </xf>
    <xf numFmtId="49" fontId="20" fillId="2" borderId="10" xfId="1" applyNumberFormat="1" applyFont="1" applyFill="1" applyBorder="1" applyAlignment="1" applyProtection="1">
      <alignment horizontal="left"/>
      <protection locked="0"/>
    </xf>
    <xf numFmtId="49" fontId="20" fillId="2" borderId="13" xfId="1" applyNumberFormat="1" applyFont="1" applyFill="1" applyBorder="1" applyAlignment="1" applyProtection="1">
      <alignment horizontal="left"/>
      <protection locked="0"/>
    </xf>
    <xf numFmtId="0" fontId="2" fillId="2" borderId="9" xfId="2" applyFont="1" applyFill="1" applyBorder="1" applyAlignment="1" applyProtection="1">
      <alignment horizontal="left"/>
      <protection locked="0" hidden="1"/>
    </xf>
    <xf numFmtId="0" fontId="2" fillId="2" borderId="10" xfId="2" applyFont="1" applyFill="1" applyBorder="1" applyAlignment="1" applyProtection="1">
      <alignment horizontal="left"/>
      <protection locked="0" hidden="1"/>
    </xf>
    <xf numFmtId="0" fontId="2" fillId="2" borderId="11" xfId="2" applyFont="1" applyFill="1" applyBorder="1" applyAlignment="1" applyProtection="1">
      <alignment horizontal="left"/>
      <protection locked="0" hidden="1"/>
    </xf>
    <xf numFmtId="0" fontId="71" fillId="10" borderId="21" xfId="0" applyFont="1" applyFill="1" applyBorder="1" applyAlignment="1">
      <alignment horizontal="left" vertical="center" wrapText="1"/>
    </xf>
    <xf numFmtId="0" fontId="69" fillId="0" borderId="21" xfId="0" applyFont="1" applyBorder="1" applyAlignment="1" applyProtection="1">
      <alignment horizontal="center" vertical="center"/>
      <protection locked="0"/>
    </xf>
    <xf numFmtId="0" fontId="70" fillId="2" borderId="17" xfId="0" applyFont="1" applyFill="1" applyBorder="1" applyAlignment="1">
      <alignment horizontal="right" vertical="center"/>
    </xf>
    <xf numFmtId="0" fontId="68" fillId="3" borderId="22" xfId="1" applyFont="1" applyFill="1" applyBorder="1" applyAlignment="1">
      <alignment horizontal="left" vertical="center"/>
    </xf>
    <xf numFmtId="0" fontId="68" fillId="3" borderId="17" xfId="1" applyFont="1" applyFill="1" applyBorder="1" applyAlignment="1">
      <alignment horizontal="left" vertical="center"/>
    </xf>
    <xf numFmtId="0" fontId="68" fillId="3" borderId="23" xfId="1" applyFont="1" applyFill="1" applyBorder="1" applyAlignment="1">
      <alignment horizontal="left" vertical="center"/>
    </xf>
    <xf numFmtId="0" fontId="72" fillId="9" borderId="21" xfId="0" applyFont="1" applyFill="1" applyBorder="1" applyAlignment="1">
      <alignment horizontal="center" vertical="center"/>
    </xf>
    <xf numFmtId="0" fontId="71" fillId="10" borderId="34" xfId="0" applyFont="1" applyFill="1" applyBorder="1" applyAlignment="1">
      <alignment horizontal="left" vertical="center" wrapText="1"/>
    </xf>
    <xf numFmtId="0" fontId="0" fillId="2" borderId="21" xfId="0" applyFill="1" applyBorder="1" applyAlignment="1" applyProtection="1">
      <alignment horizontal="left" vertical="center" wrapText="1"/>
      <protection locked="0"/>
    </xf>
    <xf numFmtId="0" fontId="0" fillId="2" borderId="21" xfId="0" applyFill="1" applyBorder="1" applyAlignment="1">
      <alignment horizontal="left" vertical="center" wrapText="1"/>
    </xf>
    <xf numFmtId="168" fontId="0" fillId="10" borderId="21" xfId="0" applyNumberFormat="1" applyFill="1" applyBorder="1" applyAlignment="1">
      <alignment horizontal="left" vertical="center" wrapText="1"/>
    </xf>
    <xf numFmtId="0" fontId="82" fillId="5" borderId="0" xfId="0" quotePrefix="1" applyFont="1" applyFill="1" applyAlignment="1">
      <alignment horizontal="center"/>
    </xf>
    <xf numFmtId="0" fontId="72" fillId="9" borderId="12" xfId="0" applyFont="1" applyFill="1" applyBorder="1" applyAlignment="1">
      <alignment horizontal="center" vertical="center"/>
    </xf>
    <xf numFmtId="0" fontId="72" fillId="9" borderId="10" xfId="0" applyFont="1" applyFill="1" applyBorder="1" applyAlignment="1">
      <alignment horizontal="center" vertical="center"/>
    </xf>
    <xf numFmtId="0" fontId="72" fillId="9" borderId="11" xfId="0" applyFont="1" applyFill="1" applyBorder="1" applyAlignment="1">
      <alignment horizontal="center" vertical="center"/>
    </xf>
    <xf numFmtId="0" fontId="71" fillId="10" borderId="21" xfId="0" applyFont="1" applyFill="1" applyBorder="1" applyAlignment="1">
      <alignment horizontal="left" vertical="top" wrapText="1"/>
    </xf>
    <xf numFmtId="0" fontId="72" fillId="9" borderId="18" xfId="0" applyFont="1" applyFill="1" applyBorder="1" applyAlignment="1">
      <alignment horizontal="center" vertical="center"/>
    </xf>
    <xf numFmtId="0" fontId="72" fillId="9" borderId="0" xfId="0" applyFont="1" applyFill="1" applyAlignment="1">
      <alignment horizontal="center" vertical="center"/>
    </xf>
    <xf numFmtId="0" fontId="72" fillId="9" borderId="19" xfId="0" applyFont="1" applyFill="1" applyBorder="1" applyAlignment="1">
      <alignment horizontal="center" vertical="center"/>
    </xf>
    <xf numFmtId="0" fontId="0" fillId="0" borderId="89"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9" xfId="0" applyBorder="1" applyAlignment="1" applyProtection="1">
      <alignment horizontal="left" vertical="center"/>
      <protection locked="0"/>
    </xf>
    <xf numFmtId="14" fontId="0" fillId="2" borderId="21" xfId="0" applyNumberFormat="1" applyFill="1" applyBorder="1" applyAlignment="1" applyProtection="1">
      <alignment horizontal="left" vertical="center" wrapText="1"/>
      <protection locked="0"/>
    </xf>
    <xf numFmtId="0" fontId="23" fillId="2" borderId="0" xfId="0" quotePrefix="1" applyFont="1" applyFill="1" applyAlignment="1">
      <alignment horizontal="left" vertical="top" wrapText="1"/>
    </xf>
    <xf numFmtId="0" fontId="23" fillId="2" borderId="0" xfId="0" applyFont="1" applyFill="1" applyAlignment="1">
      <alignment horizontal="left" vertical="top" wrapText="1"/>
    </xf>
    <xf numFmtId="0" fontId="24" fillId="2" borderId="0" xfId="0" quotePrefix="1" applyFont="1" applyFill="1" applyAlignment="1">
      <alignment horizontal="left" vertical="top" wrapText="1"/>
    </xf>
    <xf numFmtId="0" fontId="24" fillId="2" borderId="0" xfId="0" applyFont="1" applyFill="1" applyAlignment="1">
      <alignment horizontal="left" vertical="top" wrapText="1"/>
    </xf>
    <xf numFmtId="0" fontId="65" fillId="9" borderId="22" xfId="0" applyFont="1" applyFill="1" applyBorder="1" applyAlignment="1">
      <alignment horizontal="left" vertical="center"/>
    </xf>
    <xf numFmtId="0" fontId="65" fillId="9" borderId="17" xfId="0" applyFont="1" applyFill="1" applyBorder="1" applyAlignment="1">
      <alignment horizontal="left" vertical="center"/>
    </xf>
    <xf numFmtId="0" fontId="65" fillId="9" borderId="23" xfId="0" applyFont="1" applyFill="1" applyBorder="1" applyAlignment="1">
      <alignment horizontal="left" vertical="center"/>
    </xf>
    <xf numFmtId="0" fontId="0" fillId="2" borderId="28" xfId="0"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0" fillId="2" borderId="29" xfId="0" applyFill="1" applyBorder="1" applyAlignment="1" applyProtection="1">
      <alignment horizontal="left" vertical="top"/>
      <protection locked="0"/>
    </xf>
    <xf numFmtId="0" fontId="0" fillId="2" borderId="18"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19" xfId="0" applyFill="1" applyBorder="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35" fillId="9" borderId="21" xfId="0" applyFont="1" applyFill="1" applyBorder="1" applyAlignment="1">
      <alignment horizontal="left"/>
    </xf>
    <xf numFmtId="0" fontId="35" fillId="9" borderId="22" xfId="0" applyFont="1" applyFill="1" applyBorder="1" applyAlignment="1">
      <alignment horizontal="center"/>
    </xf>
    <xf numFmtId="0" fontId="35" fillId="9" borderId="23" xfId="0" applyFont="1" applyFill="1" applyBorder="1" applyAlignment="1">
      <alignment horizontal="center"/>
    </xf>
    <xf numFmtId="0" fontId="0" fillId="2" borderId="10" xfId="0" applyFill="1" applyBorder="1" applyAlignment="1">
      <alignment horizontal="center"/>
    </xf>
    <xf numFmtId="0" fontId="35" fillId="9" borderId="17" xfId="0" applyFont="1" applyFill="1" applyBorder="1" applyAlignment="1">
      <alignment horizontal="center"/>
    </xf>
    <xf numFmtId="0" fontId="5" fillId="2" borderId="28" xfId="0" applyFont="1" applyFill="1" applyBorder="1" applyAlignment="1">
      <alignment horizontal="center" wrapText="1"/>
    </xf>
    <xf numFmtId="0" fontId="5" fillId="2" borderId="29" xfId="0" applyFont="1" applyFill="1" applyBorder="1" applyAlignment="1">
      <alignment horizontal="center" wrapText="1"/>
    </xf>
    <xf numFmtId="0" fontId="5" fillId="2" borderId="18" xfId="0" applyFont="1" applyFill="1" applyBorder="1" applyAlignment="1">
      <alignment horizontal="center" wrapText="1"/>
    </xf>
    <xf numFmtId="0" fontId="5" fillId="2" borderId="19" xfId="0" applyFont="1" applyFill="1" applyBorder="1" applyAlignment="1">
      <alignment horizontal="center" wrapText="1"/>
    </xf>
    <xf numFmtId="0" fontId="5" fillId="2" borderId="12" xfId="0" applyFont="1" applyFill="1" applyBorder="1" applyAlignment="1">
      <alignment horizontal="center" wrapText="1"/>
    </xf>
    <xf numFmtId="0" fontId="5" fillId="2" borderId="11" xfId="0" applyFont="1" applyFill="1" applyBorder="1" applyAlignment="1">
      <alignment horizontal="center" wrapText="1"/>
    </xf>
    <xf numFmtId="0" fontId="27" fillId="10" borderId="85" xfId="0" applyFont="1" applyFill="1" applyBorder="1" applyAlignment="1">
      <alignment horizontal="center" vertical="center"/>
    </xf>
    <xf numFmtId="0" fontId="27" fillId="10" borderId="86" xfId="0" applyFont="1" applyFill="1" applyBorder="1" applyAlignment="1">
      <alignment horizontal="center" vertical="center"/>
    </xf>
    <xf numFmtId="0" fontId="27" fillId="10" borderId="87" xfId="0" applyFont="1" applyFill="1" applyBorder="1" applyAlignment="1">
      <alignment horizontal="center" vertical="center"/>
    </xf>
    <xf numFmtId="0" fontId="27" fillId="5" borderId="32" xfId="0" applyFont="1" applyFill="1" applyBorder="1" applyAlignment="1">
      <alignment horizontal="center" vertical="center"/>
    </xf>
    <xf numFmtId="0" fontId="27" fillId="5" borderId="33" xfId="0" applyFont="1" applyFill="1" applyBorder="1" applyAlignment="1">
      <alignment horizontal="center" vertical="center"/>
    </xf>
    <xf numFmtId="174" fontId="27" fillId="10" borderId="83" xfId="0" applyNumberFormat="1" applyFont="1" applyFill="1" applyBorder="1" applyAlignment="1">
      <alignment horizontal="center" vertical="center"/>
    </xf>
    <xf numFmtId="174" fontId="27" fillId="10" borderId="0" xfId="0" applyNumberFormat="1" applyFont="1" applyFill="1" applyAlignment="1">
      <alignment horizontal="center" vertical="center"/>
    </xf>
    <xf numFmtId="174" fontId="27" fillId="10" borderId="84" xfId="0" applyNumberFormat="1" applyFont="1" applyFill="1" applyBorder="1" applyAlignment="1">
      <alignment horizontal="center" vertical="center"/>
    </xf>
    <xf numFmtId="0" fontId="27" fillId="5" borderId="88" xfId="0" applyFont="1" applyFill="1" applyBorder="1" applyAlignment="1">
      <alignment horizontal="center" vertical="center"/>
    </xf>
    <xf numFmtId="0" fontId="0" fillId="2" borderId="28"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65" fillId="9" borderId="22" xfId="0" applyFont="1" applyFill="1" applyBorder="1" applyAlignment="1">
      <alignment horizontal="left"/>
    </xf>
    <xf numFmtId="0" fontId="65" fillId="9" borderId="17" xfId="0" applyFont="1" applyFill="1" applyBorder="1" applyAlignment="1">
      <alignment horizontal="left"/>
    </xf>
    <xf numFmtId="0" fontId="65" fillId="9" borderId="23" xfId="0" applyFont="1" applyFill="1" applyBorder="1" applyAlignment="1">
      <alignment horizontal="left"/>
    </xf>
    <xf numFmtId="0" fontId="35" fillId="9" borderId="22" xfId="0" applyFont="1" applyFill="1" applyBorder="1" applyAlignment="1">
      <alignment horizontal="left" vertical="center"/>
    </xf>
    <xf numFmtId="0" fontId="35" fillId="9" borderId="17" xfId="0" applyFont="1" applyFill="1" applyBorder="1" applyAlignment="1">
      <alignment horizontal="left" vertical="center"/>
    </xf>
    <xf numFmtId="0" fontId="35" fillId="9" borderId="23" xfId="0" applyFont="1" applyFill="1" applyBorder="1" applyAlignment="1">
      <alignment horizontal="left" vertical="center"/>
    </xf>
    <xf numFmtId="0" fontId="35" fillId="9" borderId="21" xfId="0" applyFont="1" applyFill="1" applyBorder="1" applyAlignment="1">
      <alignment horizontal="left" vertical="center"/>
    </xf>
    <xf numFmtId="0" fontId="35" fillId="9" borderId="21" xfId="0" applyFont="1" applyFill="1" applyBorder="1" applyAlignment="1">
      <alignment horizontal="center" vertical="center" wrapText="1"/>
    </xf>
    <xf numFmtId="0" fontId="27" fillId="11" borderId="21" xfId="0" applyFont="1" applyFill="1" applyBorder="1" applyAlignment="1">
      <alignment horizontal="left" vertical="center"/>
    </xf>
    <xf numFmtId="0" fontId="27" fillId="6" borderId="22" xfId="0" applyFont="1" applyFill="1" applyBorder="1" applyAlignment="1">
      <alignment horizontal="center" vertical="center"/>
    </xf>
    <xf numFmtId="0" fontId="27" fillId="6" borderId="17" xfId="0" applyFont="1" applyFill="1" applyBorder="1" applyAlignment="1">
      <alignment horizontal="center" vertical="center"/>
    </xf>
    <xf numFmtId="0" fontId="27" fillId="6" borderId="23" xfId="0" applyFont="1" applyFill="1" applyBorder="1" applyAlignment="1">
      <alignment horizontal="center" vertical="center"/>
    </xf>
    <xf numFmtId="0" fontId="0" fillId="2" borderId="0" xfId="0" applyFill="1" applyAlignment="1">
      <alignment horizontal="center"/>
    </xf>
    <xf numFmtId="0" fontId="27" fillId="6" borderId="21" xfId="0" applyFont="1" applyFill="1" applyBorder="1" applyAlignment="1">
      <alignment horizontal="center"/>
    </xf>
    <xf numFmtId="0" fontId="27" fillId="6" borderId="21" xfId="0" applyFont="1" applyFill="1" applyBorder="1" applyAlignment="1">
      <alignment horizontal="center" vertical="center" wrapText="1"/>
    </xf>
    <xf numFmtId="0" fontId="35" fillId="9" borderId="21" xfId="0" applyFont="1" applyFill="1" applyBorder="1" applyAlignment="1">
      <alignment horizontal="left" vertical="center" wrapText="1"/>
    </xf>
    <xf numFmtId="0" fontId="35" fillId="9" borderId="22" xfId="0" applyFont="1" applyFill="1" applyBorder="1" applyAlignment="1">
      <alignment horizontal="left" vertical="center" wrapText="1"/>
    </xf>
    <xf numFmtId="0" fontId="0" fillId="10" borderId="22" xfId="0" applyFill="1" applyBorder="1" applyAlignment="1">
      <alignment horizontal="left" vertical="center" wrapText="1"/>
    </xf>
    <xf numFmtId="0" fontId="0" fillId="10" borderId="17" xfId="0" applyFill="1" applyBorder="1" applyAlignment="1">
      <alignment horizontal="left" vertical="center" wrapText="1"/>
    </xf>
    <xf numFmtId="0" fontId="0" fillId="10" borderId="23" xfId="0" applyFill="1" applyBorder="1" applyAlignment="1">
      <alignment horizontal="left" vertical="center" wrapText="1"/>
    </xf>
    <xf numFmtId="0" fontId="0" fillId="2" borderId="22"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27" fillId="8" borderId="21" xfId="0" applyFont="1" applyFill="1" applyBorder="1" applyAlignment="1">
      <alignment horizontal="left"/>
    </xf>
    <xf numFmtId="0" fontId="27" fillId="6" borderId="21" xfId="0" applyFont="1" applyFill="1" applyBorder="1" applyAlignment="1">
      <alignment horizontal="left" vertical="center"/>
    </xf>
    <xf numFmtId="0" fontId="5" fillId="10" borderId="21" xfId="0" applyFont="1" applyFill="1" applyBorder="1" applyAlignment="1">
      <alignment horizontal="right" vertical="center"/>
    </xf>
    <xf numFmtId="0" fontId="0" fillId="10" borderId="21" xfId="0" applyFill="1" applyBorder="1" applyAlignment="1">
      <alignment horizontal="right" vertical="center"/>
    </xf>
    <xf numFmtId="0" fontId="35" fillId="9" borderId="21" xfId="0" applyFont="1" applyFill="1" applyBorder="1" applyAlignment="1">
      <alignment horizontal="center"/>
    </xf>
    <xf numFmtId="0" fontId="0" fillId="2" borderId="21" xfId="0" applyFill="1" applyBorder="1" applyAlignment="1">
      <alignment horizontal="right" vertical="center"/>
    </xf>
    <xf numFmtId="175" fontId="0" fillId="2" borderId="21" xfId="6" applyNumberFormat="1" applyFont="1" applyFill="1" applyBorder="1" applyAlignment="1" applyProtection="1">
      <alignment horizontal="right" vertical="center"/>
      <protection locked="0"/>
    </xf>
    <xf numFmtId="2" fontId="0" fillId="2" borderId="21" xfId="0" applyNumberFormat="1" applyFill="1" applyBorder="1" applyAlignment="1" applyProtection="1">
      <alignment horizontal="right" vertical="center"/>
      <protection locked="0"/>
    </xf>
    <xf numFmtId="0" fontId="28" fillId="2" borderId="22" xfId="0" applyFont="1" applyFill="1" applyBorder="1" applyAlignment="1" applyProtection="1">
      <alignment horizontal="right" vertical="center"/>
      <protection locked="0"/>
    </xf>
    <xf numFmtId="0" fontId="28" fillId="2" borderId="17" xfId="0" applyFont="1" applyFill="1" applyBorder="1" applyAlignment="1" applyProtection="1">
      <alignment horizontal="right" vertical="center"/>
      <protection locked="0"/>
    </xf>
    <xf numFmtId="0" fontId="28" fillId="2" borderId="23" xfId="0" applyFont="1" applyFill="1" applyBorder="1" applyAlignment="1" applyProtection="1">
      <alignment horizontal="right" vertical="center"/>
      <protection locked="0"/>
    </xf>
    <xf numFmtId="173" fontId="0" fillId="2" borderId="21" xfId="0" applyNumberFormat="1" applyFill="1" applyBorder="1" applyAlignment="1" applyProtection="1">
      <alignment horizontal="right" vertical="center"/>
      <protection locked="0"/>
    </xf>
    <xf numFmtId="0" fontId="28" fillId="2" borderId="21" xfId="0" applyFont="1" applyFill="1" applyBorder="1" applyAlignment="1" applyProtection="1">
      <alignment horizontal="right" vertical="center"/>
      <protection locked="0"/>
    </xf>
    <xf numFmtId="174" fontId="0" fillId="2" borderId="22" xfId="0" applyNumberFormat="1" applyFill="1" applyBorder="1" applyAlignment="1" applyProtection="1">
      <alignment horizontal="right"/>
      <protection locked="0"/>
    </xf>
    <xf numFmtId="174" fontId="0" fillId="2" borderId="17" xfId="0" applyNumberFormat="1" applyFill="1" applyBorder="1" applyAlignment="1" applyProtection="1">
      <alignment horizontal="right"/>
      <protection locked="0"/>
    </xf>
    <xf numFmtId="174" fontId="0" fillId="2" borderId="23" xfId="0" applyNumberFormat="1" applyFill="1" applyBorder="1" applyAlignment="1" applyProtection="1">
      <alignment horizontal="right"/>
      <protection locked="0"/>
    </xf>
    <xf numFmtId="174" fontId="0" fillId="10" borderId="22" xfId="0" applyNumberFormat="1" applyFill="1" applyBorder="1" applyAlignment="1">
      <alignment horizontal="right"/>
    </xf>
    <xf numFmtId="174" fontId="0" fillId="10" borderId="17" xfId="0" applyNumberFormat="1" applyFill="1" applyBorder="1" applyAlignment="1">
      <alignment horizontal="right"/>
    </xf>
    <xf numFmtId="174" fontId="0" fillId="10" borderId="23" xfId="0" applyNumberFormat="1" applyFill="1" applyBorder="1" applyAlignment="1">
      <alignment horizontal="right"/>
    </xf>
    <xf numFmtId="174" fontId="5" fillId="12" borderId="21" xfId="0" applyNumberFormat="1" applyFont="1" applyFill="1" applyBorder="1" applyAlignment="1">
      <alignment horizontal="right" vertical="center"/>
    </xf>
    <xf numFmtId="0" fontId="5" fillId="11" borderId="21" xfId="0" applyFont="1" applyFill="1" applyBorder="1" applyAlignment="1">
      <alignment horizontal="left" vertical="center"/>
    </xf>
    <xf numFmtId="0" fontId="48" fillId="2" borderId="22" xfId="0" applyFont="1" applyFill="1" applyBorder="1" applyAlignment="1" applyProtection="1">
      <alignment horizontal="left" wrapText="1"/>
      <protection locked="0"/>
    </xf>
    <xf numFmtId="0" fontId="47" fillId="2" borderId="17" xfId="0" applyFont="1" applyFill="1" applyBorder="1" applyAlignment="1" applyProtection="1">
      <alignment horizontal="left" wrapText="1"/>
      <protection locked="0"/>
    </xf>
    <xf numFmtId="0" fontId="47" fillId="2" borderId="23" xfId="0" applyFont="1" applyFill="1" applyBorder="1" applyAlignment="1" applyProtection="1">
      <alignment horizontal="left" wrapText="1"/>
      <protection locked="0"/>
    </xf>
    <xf numFmtId="0" fontId="47" fillId="2" borderId="22" xfId="0" applyFont="1" applyFill="1" applyBorder="1" applyAlignment="1" applyProtection="1">
      <alignment horizontal="left" vertical="center"/>
      <protection locked="0"/>
    </xf>
    <xf numFmtId="0" fontId="47" fillId="2" borderId="17" xfId="0" applyFont="1" applyFill="1" applyBorder="1" applyAlignment="1" applyProtection="1">
      <alignment horizontal="left" vertical="center"/>
      <protection locked="0"/>
    </xf>
    <xf numFmtId="0" fontId="47" fillId="2" borderId="23" xfId="0" applyFont="1" applyFill="1" applyBorder="1" applyAlignment="1" applyProtection="1">
      <alignment horizontal="left" vertical="center"/>
      <protection locked="0"/>
    </xf>
    <xf numFmtId="0" fontId="82" fillId="5" borderId="10" xfId="0" quotePrefix="1" applyFont="1" applyFill="1" applyBorder="1" applyAlignment="1">
      <alignment horizontal="center"/>
    </xf>
    <xf numFmtId="0" fontId="49" fillId="2" borderId="14" xfId="0" applyFont="1" applyFill="1" applyBorder="1" applyAlignment="1" applyProtection="1">
      <alignment horizontal="center" vertical="top" wrapText="1"/>
      <protection locked="0"/>
    </xf>
    <xf numFmtId="0" fontId="49" fillId="2" borderId="14" xfId="0" applyFont="1" applyFill="1" applyBorder="1" applyAlignment="1" applyProtection="1">
      <alignment horizontal="center"/>
      <protection locked="0"/>
    </xf>
    <xf numFmtId="0" fontId="28" fillId="2" borderId="22" xfId="0" applyFont="1" applyFill="1" applyBorder="1" applyAlignment="1" applyProtection="1">
      <alignment horizontal="center"/>
      <protection locked="0"/>
    </xf>
    <xf numFmtId="0" fontId="28" fillId="2" borderId="23" xfId="0" applyFont="1" applyFill="1" applyBorder="1" applyAlignment="1" applyProtection="1">
      <alignment horizontal="center"/>
      <protection locked="0"/>
    </xf>
    <xf numFmtId="0" fontId="50" fillId="0" borderId="0" xfId="0" quotePrefix="1" applyFont="1" applyAlignment="1" applyProtection="1">
      <alignment horizontal="center" vertical="center"/>
      <protection locked="0"/>
    </xf>
    <xf numFmtId="0" fontId="47" fillId="2" borderId="0" xfId="0" applyFont="1" applyFill="1" applyAlignment="1" applyProtection="1">
      <alignment horizontal="left" wrapText="1"/>
      <protection locked="0"/>
    </xf>
    <xf numFmtId="0" fontId="28" fillId="2" borderId="17" xfId="0" applyFont="1" applyFill="1" applyBorder="1" applyAlignment="1" applyProtection="1">
      <alignment horizontal="center"/>
      <protection locked="0"/>
    </xf>
    <xf numFmtId="0" fontId="47" fillId="2" borderId="22" xfId="0" applyFont="1" applyFill="1" applyBorder="1" applyAlignment="1" applyProtection="1">
      <alignment horizontal="left" vertical="center" wrapText="1"/>
      <protection locked="0"/>
    </xf>
    <xf numFmtId="0" fontId="28" fillId="2" borderId="17" xfId="0" applyFont="1" applyFill="1" applyBorder="1" applyAlignment="1" applyProtection="1">
      <alignment horizontal="left" vertical="center"/>
      <protection locked="0"/>
    </xf>
    <xf numFmtId="0" fontId="28" fillId="2" borderId="23" xfId="0" applyFont="1" applyFill="1" applyBorder="1" applyAlignment="1" applyProtection="1">
      <alignment horizontal="left" vertical="center"/>
      <protection locked="0"/>
    </xf>
    <xf numFmtId="0" fontId="43" fillId="2" borderId="14" xfId="0" applyFont="1" applyFill="1" applyBorder="1" applyAlignment="1">
      <alignment horizontal="center"/>
    </xf>
    <xf numFmtId="0" fontId="43" fillId="2" borderId="29" xfId="0" applyFont="1" applyFill="1" applyBorder="1" applyAlignment="1">
      <alignment horizontal="center"/>
    </xf>
    <xf numFmtId="0" fontId="44" fillId="2" borderId="10" xfId="0" applyFont="1" applyFill="1" applyBorder="1" applyAlignment="1">
      <alignment horizontal="center"/>
    </xf>
    <xf numFmtId="0" fontId="44" fillId="2" borderId="11" xfId="0" applyFont="1" applyFill="1" applyBorder="1" applyAlignment="1">
      <alignment horizontal="center"/>
    </xf>
    <xf numFmtId="0" fontId="46" fillId="2" borderId="0" xfId="0" applyFont="1" applyFill="1" applyAlignment="1">
      <alignment horizontal="left" wrapText="1"/>
    </xf>
    <xf numFmtId="0" fontId="47" fillId="2" borderId="22" xfId="0" applyFont="1" applyFill="1" applyBorder="1" applyAlignment="1" applyProtection="1">
      <alignment horizontal="left" wrapText="1"/>
      <protection locked="0"/>
    </xf>
    <xf numFmtId="0" fontId="47" fillId="2" borderId="22" xfId="0" applyFont="1" applyFill="1" applyBorder="1" applyAlignment="1" applyProtection="1">
      <alignment horizontal="left"/>
      <protection locked="0"/>
    </xf>
    <xf numFmtId="0" fontId="47" fillId="2" borderId="17" xfId="0" applyFont="1" applyFill="1" applyBorder="1" applyAlignment="1" applyProtection="1">
      <alignment horizontal="left"/>
      <protection locked="0"/>
    </xf>
    <xf numFmtId="0" fontId="47" fillId="2" borderId="23" xfId="0" applyFont="1" applyFill="1" applyBorder="1" applyAlignment="1" applyProtection="1">
      <alignment horizontal="left"/>
      <protection locked="0"/>
    </xf>
    <xf numFmtId="0" fontId="47" fillId="2" borderId="21" xfId="0" applyFont="1" applyFill="1" applyBorder="1" applyAlignment="1" applyProtection="1">
      <alignment horizontal="left" vertical="center" wrapText="1"/>
      <protection locked="0"/>
    </xf>
    <xf numFmtId="0" fontId="48" fillId="2" borderId="22" xfId="0" applyFont="1" applyFill="1" applyBorder="1" applyAlignment="1" applyProtection="1">
      <alignment horizontal="left" vertical="center" wrapText="1"/>
      <protection locked="0"/>
    </xf>
    <xf numFmtId="0" fontId="47" fillId="2" borderId="17" xfId="0" applyFont="1" applyFill="1" applyBorder="1" applyAlignment="1" applyProtection="1">
      <alignment horizontal="left" vertical="center" wrapText="1"/>
      <protection locked="0"/>
    </xf>
    <xf numFmtId="0" fontId="47" fillId="2" borderId="23" xfId="0" applyFont="1" applyFill="1" applyBorder="1" applyAlignment="1" applyProtection="1">
      <alignment horizontal="left" vertical="center" wrapText="1"/>
      <protection locked="0"/>
    </xf>
    <xf numFmtId="0" fontId="64" fillId="2" borderId="22" xfId="0" applyFont="1" applyFill="1" applyBorder="1" applyAlignment="1" applyProtection="1">
      <alignment horizontal="center"/>
      <protection locked="0"/>
    </xf>
    <xf numFmtId="0" fontId="64" fillId="2" borderId="23" xfId="0" applyFont="1" applyFill="1" applyBorder="1" applyAlignment="1" applyProtection="1">
      <alignment horizontal="center"/>
      <protection locked="0"/>
    </xf>
    <xf numFmtId="0" fontId="43" fillId="2" borderId="14" xfId="0" applyFont="1" applyFill="1" applyBorder="1" applyAlignment="1">
      <alignment horizontal="right"/>
    </xf>
    <xf numFmtId="0" fontId="43" fillId="2" borderId="29" xfId="0" applyFont="1" applyFill="1" applyBorder="1" applyAlignment="1">
      <alignment horizontal="right"/>
    </xf>
    <xf numFmtId="0" fontId="44" fillId="2" borderId="10" xfId="0" applyFont="1" applyFill="1" applyBorder="1" applyAlignment="1">
      <alignment horizontal="right"/>
    </xf>
    <xf numFmtId="0" fontId="44" fillId="2" borderId="11" xfId="0" applyFont="1" applyFill="1" applyBorder="1" applyAlignment="1">
      <alignment horizontal="right"/>
    </xf>
    <xf numFmtId="0" fontId="50" fillId="2" borderId="0" xfId="0" quotePrefix="1" applyFont="1" applyFill="1" applyAlignment="1" applyProtection="1">
      <alignment horizontal="center" vertical="center"/>
      <protection locked="0"/>
    </xf>
    <xf numFmtId="0" fontId="45" fillId="2" borderId="21" xfId="0" applyFont="1" applyFill="1" applyBorder="1" applyAlignment="1">
      <alignment horizontal="left"/>
    </xf>
    <xf numFmtId="0" fontId="48" fillId="2" borderId="17" xfId="0" applyFont="1" applyFill="1" applyBorder="1" applyAlignment="1" applyProtection="1">
      <alignment horizontal="left" wrapText="1"/>
      <protection locked="0"/>
    </xf>
    <xf numFmtId="0" fontId="48" fillId="2" borderId="23" xfId="0" applyFont="1" applyFill="1" applyBorder="1" applyAlignment="1" applyProtection="1">
      <alignment horizontal="left" wrapText="1"/>
      <protection locked="0"/>
    </xf>
    <xf numFmtId="0" fontId="27" fillId="16" borderId="22" xfId="0" applyFont="1" applyFill="1" applyBorder="1" applyAlignment="1">
      <alignment horizontal="center"/>
    </xf>
    <xf numFmtId="0" fontId="27" fillId="16" borderId="17" xfId="0" applyFont="1" applyFill="1" applyBorder="1" applyAlignment="1">
      <alignment horizontal="center"/>
    </xf>
    <xf numFmtId="0" fontId="27" fillId="16" borderId="23" xfId="0" applyFont="1" applyFill="1" applyBorder="1" applyAlignment="1">
      <alignment horizontal="center"/>
    </xf>
    <xf numFmtId="0" fontId="5" fillId="6" borderId="94" xfId="0" applyFont="1" applyFill="1" applyBorder="1" applyAlignment="1">
      <alignment horizontal="center" vertical="center" wrapText="1"/>
    </xf>
    <xf numFmtId="0" fontId="5" fillId="6" borderId="96" xfId="0" applyFont="1" applyFill="1" applyBorder="1" applyAlignment="1">
      <alignment horizontal="center" vertical="center" wrapText="1"/>
    </xf>
    <xf numFmtId="0" fontId="5" fillId="6" borderId="95"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5" fillId="6" borderId="65" xfId="0" applyFont="1" applyFill="1" applyBorder="1" applyAlignment="1">
      <alignment horizontal="left" vertical="top" wrapText="1" indent="4"/>
    </xf>
    <xf numFmtId="0" fontId="5" fillId="6" borderId="66" xfId="0" applyFont="1" applyFill="1" applyBorder="1" applyAlignment="1">
      <alignment horizontal="left" vertical="top" wrapText="1" indent="4"/>
    </xf>
    <xf numFmtId="0" fontId="5" fillId="6" borderId="96" xfId="0" applyFont="1" applyFill="1" applyBorder="1" applyAlignment="1">
      <alignment horizontal="left" vertical="top" wrapText="1" indent="4"/>
    </xf>
    <xf numFmtId="0" fontId="39" fillId="2" borderId="0" xfId="0" applyFont="1" applyFill="1" applyAlignment="1">
      <alignment horizontal="center"/>
    </xf>
    <xf numFmtId="0" fontId="27" fillId="7" borderId="21" xfId="0" applyFont="1" applyFill="1" applyBorder="1" applyAlignment="1">
      <alignment horizontal="center"/>
    </xf>
  </cellXfs>
  <cellStyles count="8">
    <cellStyle name="Hyperlink 2" xfId="3" xr:uid="{11542725-4C62-484E-887F-FE54CE24EDEC}"/>
    <cellStyle name="Normal" xfId="0" builtinId="0"/>
    <cellStyle name="Normal 2" xfId="1" xr:uid="{75629B0E-5B5C-42D4-A9CD-FF94DBF1E552}"/>
    <cellStyle name="Normal 3" xfId="7" xr:uid="{E3049973-F759-4EC7-8AB1-96C6BB8A0FD6}"/>
    <cellStyle name="Normal 3 2" xfId="2" xr:uid="{00E19873-AB59-4392-8E82-B66375A69BB7}"/>
    <cellStyle name="Normal 7" xfId="4" xr:uid="{8D0F459E-2652-4612-9013-0B9794B59B93}"/>
    <cellStyle name="Normal 8" xfId="5" xr:uid="{E1808F5B-A068-4592-94D0-55B709D42A8E}"/>
    <cellStyle name="Percent" xfId="6" builtinId="5"/>
  </cellStyles>
  <dxfs count="19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theme="0"/>
      </font>
    </dxf>
    <dxf>
      <fill>
        <patternFill>
          <bgColor rgb="FFFFFF00"/>
        </patternFill>
      </fill>
    </dxf>
    <dxf>
      <fill>
        <patternFill>
          <bgColor rgb="FFFFFF00"/>
        </patternFill>
      </fill>
    </dxf>
    <dxf>
      <font>
        <color auto="1"/>
      </font>
    </dxf>
    <dxf>
      <font>
        <color theme="8"/>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ill>
        <patternFill>
          <bgColor rgb="FFFFFF00"/>
        </patternFill>
      </fill>
    </dxf>
    <dxf>
      <font>
        <color theme="4" tint="0.79998168889431442"/>
      </font>
    </dxf>
    <dxf>
      <fill>
        <patternFill>
          <bgColor rgb="FFFFFF00"/>
        </patternFill>
      </fill>
    </dxf>
    <dxf>
      <fill>
        <patternFill>
          <bgColor rgb="FFFFFF00"/>
        </patternFill>
      </fill>
    </dxf>
    <dxf>
      <font>
        <color theme="0"/>
      </font>
    </dxf>
    <dxf>
      <font>
        <color theme="0"/>
      </font>
    </dxf>
    <dxf>
      <fill>
        <patternFill>
          <bgColor rgb="FFFFFF00"/>
        </patternFill>
      </fill>
    </dxf>
    <dxf>
      <font>
        <color theme="4" tint="0.79998168889431442"/>
      </font>
    </dxf>
    <dxf>
      <fill>
        <patternFill>
          <bgColor rgb="FFFFFF00"/>
        </patternFill>
      </fill>
    </dxf>
    <dxf>
      <fill>
        <patternFill>
          <bgColor rgb="FFFFFF00"/>
        </patternFill>
      </fill>
    </dxf>
    <dxf>
      <font>
        <color theme="0"/>
      </font>
    </dxf>
    <dxf>
      <font>
        <color theme="0"/>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b/>
        <i val="0"/>
        <color rgb="FFFF0000"/>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color theme="4" tint="0.79998168889431442"/>
      </font>
    </dxf>
    <dxf>
      <font>
        <b/>
        <i val="0"/>
        <color rgb="FFFF0000"/>
      </font>
    </dxf>
    <dxf>
      <font>
        <color theme="0"/>
      </font>
      <fill>
        <patternFill>
          <bgColor theme="0"/>
        </patternFill>
      </fill>
      <border>
        <left/>
        <right/>
        <vertical/>
        <horizontal/>
      </border>
    </dxf>
    <dxf>
      <font>
        <color theme="0"/>
      </font>
      <fill>
        <patternFill>
          <bgColor theme="0"/>
        </patternFill>
      </fill>
      <border>
        <left/>
        <right/>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border>
        <bottom/>
        <vertical/>
        <horizontal/>
      </border>
    </dxf>
    <dxf>
      <border>
        <bottom/>
        <vertical/>
        <horizontal/>
      </border>
    </dxf>
    <dxf>
      <border>
        <top style="thin">
          <color auto="1"/>
        </top>
        <vertical/>
        <horizontal/>
      </border>
    </dxf>
    <dxf>
      <border>
        <bottom/>
        <vertical/>
        <horizontal/>
      </border>
    </dxf>
    <dxf>
      <font>
        <color theme="0"/>
      </font>
      <fill>
        <patternFill>
          <bgColor theme="0"/>
        </patternFill>
      </fill>
      <border>
        <left/>
        <right/>
        <vertical/>
        <horizontal/>
      </border>
    </dxf>
    <dxf>
      <border>
        <bottom/>
        <vertical/>
        <horizontal/>
      </border>
    </dxf>
    <dxf>
      <fill>
        <patternFill>
          <bgColor rgb="FFFFFF00"/>
        </patternFill>
      </fill>
    </dxf>
    <dxf>
      <font>
        <b/>
        <i val="0"/>
        <color rgb="FFFF0000"/>
      </font>
    </dxf>
    <dxf>
      <font>
        <b/>
        <i val="0"/>
        <color rgb="FFFF0000"/>
      </font>
    </dxf>
    <dxf>
      <fill>
        <patternFill>
          <bgColor rgb="FFFFFF00"/>
        </patternFill>
      </fill>
    </dxf>
    <dxf>
      <font>
        <b/>
        <i val="0"/>
        <color rgb="FFFF0000"/>
      </font>
      <fill>
        <patternFill>
          <bgColor rgb="FFFFFF00"/>
        </patternFill>
      </fill>
    </dxf>
    <dxf>
      <font>
        <b/>
        <i val="0"/>
        <color rgb="FFFF0000"/>
      </font>
    </dxf>
    <dxf>
      <font>
        <b/>
        <i val="0"/>
        <color rgb="FFFF0000"/>
      </font>
    </dxf>
    <dxf>
      <font>
        <b/>
        <i val="0"/>
        <color rgb="FFFF0000"/>
      </font>
    </dxf>
    <dxf>
      <font>
        <b/>
        <i val="0"/>
        <color rgb="FFFF0000"/>
      </font>
      <fill>
        <patternFill>
          <bgColor theme="0"/>
        </patternFill>
      </fill>
    </dxf>
    <dxf>
      <font>
        <color theme="4" tint="0.79998168889431442"/>
      </font>
    </dxf>
    <dxf>
      <fill>
        <patternFill>
          <bgColor rgb="FFFFFF00"/>
        </patternFill>
      </fill>
    </dxf>
    <dxf>
      <font>
        <color theme="0"/>
      </font>
    </dxf>
    <dxf>
      <font>
        <b/>
        <i val="0"/>
        <color rgb="FFFF0000"/>
      </font>
    </dxf>
    <dxf>
      <font>
        <b/>
        <i val="0"/>
        <color rgb="FFFF0000"/>
      </font>
    </dxf>
    <dxf>
      <font>
        <color theme="0"/>
      </font>
      <fill>
        <patternFill>
          <bgColor theme="0"/>
        </patternFill>
      </fill>
      <border>
        <left/>
        <right/>
        <vertical/>
        <horizontal/>
      </border>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bottom style="thin">
          <color auto="1"/>
        </bottom>
        <vertical/>
        <horizontal/>
      </border>
    </dxf>
    <dxf>
      <border>
        <top style="thin">
          <color auto="1"/>
        </top>
        <vertical/>
        <horizontal/>
      </border>
    </dxf>
    <dxf>
      <font>
        <color theme="0"/>
      </font>
      <fill>
        <patternFill>
          <bgColor theme="0"/>
        </patternFill>
      </fill>
      <border>
        <left/>
        <right/>
        <bottom style="thin">
          <color auto="1"/>
        </bottom>
        <vertical/>
        <horizontal/>
      </border>
    </dxf>
    <dxf>
      <border>
        <bottom/>
        <vertical/>
        <horizontal/>
      </border>
    </dxf>
    <dxf>
      <border>
        <bottom style="thin">
          <color auto="1"/>
        </bottom>
        <vertical/>
        <horizontal/>
      </border>
    </dxf>
    <dxf>
      <font>
        <color theme="4" tint="0.79998168889431442"/>
      </font>
      <fill>
        <patternFill>
          <bgColor theme="4" tint="0.79998168889431442"/>
        </patternFill>
      </fill>
    </dxf>
    <dxf>
      <fill>
        <patternFill>
          <bgColor rgb="FFFFFF00"/>
        </patternFill>
      </fill>
    </dxf>
    <dxf>
      <font>
        <b/>
        <i val="0"/>
        <color rgb="FFFF0000"/>
      </font>
    </dxf>
    <dxf>
      <font>
        <b/>
        <i val="0"/>
        <color rgb="FFFF0000"/>
      </font>
    </dxf>
    <dxf>
      <font>
        <b/>
        <i val="0"/>
        <color rgb="FFFF0000"/>
      </font>
    </dxf>
    <dxf>
      <border>
        <bottom style="thin">
          <color auto="1"/>
        </bottom>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bottom/>
        <vertical/>
        <horizontal/>
      </border>
    </dxf>
    <dxf>
      <font>
        <color theme="0"/>
      </font>
      <fill>
        <patternFill>
          <bgColor theme="0"/>
        </patternFill>
      </fill>
      <border>
        <left/>
        <right/>
        <bottom/>
        <vertical/>
        <horizontal/>
      </border>
    </dxf>
    <dxf>
      <font>
        <color theme="0"/>
      </font>
      <fill>
        <patternFill>
          <bgColor theme="0"/>
        </patternFill>
      </fill>
      <border>
        <left/>
        <right/>
        <top/>
        <bottom style="thin">
          <color auto="1"/>
        </bottom>
        <vertical/>
        <horizontal/>
      </border>
    </dxf>
    <dxf>
      <font>
        <color theme="0"/>
      </font>
      <fill>
        <patternFill>
          <bgColor theme="0"/>
        </patternFill>
      </fill>
      <border>
        <left/>
        <right/>
        <bottom style="thin">
          <color auto="1"/>
        </bottom>
        <vertical/>
        <horizontal/>
      </border>
    </dxf>
    <dxf>
      <font>
        <color theme="0"/>
      </font>
      <fill>
        <patternFill>
          <bgColor theme="0"/>
        </patternFill>
      </fill>
      <border>
        <left/>
        <right/>
        <bottom style="thin">
          <color auto="1"/>
        </bottom>
        <vertical/>
        <horizontal/>
      </border>
    </dxf>
    <dxf>
      <font>
        <color theme="0"/>
      </font>
      <fill>
        <patternFill>
          <bgColor theme="0"/>
        </patternFill>
      </fill>
      <border>
        <left/>
        <right/>
        <vertical/>
        <horizontal/>
      </border>
    </dxf>
    <dxf>
      <font>
        <color theme="0"/>
      </font>
      <fill>
        <patternFill>
          <bgColor theme="0"/>
        </patternFill>
      </fill>
      <border>
        <left/>
        <right/>
        <top/>
        <vertical/>
        <horizontal/>
      </border>
    </dxf>
    <dxf>
      <font>
        <color theme="0"/>
      </font>
      <fill>
        <patternFill>
          <bgColor theme="0"/>
        </patternFill>
      </fill>
      <border>
        <left/>
        <right/>
        <top/>
        <vertical/>
        <horizontal/>
      </border>
    </dxf>
    <dxf>
      <font>
        <color theme="0"/>
      </font>
      <fill>
        <patternFill>
          <bgColor theme="0"/>
        </patternFill>
      </fill>
      <border>
        <left/>
        <right/>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dxf>
    <dxf>
      <font>
        <color theme="0"/>
      </font>
      <fill>
        <patternFill>
          <bgColor theme="0"/>
        </patternFill>
      </fill>
      <border>
        <right/>
        <top/>
        <bottom/>
        <vertical/>
        <horizontal/>
      </border>
    </dxf>
    <dxf>
      <fill>
        <patternFill>
          <bgColor rgb="FFFFFF00"/>
        </patternFill>
      </fill>
    </dxf>
    <dxf>
      <fill>
        <patternFill>
          <bgColor rgb="FFFFFF00"/>
        </patternFill>
      </fill>
    </dxf>
    <dxf>
      <font>
        <b/>
        <i val="0"/>
        <color rgb="FFFF0000"/>
      </font>
    </dxf>
    <dxf>
      <font>
        <b/>
        <i val="0"/>
        <color rgb="FFFF0000"/>
      </font>
    </dxf>
    <dxf>
      <font>
        <color theme="0"/>
      </font>
      <fill>
        <patternFill>
          <bgColor theme="0"/>
        </patternFill>
      </fill>
      <border>
        <left/>
        <right/>
        <top/>
        <bottom/>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theme="0"/>
      </font>
      <fill>
        <patternFill>
          <bgColor theme="0"/>
        </patternFill>
      </fill>
      <border>
        <left/>
        <right/>
        <vertical/>
        <horizontal/>
      </border>
    </dxf>
    <dxf>
      <font>
        <color rgb="FFFF0000"/>
      </font>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b/>
        <i val="0"/>
        <color rgb="FFFF0000"/>
      </font>
    </dxf>
    <dxf>
      <font>
        <b/>
        <i val="0"/>
        <color rgb="FFFF0000"/>
      </font>
    </dxf>
    <dxf>
      <fill>
        <patternFill>
          <bgColor rgb="FFFFFF00"/>
        </patternFill>
      </fill>
    </dxf>
    <dxf>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top style="thin">
          <color auto="1"/>
        </top>
        <vertical/>
        <horizontal/>
      </border>
    </dxf>
    <dxf>
      <border>
        <top style="thin">
          <color auto="1"/>
        </top>
        <vertical/>
        <horizontal/>
      </border>
    </dxf>
    <dxf>
      <border>
        <top style="thin">
          <color auto="1"/>
        </top>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border>
    </dxf>
    <dxf>
      <font>
        <color rgb="FFFF0000"/>
      </font>
    </dxf>
    <dxf>
      <fill>
        <patternFill>
          <bgColor theme="0"/>
        </patternFill>
      </fill>
    </dxf>
    <dxf>
      <font>
        <color theme="4" tint="0.79998168889431442"/>
      </font>
      <fill>
        <patternFill>
          <bgColor theme="4" tint="0.79998168889431442"/>
        </patternFill>
      </fill>
    </dxf>
    <dxf>
      <font>
        <color theme="4" tint="0.79998168889431442"/>
      </font>
      <fill>
        <patternFill>
          <bgColor theme="4" tint="0.79998168889431442"/>
        </patternFill>
      </fill>
    </dxf>
    <dxf>
      <font>
        <b/>
        <i val="0"/>
        <color rgb="FFFF0000"/>
      </font>
    </dxf>
    <dxf>
      <font>
        <b/>
        <i val="0"/>
        <color rgb="FFFF0000"/>
      </font>
    </dxf>
    <dxf>
      <fill>
        <patternFill>
          <bgColor rgb="FFFFFF00"/>
        </patternFill>
      </fill>
    </dxf>
    <dxf>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vertical/>
        <horizontal/>
      </border>
    </dxf>
    <dxf>
      <border>
        <top style="thin">
          <color auto="1"/>
        </top>
        <vertical/>
        <horizontal/>
      </border>
    </dxf>
    <dxf>
      <border>
        <top style="thin">
          <color auto="1"/>
        </top>
        <vertical/>
        <horizontal/>
      </border>
    </dxf>
    <dxf>
      <border>
        <top style="thin">
          <color auto="1"/>
        </top>
        <vertical/>
        <horizontal/>
      </border>
    </dxf>
    <dxf>
      <border>
        <bottom style="thin">
          <color auto="1"/>
        </bottom>
        <vertical/>
        <horizontal/>
      </border>
    </dxf>
    <dxf>
      <font>
        <color theme="0"/>
      </font>
      <fill>
        <patternFill>
          <bgColor theme="0"/>
        </patternFill>
      </fill>
      <border>
        <left/>
        <right/>
        <bottom/>
        <vertical/>
        <horizontal/>
      </border>
    </dxf>
    <dxf>
      <font>
        <color theme="0"/>
      </font>
      <fill>
        <patternFill>
          <bgColor theme="0"/>
        </patternFill>
      </fill>
      <border>
        <left/>
        <right/>
        <vertical/>
        <horizontal/>
      </border>
    </dxf>
    <dxf>
      <font>
        <color theme="0"/>
      </font>
      <fill>
        <patternFill>
          <bgColor theme="0"/>
        </patternFill>
      </fill>
      <border>
        <left/>
        <right/>
      </border>
    </dxf>
    <dxf>
      <font>
        <b/>
        <i val="0"/>
        <color rgb="FFFF0000"/>
      </font>
    </dxf>
    <dxf>
      <font>
        <b/>
        <i val="0"/>
        <color rgb="FFFF0000"/>
      </font>
    </dxf>
    <dxf>
      <font>
        <color rgb="FFFF0000"/>
      </font>
    </dxf>
    <dxf>
      <font>
        <color rgb="FFFF0000"/>
      </font>
      <fill>
        <patternFill>
          <bgColor rgb="FFFFFF00"/>
        </patternFill>
      </fill>
    </dxf>
    <dxf>
      <font>
        <b/>
        <i val="0"/>
        <color rgb="FFFF0000"/>
      </font>
      <fill>
        <patternFill>
          <bgColor rgb="FFFFFF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4" tint="0.79998168889431442"/>
      </font>
    </dxf>
    <dxf>
      <font>
        <color rgb="FFFF0000"/>
      </font>
    </dxf>
    <dxf>
      <font>
        <b val="0"/>
        <i val="0"/>
        <color rgb="FFFF0000"/>
      </font>
    </dxf>
    <dxf>
      <font>
        <color theme="4" tint="0.79998168889431442"/>
      </font>
    </dxf>
    <dxf>
      <font>
        <b/>
        <i val="0"/>
        <color rgb="FFFF0000"/>
      </font>
    </dxf>
    <dxf>
      <font>
        <b/>
        <i val="0"/>
        <color rgb="FFFF0000"/>
      </font>
    </dxf>
    <dxf>
      <font>
        <color theme="0"/>
      </font>
      <fill>
        <patternFill>
          <bgColor theme="0"/>
        </patternFill>
      </fill>
      <border>
        <left/>
        <right/>
        <top/>
        <bottom/>
        <vertical/>
        <horizontal/>
      </border>
    </dxf>
    <dxf>
      <font>
        <color theme="0"/>
      </font>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bottom/>
        <vertical/>
        <horizontal/>
      </border>
    </dxf>
    <dxf>
      <font>
        <b/>
        <i val="0"/>
        <color theme="0"/>
      </font>
      <fill>
        <patternFill>
          <bgColor theme="8"/>
        </patternFill>
      </fill>
      <border>
        <left style="thin">
          <color auto="1"/>
        </left>
        <right style="thin">
          <color auto="1"/>
        </right>
        <top style="thin">
          <color auto="1"/>
        </top>
        <bottom style="thin">
          <color auto="1"/>
        </bottom>
        <vertical/>
        <horizontal/>
      </border>
    </dxf>
    <dxf>
      <fill>
        <patternFill>
          <bgColor theme="0"/>
        </patternFill>
      </fill>
    </dxf>
    <dxf>
      <fill>
        <patternFill>
          <bgColor theme="0"/>
        </patternFill>
      </fill>
    </dxf>
    <dxf>
      <font>
        <color auto="1"/>
      </font>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ont>
        <color rgb="FFFF0000"/>
      </font>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sheetMetadata" Target="metadata.xml"/><Relationship Id="rId55"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microsoft.com/office/2022/11/relationships/FeaturePropertyBag" Target="featurePropertyBag/featurePropertyBag.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27</xdr:row>
          <xdr:rowOff>38100</xdr:rowOff>
        </xdr:from>
        <xdr:to>
          <xdr:col>6</xdr:col>
          <xdr:colOff>504825</xdr:colOff>
          <xdr:row>28</xdr:row>
          <xdr:rowOff>114300</xdr:rowOff>
        </xdr:to>
        <xdr:sp macro="" textlink="">
          <xdr:nvSpPr>
            <xdr:cNvPr id="3080" name="Check Box 8" descr="Exempt&#10;"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Installation Contractor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27</xdr:row>
          <xdr:rowOff>57150</xdr:rowOff>
        </xdr:from>
        <xdr:to>
          <xdr:col>2</xdr:col>
          <xdr:colOff>409575</xdr:colOff>
          <xdr:row>28</xdr:row>
          <xdr:rowOff>114300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Customer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27</xdr:row>
          <xdr:rowOff>47625</xdr:rowOff>
        </xdr:from>
        <xdr:to>
          <xdr:col>10</xdr:col>
          <xdr:colOff>19050</xdr:colOff>
          <xdr:row>28</xdr:row>
          <xdr:rowOff>114300</xdr:rowOff>
        </xdr:to>
        <xdr:sp macro="" textlink="">
          <xdr:nvSpPr>
            <xdr:cNvPr id="3082" name="Check Box 10" descr="Exempt&#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 (Fill out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35</xdr:row>
          <xdr:rowOff>123825</xdr:rowOff>
        </xdr:from>
        <xdr:to>
          <xdr:col>2</xdr:col>
          <xdr:colOff>666750</xdr:colOff>
          <xdr:row>37</xdr:row>
          <xdr:rowOff>28575</xdr:rowOff>
        </xdr:to>
        <xdr:sp macro="" textlink="">
          <xdr:nvSpPr>
            <xdr:cNvPr id="3083" name="Check Box 11" descr="Exempt&#10;"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123825</xdr:rowOff>
        </xdr:from>
        <xdr:to>
          <xdr:col>1</xdr:col>
          <xdr:colOff>857250</xdr:colOff>
          <xdr:row>37</xdr:row>
          <xdr:rowOff>28575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35</xdr:row>
          <xdr:rowOff>114300</xdr:rowOff>
        </xdr:from>
        <xdr:to>
          <xdr:col>4</xdr:col>
          <xdr:colOff>647700</xdr:colOff>
          <xdr:row>37</xdr:row>
          <xdr:rowOff>28575</xdr:rowOff>
        </xdr:to>
        <xdr:sp macro="" textlink="">
          <xdr:nvSpPr>
            <xdr:cNvPr id="3085" name="Check Box 13" descr="Exempt&#10;"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52</xdr:row>
          <xdr:rowOff>9525</xdr:rowOff>
        </xdr:from>
        <xdr:to>
          <xdr:col>9</xdr:col>
          <xdr:colOff>704850</xdr:colOff>
          <xdr:row>53</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 CERTIFY THAT ALL STATEMENTS MADE IN THIS APPLICATION ARE CORRECT TO THE BEST OF MY KNOWLEDGE AND THAT I HAVE READ AND AGREE TO THE TERMS AND CONDITIONS OF NATIONAL GRID'S RETROFIT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27</xdr:row>
          <xdr:rowOff>38100</xdr:rowOff>
        </xdr:from>
        <xdr:to>
          <xdr:col>8</xdr:col>
          <xdr:colOff>85725</xdr:colOff>
          <xdr:row>28</xdr:row>
          <xdr:rowOff>114300</xdr:rowOff>
        </xdr:to>
        <xdr:sp macro="" textlink="">
          <xdr:nvSpPr>
            <xdr:cNvPr id="3093" name="Check Box 21" descr="Exempt&#10;"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Equipment Vendor Address Below</a:t>
              </a:r>
            </a:p>
          </xdr:txBody>
        </xdr:sp>
        <xdr:clientData fLocksWithSheet="0"/>
      </xdr:twoCellAnchor>
    </mc:Choice>
    <mc:Fallback/>
  </mc:AlternateContent>
  <xdr:oneCellAnchor>
    <xdr:from>
      <xdr:col>8</xdr:col>
      <xdr:colOff>266700</xdr:colOff>
      <xdr:row>1</xdr:row>
      <xdr:rowOff>40939</xdr:rowOff>
    </xdr:from>
    <xdr:ext cx="1933575" cy="416951"/>
    <xdr:pic>
      <xdr:nvPicPr>
        <xdr:cNvPr id="2" name="Picture 1">
          <a:extLst>
            <a:ext uri="{FF2B5EF4-FFF2-40B4-BE49-F238E27FC236}">
              <a16:creationId xmlns:a16="http://schemas.microsoft.com/office/drawing/2014/main" id="{7D13B01E-A838-4F16-8D1D-15573D6F2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3050" y="240964"/>
          <a:ext cx="1933575" cy="41695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xdr:col>
          <xdr:colOff>66675</xdr:colOff>
          <xdr:row>45</xdr:row>
          <xdr:rowOff>123825</xdr:rowOff>
        </xdr:from>
        <xdr:to>
          <xdr:col>2</xdr:col>
          <xdr:colOff>666750</xdr:colOff>
          <xdr:row>47</xdr:row>
          <xdr:rowOff>28575</xdr:rowOff>
        </xdr:to>
        <xdr:sp macro="" textlink="">
          <xdr:nvSpPr>
            <xdr:cNvPr id="3100" name="Check Box 28" descr="Exempt&#10;"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45</xdr:row>
          <xdr:rowOff>123825</xdr:rowOff>
        </xdr:from>
        <xdr:to>
          <xdr:col>1</xdr:col>
          <xdr:colOff>857250</xdr:colOff>
          <xdr:row>47</xdr:row>
          <xdr:rowOff>28575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45</xdr:row>
          <xdr:rowOff>114300</xdr:rowOff>
        </xdr:from>
        <xdr:to>
          <xdr:col>4</xdr:col>
          <xdr:colOff>647700</xdr:colOff>
          <xdr:row>47</xdr:row>
          <xdr:rowOff>28575</xdr:rowOff>
        </xdr:to>
        <xdr:sp macro="" textlink="">
          <xdr:nvSpPr>
            <xdr:cNvPr id="3102" name="Check Box 30" descr="Exempt&#1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123825</xdr:rowOff>
        </xdr:from>
        <xdr:to>
          <xdr:col>2</xdr:col>
          <xdr:colOff>666750</xdr:colOff>
          <xdr:row>20</xdr:row>
          <xdr:rowOff>28575</xdr:rowOff>
        </xdr:to>
        <xdr:sp macro="" textlink="">
          <xdr:nvSpPr>
            <xdr:cNvPr id="3104" name="Check Box 32" descr="Exempt&#10;"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123825</xdr:rowOff>
        </xdr:from>
        <xdr:to>
          <xdr:col>1</xdr:col>
          <xdr:colOff>857250</xdr:colOff>
          <xdr:row>20</xdr:row>
          <xdr:rowOff>28575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Incorporated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18</xdr:row>
          <xdr:rowOff>114300</xdr:rowOff>
        </xdr:from>
        <xdr:to>
          <xdr:col>4</xdr:col>
          <xdr:colOff>647700</xdr:colOff>
          <xdr:row>20</xdr:row>
          <xdr:rowOff>47625</xdr:rowOff>
        </xdr:to>
        <xdr:sp macro="" textlink="">
          <xdr:nvSpPr>
            <xdr:cNvPr id="3106" name="Check Box 34" descr="Exempt&#10;"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Not Incorporated</a:t>
              </a:r>
            </a:p>
          </xdr:txBody>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757E3227-8797-482F-9D6B-8004AAA8C8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71681" name="Check Box 1" hidden="1">
              <a:extLst>
                <a:ext uri="{63B3BB69-23CF-44E3-9099-C40C66FF867C}">
                  <a14:compatExt spid="_x0000_s71681"/>
                </a:ext>
                <a:ext uri="{FF2B5EF4-FFF2-40B4-BE49-F238E27FC236}">
                  <a16:creationId xmlns:a16="http://schemas.microsoft.com/office/drawing/2014/main" id="{00000000-0008-0000-1200-00000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71682" name="Check Box 2" hidden="1">
              <a:extLst>
                <a:ext uri="{63B3BB69-23CF-44E3-9099-C40C66FF867C}">
                  <a14:compatExt spid="_x0000_s71682"/>
                </a:ext>
                <a:ext uri="{FF2B5EF4-FFF2-40B4-BE49-F238E27FC236}">
                  <a16:creationId xmlns:a16="http://schemas.microsoft.com/office/drawing/2014/main" id="{00000000-0008-0000-1200-00000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71683" name="Check Box 3" hidden="1">
              <a:extLst>
                <a:ext uri="{63B3BB69-23CF-44E3-9099-C40C66FF867C}">
                  <a14:compatExt spid="_x0000_s71683"/>
                </a:ext>
                <a:ext uri="{FF2B5EF4-FFF2-40B4-BE49-F238E27FC236}">
                  <a16:creationId xmlns:a16="http://schemas.microsoft.com/office/drawing/2014/main" id="{00000000-0008-0000-1200-000003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71684" name="Check Box 4" hidden="1">
              <a:extLst>
                <a:ext uri="{63B3BB69-23CF-44E3-9099-C40C66FF867C}">
                  <a14:compatExt spid="_x0000_s71684"/>
                </a:ext>
                <a:ext uri="{FF2B5EF4-FFF2-40B4-BE49-F238E27FC236}">
                  <a16:creationId xmlns:a16="http://schemas.microsoft.com/office/drawing/2014/main" id="{00000000-0008-0000-1200-000004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71685" name="Check Box 5" hidden="1">
              <a:extLst>
                <a:ext uri="{63B3BB69-23CF-44E3-9099-C40C66FF867C}">
                  <a14:compatExt spid="_x0000_s71685"/>
                </a:ext>
                <a:ext uri="{FF2B5EF4-FFF2-40B4-BE49-F238E27FC236}">
                  <a16:creationId xmlns:a16="http://schemas.microsoft.com/office/drawing/2014/main" id="{00000000-0008-0000-1200-00000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71686" name="Check Box 6" hidden="1">
              <a:extLst>
                <a:ext uri="{63B3BB69-23CF-44E3-9099-C40C66FF867C}">
                  <a14:compatExt spid="_x0000_s71686"/>
                </a:ext>
                <a:ext uri="{FF2B5EF4-FFF2-40B4-BE49-F238E27FC236}">
                  <a16:creationId xmlns:a16="http://schemas.microsoft.com/office/drawing/2014/main" id="{00000000-0008-0000-1200-00000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71687" name="Check Box 7" hidden="1">
              <a:extLst>
                <a:ext uri="{63B3BB69-23CF-44E3-9099-C40C66FF867C}">
                  <a14:compatExt spid="_x0000_s71687"/>
                </a:ext>
                <a:ext uri="{FF2B5EF4-FFF2-40B4-BE49-F238E27FC236}">
                  <a16:creationId xmlns:a16="http://schemas.microsoft.com/office/drawing/2014/main" id="{00000000-0008-0000-1200-00000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71688" name="Check Box 8" hidden="1">
              <a:extLst>
                <a:ext uri="{63B3BB69-23CF-44E3-9099-C40C66FF867C}">
                  <a14:compatExt spid="_x0000_s71688"/>
                </a:ext>
                <a:ext uri="{FF2B5EF4-FFF2-40B4-BE49-F238E27FC236}">
                  <a16:creationId xmlns:a16="http://schemas.microsoft.com/office/drawing/2014/main" id="{00000000-0008-0000-1200-00000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504825</xdr:rowOff>
        </xdr:from>
        <xdr:to>
          <xdr:col>2</xdr:col>
          <xdr:colOff>923925</xdr:colOff>
          <xdr:row>28</xdr:row>
          <xdr:rowOff>723900</xdr:rowOff>
        </xdr:to>
        <xdr:sp macro="" textlink="">
          <xdr:nvSpPr>
            <xdr:cNvPr id="71689" name="Check Box 9" hidden="1">
              <a:extLst>
                <a:ext uri="{63B3BB69-23CF-44E3-9099-C40C66FF867C}">
                  <a14:compatExt spid="_x0000_s71689"/>
                </a:ext>
                <a:ext uri="{FF2B5EF4-FFF2-40B4-BE49-F238E27FC236}">
                  <a16:creationId xmlns:a16="http://schemas.microsoft.com/office/drawing/2014/main" id="{00000000-0008-0000-1200-00000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790575</xdr:rowOff>
        </xdr:from>
        <xdr:to>
          <xdr:col>2</xdr:col>
          <xdr:colOff>914400</xdr:colOff>
          <xdr:row>28</xdr:row>
          <xdr:rowOff>1009650</xdr:rowOff>
        </xdr:to>
        <xdr:sp macro="" textlink="">
          <xdr:nvSpPr>
            <xdr:cNvPr id="71690" name="Check Box 10" hidden="1">
              <a:extLst>
                <a:ext uri="{63B3BB69-23CF-44E3-9099-C40C66FF867C}">
                  <a14:compatExt spid="_x0000_s71690"/>
                </a:ext>
                <a:ext uri="{FF2B5EF4-FFF2-40B4-BE49-F238E27FC236}">
                  <a16:creationId xmlns:a16="http://schemas.microsoft.com/office/drawing/2014/main" id="{00000000-0008-0000-1200-00000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28</xdr:row>
          <xdr:rowOff>504825</xdr:rowOff>
        </xdr:from>
        <xdr:to>
          <xdr:col>2</xdr:col>
          <xdr:colOff>561975</xdr:colOff>
          <xdr:row>28</xdr:row>
          <xdr:rowOff>723900</xdr:rowOff>
        </xdr:to>
        <xdr:sp macro="" textlink="">
          <xdr:nvSpPr>
            <xdr:cNvPr id="71691" name="Check Box 11" hidden="1">
              <a:extLst>
                <a:ext uri="{63B3BB69-23CF-44E3-9099-C40C66FF867C}">
                  <a14:compatExt spid="_x0000_s71691"/>
                </a:ext>
                <a:ext uri="{FF2B5EF4-FFF2-40B4-BE49-F238E27FC236}">
                  <a16:creationId xmlns:a16="http://schemas.microsoft.com/office/drawing/2014/main" id="{00000000-0008-0000-1200-00000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800100</xdr:rowOff>
        </xdr:from>
        <xdr:to>
          <xdr:col>2</xdr:col>
          <xdr:colOff>552450</xdr:colOff>
          <xdr:row>28</xdr:row>
          <xdr:rowOff>1019175</xdr:rowOff>
        </xdr:to>
        <xdr:sp macro="" textlink="">
          <xdr:nvSpPr>
            <xdr:cNvPr id="71692" name="Check Box 12" hidden="1">
              <a:extLst>
                <a:ext uri="{63B3BB69-23CF-44E3-9099-C40C66FF867C}">
                  <a14:compatExt spid="_x0000_s71692"/>
                </a:ext>
                <a:ext uri="{FF2B5EF4-FFF2-40B4-BE49-F238E27FC236}">
                  <a16:creationId xmlns:a16="http://schemas.microsoft.com/office/drawing/2014/main" id="{00000000-0008-0000-1200-00000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71693" name="Check Box 13" hidden="1">
              <a:extLst>
                <a:ext uri="{63B3BB69-23CF-44E3-9099-C40C66FF867C}">
                  <a14:compatExt spid="_x0000_s71693"/>
                </a:ext>
                <a:ext uri="{FF2B5EF4-FFF2-40B4-BE49-F238E27FC236}">
                  <a16:creationId xmlns:a16="http://schemas.microsoft.com/office/drawing/2014/main" id="{00000000-0008-0000-1200-00000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71694" name="Check Box 14" hidden="1">
              <a:extLst>
                <a:ext uri="{63B3BB69-23CF-44E3-9099-C40C66FF867C}">
                  <a14:compatExt spid="_x0000_s71694"/>
                </a:ext>
                <a:ext uri="{FF2B5EF4-FFF2-40B4-BE49-F238E27FC236}">
                  <a16:creationId xmlns:a16="http://schemas.microsoft.com/office/drawing/2014/main" id="{00000000-0008-0000-1200-00000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71695" name="Check Box 15" hidden="1">
              <a:extLst>
                <a:ext uri="{63B3BB69-23CF-44E3-9099-C40C66FF867C}">
                  <a14:compatExt spid="_x0000_s71695"/>
                </a:ext>
                <a:ext uri="{FF2B5EF4-FFF2-40B4-BE49-F238E27FC236}">
                  <a16:creationId xmlns:a16="http://schemas.microsoft.com/office/drawing/2014/main" id="{00000000-0008-0000-1200-00000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71696" name="Check Box 16" hidden="1">
              <a:extLst>
                <a:ext uri="{63B3BB69-23CF-44E3-9099-C40C66FF867C}">
                  <a14:compatExt spid="_x0000_s71696"/>
                </a:ext>
                <a:ext uri="{FF2B5EF4-FFF2-40B4-BE49-F238E27FC236}">
                  <a16:creationId xmlns:a16="http://schemas.microsoft.com/office/drawing/2014/main" id="{00000000-0008-0000-1200-000010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71697" name="Check Box 17" hidden="1">
              <a:extLst>
                <a:ext uri="{63B3BB69-23CF-44E3-9099-C40C66FF867C}">
                  <a14:compatExt spid="_x0000_s71697"/>
                </a:ext>
                <a:ext uri="{FF2B5EF4-FFF2-40B4-BE49-F238E27FC236}">
                  <a16:creationId xmlns:a16="http://schemas.microsoft.com/office/drawing/2014/main" id="{00000000-0008-0000-1200-000011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71698" name="Check Box 18" hidden="1">
              <a:extLst>
                <a:ext uri="{63B3BB69-23CF-44E3-9099-C40C66FF867C}">
                  <a14:compatExt spid="_x0000_s71698"/>
                </a:ext>
                <a:ext uri="{FF2B5EF4-FFF2-40B4-BE49-F238E27FC236}">
                  <a16:creationId xmlns:a16="http://schemas.microsoft.com/office/drawing/2014/main" id="{00000000-0008-0000-1200-000012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71701" name="Check Box 21" hidden="1">
              <a:extLst>
                <a:ext uri="{63B3BB69-23CF-44E3-9099-C40C66FF867C}">
                  <a14:compatExt spid="_x0000_s71701"/>
                </a:ext>
                <a:ext uri="{FF2B5EF4-FFF2-40B4-BE49-F238E27FC236}">
                  <a16:creationId xmlns:a16="http://schemas.microsoft.com/office/drawing/2014/main" id="{00000000-0008-0000-1200-000015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71702" name="Check Box 22" hidden="1">
              <a:extLst>
                <a:ext uri="{63B3BB69-23CF-44E3-9099-C40C66FF867C}">
                  <a14:compatExt spid="_x0000_s71702"/>
                </a:ext>
                <a:ext uri="{FF2B5EF4-FFF2-40B4-BE49-F238E27FC236}">
                  <a16:creationId xmlns:a16="http://schemas.microsoft.com/office/drawing/2014/main" id="{00000000-0008-0000-1200-000016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71703" name="Check Box 23" hidden="1">
              <a:extLst>
                <a:ext uri="{63B3BB69-23CF-44E3-9099-C40C66FF867C}">
                  <a14:compatExt spid="_x0000_s71703"/>
                </a:ext>
                <a:ext uri="{FF2B5EF4-FFF2-40B4-BE49-F238E27FC236}">
                  <a16:creationId xmlns:a16="http://schemas.microsoft.com/office/drawing/2014/main" id="{00000000-0008-0000-1200-000017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71704" name="Check Box 24" hidden="1">
              <a:extLst>
                <a:ext uri="{63B3BB69-23CF-44E3-9099-C40C66FF867C}">
                  <a14:compatExt spid="_x0000_s71704"/>
                </a:ext>
                <a:ext uri="{FF2B5EF4-FFF2-40B4-BE49-F238E27FC236}">
                  <a16:creationId xmlns:a16="http://schemas.microsoft.com/office/drawing/2014/main" id="{00000000-0008-0000-1200-000018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71705" name="Check Box 25" hidden="1">
              <a:extLst>
                <a:ext uri="{63B3BB69-23CF-44E3-9099-C40C66FF867C}">
                  <a14:compatExt spid="_x0000_s71705"/>
                </a:ext>
                <a:ext uri="{FF2B5EF4-FFF2-40B4-BE49-F238E27FC236}">
                  <a16:creationId xmlns:a16="http://schemas.microsoft.com/office/drawing/2014/main" id="{00000000-0008-0000-1200-000019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71706" name="Check Box 26" hidden="1">
              <a:extLst>
                <a:ext uri="{63B3BB69-23CF-44E3-9099-C40C66FF867C}">
                  <a14:compatExt spid="_x0000_s71706"/>
                </a:ext>
                <a:ext uri="{FF2B5EF4-FFF2-40B4-BE49-F238E27FC236}">
                  <a16:creationId xmlns:a16="http://schemas.microsoft.com/office/drawing/2014/main" id="{00000000-0008-0000-1200-00001A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71707" name="Check Box 27" hidden="1">
              <a:extLst>
                <a:ext uri="{63B3BB69-23CF-44E3-9099-C40C66FF867C}">
                  <a14:compatExt spid="_x0000_s71707"/>
                </a:ext>
                <a:ext uri="{FF2B5EF4-FFF2-40B4-BE49-F238E27FC236}">
                  <a16:creationId xmlns:a16="http://schemas.microsoft.com/office/drawing/2014/main" id="{00000000-0008-0000-1200-00001B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71708" name="Check Box 28" hidden="1">
              <a:extLst>
                <a:ext uri="{63B3BB69-23CF-44E3-9099-C40C66FF867C}">
                  <a14:compatExt spid="_x0000_s71708"/>
                </a:ext>
                <a:ext uri="{FF2B5EF4-FFF2-40B4-BE49-F238E27FC236}">
                  <a16:creationId xmlns:a16="http://schemas.microsoft.com/office/drawing/2014/main" id="{00000000-0008-0000-1200-00001C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71709" name="Check Box 29" hidden="1">
              <a:extLst>
                <a:ext uri="{63B3BB69-23CF-44E3-9099-C40C66FF867C}">
                  <a14:compatExt spid="_x0000_s71709"/>
                </a:ext>
                <a:ext uri="{FF2B5EF4-FFF2-40B4-BE49-F238E27FC236}">
                  <a16:creationId xmlns:a16="http://schemas.microsoft.com/office/drawing/2014/main" id="{00000000-0008-0000-1200-00001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71710" name="Check Box 30" hidden="1">
              <a:extLst>
                <a:ext uri="{63B3BB69-23CF-44E3-9099-C40C66FF867C}">
                  <a14:compatExt spid="_x0000_s71710"/>
                </a:ext>
                <a:ext uri="{FF2B5EF4-FFF2-40B4-BE49-F238E27FC236}">
                  <a16:creationId xmlns:a16="http://schemas.microsoft.com/office/drawing/2014/main" id="{00000000-0008-0000-1200-00001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4</xdr:col>
      <xdr:colOff>398317</xdr:colOff>
      <xdr:row>2</xdr:row>
      <xdr:rowOff>333577</xdr:rowOff>
    </xdr:to>
    <xdr:pic>
      <xdr:nvPicPr>
        <xdr:cNvPr id="5" name="Picture 4" descr="45mm_national_grid_300">
          <a:extLst>
            <a:ext uri="{FF2B5EF4-FFF2-40B4-BE49-F238E27FC236}">
              <a16:creationId xmlns:a16="http://schemas.microsoft.com/office/drawing/2014/main" id="{26343037-0333-4674-8649-5207EDF947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803" y="286905"/>
          <a:ext cx="1664423" cy="59219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4B731DDA-E7E7-4A53-8FF7-38AE120015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32</xdr:row>
          <xdr:rowOff>333375</xdr:rowOff>
        </xdr:from>
        <xdr:to>
          <xdr:col>2</xdr:col>
          <xdr:colOff>514350</xdr:colOff>
          <xdr:row>34</xdr:row>
          <xdr:rowOff>9525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4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32</xdr:row>
          <xdr:rowOff>333375</xdr:rowOff>
        </xdr:from>
        <xdr:to>
          <xdr:col>2</xdr:col>
          <xdr:colOff>923925</xdr:colOff>
          <xdr:row>34</xdr:row>
          <xdr:rowOff>9525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4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34</xdr:row>
          <xdr:rowOff>333375</xdr:rowOff>
        </xdr:from>
        <xdr:to>
          <xdr:col>2</xdr:col>
          <xdr:colOff>514350</xdr:colOff>
          <xdr:row>36</xdr:row>
          <xdr:rowOff>9525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4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34</xdr:row>
          <xdr:rowOff>333375</xdr:rowOff>
        </xdr:from>
        <xdr:to>
          <xdr:col>2</xdr:col>
          <xdr:colOff>923925</xdr:colOff>
          <xdr:row>36</xdr:row>
          <xdr:rowOff>9525</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4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36</xdr:row>
          <xdr:rowOff>638175</xdr:rowOff>
        </xdr:from>
        <xdr:to>
          <xdr:col>2</xdr:col>
          <xdr:colOff>533400</xdr:colOff>
          <xdr:row>38</xdr:row>
          <xdr:rowOff>9525</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4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36</xdr:row>
          <xdr:rowOff>647700</xdr:rowOff>
        </xdr:from>
        <xdr:to>
          <xdr:col>2</xdr:col>
          <xdr:colOff>914400</xdr:colOff>
          <xdr:row>38</xdr:row>
          <xdr:rowOff>9525</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4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180975</xdr:rowOff>
        </xdr:from>
        <xdr:to>
          <xdr:col>2</xdr:col>
          <xdr:colOff>552450</xdr:colOff>
          <xdr:row>39</xdr:row>
          <xdr:rowOff>400050</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4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39</xdr:row>
          <xdr:rowOff>180975</xdr:rowOff>
        </xdr:from>
        <xdr:to>
          <xdr:col>2</xdr:col>
          <xdr:colOff>914400</xdr:colOff>
          <xdr:row>39</xdr:row>
          <xdr:rowOff>400050</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4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39</xdr:row>
          <xdr:rowOff>504825</xdr:rowOff>
        </xdr:from>
        <xdr:to>
          <xdr:col>2</xdr:col>
          <xdr:colOff>923925</xdr:colOff>
          <xdr:row>39</xdr:row>
          <xdr:rowOff>723900</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4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39</xdr:row>
          <xdr:rowOff>790575</xdr:rowOff>
        </xdr:from>
        <xdr:to>
          <xdr:col>2</xdr:col>
          <xdr:colOff>914400</xdr:colOff>
          <xdr:row>39</xdr:row>
          <xdr:rowOff>1009650</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4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504825</xdr:rowOff>
        </xdr:from>
        <xdr:to>
          <xdr:col>2</xdr:col>
          <xdr:colOff>561975</xdr:colOff>
          <xdr:row>39</xdr:row>
          <xdr:rowOff>723900</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4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39</xdr:row>
          <xdr:rowOff>800100</xdr:rowOff>
        </xdr:from>
        <xdr:to>
          <xdr:col>2</xdr:col>
          <xdr:colOff>552450</xdr:colOff>
          <xdr:row>39</xdr:row>
          <xdr:rowOff>1019175</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4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4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4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4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4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4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4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4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4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4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4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xdr:row>
          <xdr:rowOff>19050</xdr:rowOff>
        </xdr:from>
        <xdr:to>
          <xdr:col>2</xdr:col>
          <xdr:colOff>542925</xdr:colOff>
          <xdr:row>31</xdr:row>
          <xdr:rowOff>238125</xdr:rowOff>
        </xdr:to>
        <xdr:sp macro="" textlink="">
          <xdr:nvSpPr>
            <xdr:cNvPr id="99351" name="Check Box 23" hidden="1">
              <a:extLst>
                <a:ext uri="{63B3BB69-23CF-44E3-9099-C40C66FF867C}">
                  <a14:compatExt spid="_x0000_s99351"/>
                </a:ext>
                <a:ext uri="{FF2B5EF4-FFF2-40B4-BE49-F238E27FC236}">
                  <a16:creationId xmlns:a16="http://schemas.microsoft.com/office/drawing/2014/main" id="{00000000-0008-0000-1400-00001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31</xdr:row>
          <xdr:rowOff>47625</xdr:rowOff>
        </xdr:from>
        <xdr:to>
          <xdr:col>2</xdr:col>
          <xdr:colOff>885825</xdr:colOff>
          <xdr:row>31</xdr:row>
          <xdr:rowOff>228600</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4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99353" name="Check Box 25" hidden="1">
              <a:extLst>
                <a:ext uri="{63B3BB69-23CF-44E3-9099-C40C66FF867C}">
                  <a14:compatExt spid="_x0000_s99353"/>
                </a:ext>
                <a:ext uri="{FF2B5EF4-FFF2-40B4-BE49-F238E27FC236}">
                  <a16:creationId xmlns:a16="http://schemas.microsoft.com/office/drawing/2014/main" id="{00000000-0008-0000-1400-00001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99354" name="Check Box 26" hidden="1">
              <a:extLst>
                <a:ext uri="{63B3BB69-23CF-44E3-9099-C40C66FF867C}">
                  <a14:compatExt spid="_x0000_s99354"/>
                </a:ext>
                <a:ext uri="{FF2B5EF4-FFF2-40B4-BE49-F238E27FC236}">
                  <a16:creationId xmlns:a16="http://schemas.microsoft.com/office/drawing/2014/main" id="{00000000-0008-0000-1400-00001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99355" name="Check Box 27" hidden="1">
              <a:extLst>
                <a:ext uri="{63B3BB69-23CF-44E3-9099-C40C66FF867C}">
                  <a14:compatExt spid="_x0000_s99355"/>
                </a:ext>
                <a:ext uri="{FF2B5EF4-FFF2-40B4-BE49-F238E27FC236}">
                  <a16:creationId xmlns:a16="http://schemas.microsoft.com/office/drawing/2014/main" id="{00000000-0008-0000-1400-00001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99356" name="Check Box 28" hidden="1">
              <a:extLst>
                <a:ext uri="{63B3BB69-23CF-44E3-9099-C40C66FF867C}">
                  <a14:compatExt spid="_x0000_s99356"/>
                </a:ext>
                <a:ext uri="{FF2B5EF4-FFF2-40B4-BE49-F238E27FC236}">
                  <a16:creationId xmlns:a16="http://schemas.microsoft.com/office/drawing/2014/main" id="{00000000-0008-0000-1400-00001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99357" name="Check Box 29" hidden="1">
              <a:extLst>
                <a:ext uri="{63B3BB69-23CF-44E3-9099-C40C66FF867C}">
                  <a14:compatExt spid="_x0000_s99357"/>
                </a:ext>
                <a:ext uri="{FF2B5EF4-FFF2-40B4-BE49-F238E27FC236}">
                  <a16:creationId xmlns:a16="http://schemas.microsoft.com/office/drawing/2014/main" id="{00000000-0008-0000-1400-00001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99358" name="Check Box 30" hidden="1">
              <a:extLst>
                <a:ext uri="{63B3BB69-23CF-44E3-9099-C40C66FF867C}">
                  <a14:compatExt spid="_x0000_s99358"/>
                </a:ext>
                <a:ext uri="{FF2B5EF4-FFF2-40B4-BE49-F238E27FC236}">
                  <a16:creationId xmlns:a16="http://schemas.microsoft.com/office/drawing/2014/main" id="{00000000-0008-0000-1400-00001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99359" name="Check Box 31" hidden="1">
              <a:extLst>
                <a:ext uri="{63B3BB69-23CF-44E3-9099-C40C66FF867C}">
                  <a14:compatExt spid="_x0000_s99359"/>
                </a:ext>
                <a:ext uri="{FF2B5EF4-FFF2-40B4-BE49-F238E27FC236}">
                  <a16:creationId xmlns:a16="http://schemas.microsoft.com/office/drawing/2014/main" id="{00000000-0008-0000-1400-00001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99360" name="Check Box 32" hidden="1">
              <a:extLst>
                <a:ext uri="{63B3BB69-23CF-44E3-9099-C40C66FF867C}">
                  <a14:compatExt spid="_x0000_s99360"/>
                </a:ext>
                <a:ext uri="{FF2B5EF4-FFF2-40B4-BE49-F238E27FC236}">
                  <a16:creationId xmlns:a16="http://schemas.microsoft.com/office/drawing/2014/main" id="{00000000-0008-0000-1400-00002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19050</xdr:rowOff>
        </xdr:from>
        <xdr:to>
          <xdr:col>2</xdr:col>
          <xdr:colOff>542925</xdr:colOff>
          <xdr:row>24</xdr:row>
          <xdr:rowOff>238125</xdr:rowOff>
        </xdr:to>
        <xdr:sp macro="" textlink="">
          <xdr:nvSpPr>
            <xdr:cNvPr id="99361" name="Check Box 33" hidden="1">
              <a:extLst>
                <a:ext uri="{63B3BB69-23CF-44E3-9099-C40C66FF867C}">
                  <a14:compatExt spid="_x0000_s99361"/>
                </a:ext>
                <a:ext uri="{FF2B5EF4-FFF2-40B4-BE49-F238E27FC236}">
                  <a16:creationId xmlns:a16="http://schemas.microsoft.com/office/drawing/2014/main" id="{00000000-0008-0000-1400-00002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47625</xdr:rowOff>
        </xdr:from>
        <xdr:to>
          <xdr:col>2</xdr:col>
          <xdr:colOff>885825</xdr:colOff>
          <xdr:row>24</xdr:row>
          <xdr:rowOff>228600</xdr:rowOff>
        </xdr:to>
        <xdr:sp macro="" textlink="">
          <xdr:nvSpPr>
            <xdr:cNvPr id="99362" name="Check Box 34" hidden="1">
              <a:extLst>
                <a:ext uri="{63B3BB69-23CF-44E3-9099-C40C66FF867C}">
                  <a14:compatExt spid="_x0000_s99362"/>
                </a:ext>
                <a:ext uri="{FF2B5EF4-FFF2-40B4-BE49-F238E27FC236}">
                  <a16:creationId xmlns:a16="http://schemas.microsoft.com/office/drawing/2014/main" id="{00000000-0008-0000-1400-00002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19050</xdr:rowOff>
        </xdr:from>
        <xdr:to>
          <xdr:col>2</xdr:col>
          <xdr:colOff>542925</xdr:colOff>
          <xdr:row>23</xdr:row>
          <xdr:rowOff>238125</xdr:rowOff>
        </xdr:to>
        <xdr:sp macro="" textlink="">
          <xdr:nvSpPr>
            <xdr:cNvPr id="99363" name="Check Box 35" hidden="1">
              <a:extLst>
                <a:ext uri="{63B3BB69-23CF-44E3-9099-C40C66FF867C}">
                  <a14:compatExt spid="_x0000_s99363"/>
                </a:ext>
                <a:ext uri="{FF2B5EF4-FFF2-40B4-BE49-F238E27FC236}">
                  <a16:creationId xmlns:a16="http://schemas.microsoft.com/office/drawing/2014/main" id="{00000000-0008-0000-1400-00002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47625</xdr:rowOff>
        </xdr:from>
        <xdr:to>
          <xdr:col>2</xdr:col>
          <xdr:colOff>885825</xdr:colOff>
          <xdr:row>23</xdr:row>
          <xdr:rowOff>228600</xdr:rowOff>
        </xdr:to>
        <xdr:sp macro="" textlink="">
          <xdr:nvSpPr>
            <xdr:cNvPr id="99364" name="Check Box 36" hidden="1">
              <a:extLst>
                <a:ext uri="{63B3BB69-23CF-44E3-9099-C40C66FF867C}">
                  <a14:compatExt spid="_x0000_s99364"/>
                </a:ext>
                <a:ext uri="{FF2B5EF4-FFF2-40B4-BE49-F238E27FC236}">
                  <a16:creationId xmlns:a16="http://schemas.microsoft.com/office/drawing/2014/main" id="{00000000-0008-0000-1400-00002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19050</xdr:rowOff>
        </xdr:from>
        <xdr:to>
          <xdr:col>2</xdr:col>
          <xdr:colOff>542925</xdr:colOff>
          <xdr:row>22</xdr:row>
          <xdr:rowOff>238125</xdr:rowOff>
        </xdr:to>
        <xdr:sp macro="" textlink="">
          <xdr:nvSpPr>
            <xdr:cNvPr id="99365" name="Check Box 37" hidden="1">
              <a:extLst>
                <a:ext uri="{63B3BB69-23CF-44E3-9099-C40C66FF867C}">
                  <a14:compatExt spid="_x0000_s99365"/>
                </a:ext>
                <a:ext uri="{FF2B5EF4-FFF2-40B4-BE49-F238E27FC236}">
                  <a16:creationId xmlns:a16="http://schemas.microsoft.com/office/drawing/2014/main" id="{00000000-0008-0000-1400-00002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47625</xdr:rowOff>
        </xdr:from>
        <xdr:to>
          <xdr:col>2</xdr:col>
          <xdr:colOff>885825</xdr:colOff>
          <xdr:row>22</xdr:row>
          <xdr:rowOff>228600</xdr:rowOff>
        </xdr:to>
        <xdr:sp macro="" textlink="">
          <xdr:nvSpPr>
            <xdr:cNvPr id="99366" name="Check Box 38" hidden="1">
              <a:extLst>
                <a:ext uri="{63B3BB69-23CF-44E3-9099-C40C66FF867C}">
                  <a14:compatExt spid="_x0000_s99366"/>
                </a:ext>
                <a:ext uri="{FF2B5EF4-FFF2-40B4-BE49-F238E27FC236}">
                  <a16:creationId xmlns:a16="http://schemas.microsoft.com/office/drawing/2014/main" id="{00000000-0008-0000-1400-00002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19050</xdr:rowOff>
        </xdr:from>
        <xdr:to>
          <xdr:col>2</xdr:col>
          <xdr:colOff>542925</xdr:colOff>
          <xdr:row>30</xdr:row>
          <xdr:rowOff>238125</xdr:rowOff>
        </xdr:to>
        <xdr:sp macro="" textlink="">
          <xdr:nvSpPr>
            <xdr:cNvPr id="99367" name="Check Box 39" hidden="1">
              <a:extLst>
                <a:ext uri="{63B3BB69-23CF-44E3-9099-C40C66FF867C}">
                  <a14:compatExt spid="_x0000_s99367"/>
                </a:ext>
                <a:ext uri="{FF2B5EF4-FFF2-40B4-BE49-F238E27FC236}">
                  <a16:creationId xmlns:a16="http://schemas.microsoft.com/office/drawing/2014/main" id="{00000000-0008-0000-1400-00002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30</xdr:row>
          <xdr:rowOff>47625</xdr:rowOff>
        </xdr:from>
        <xdr:to>
          <xdr:col>2</xdr:col>
          <xdr:colOff>885825</xdr:colOff>
          <xdr:row>30</xdr:row>
          <xdr:rowOff>228600</xdr:rowOff>
        </xdr:to>
        <xdr:sp macro="" textlink="">
          <xdr:nvSpPr>
            <xdr:cNvPr id="99368" name="Check Box 40" hidden="1">
              <a:extLst>
                <a:ext uri="{63B3BB69-23CF-44E3-9099-C40C66FF867C}">
                  <a14:compatExt spid="_x0000_s99368"/>
                </a:ext>
                <a:ext uri="{FF2B5EF4-FFF2-40B4-BE49-F238E27FC236}">
                  <a16:creationId xmlns:a16="http://schemas.microsoft.com/office/drawing/2014/main" id="{00000000-0008-0000-1400-00002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26</xdr:row>
          <xdr:rowOff>19050</xdr:rowOff>
        </xdr:from>
        <xdr:to>
          <xdr:col>2</xdr:col>
          <xdr:colOff>542925</xdr:colOff>
          <xdr:row>26</xdr:row>
          <xdr:rowOff>238125</xdr:rowOff>
        </xdr:to>
        <xdr:sp macro="" textlink="">
          <xdr:nvSpPr>
            <xdr:cNvPr id="99369" name="Check Box 41" hidden="1">
              <a:extLst>
                <a:ext uri="{63B3BB69-23CF-44E3-9099-C40C66FF867C}">
                  <a14:compatExt spid="_x0000_s99369"/>
                </a:ext>
                <a:ext uri="{FF2B5EF4-FFF2-40B4-BE49-F238E27FC236}">
                  <a16:creationId xmlns:a16="http://schemas.microsoft.com/office/drawing/2014/main" id="{00000000-0008-0000-1400-00002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26</xdr:row>
          <xdr:rowOff>47625</xdr:rowOff>
        </xdr:from>
        <xdr:to>
          <xdr:col>2</xdr:col>
          <xdr:colOff>885825</xdr:colOff>
          <xdr:row>26</xdr:row>
          <xdr:rowOff>228600</xdr:rowOff>
        </xdr:to>
        <xdr:sp macro="" textlink="">
          <xdr:nvSpPr>
            <xdr:cNvPr id="99370" name="Check Box 42" hidden="1">
              <a:extLst>
                <a:ext uri="{63B3BB69-23CF-44E3-9099-C40C66FF867C}">
                  <a14:compatExt spid="_x0000_s99370"/>
                </a:ext>
                <a:ext uri="{FF2B5EF4-FFF2-40B4-BE49-F238E27FC236}">
                  <a16:creationId xmlns:a16="http://schemas.microsoft.com/office/drawing/2014/main" id="{00000000-0008-0000-1400-00002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25</xdr:row>
          <xdr:rowOff>19050</xdr:rowOff>
        </xdr:from>
        <xdr:to>
          <xdr:col>2</xdr:col>
          <xdr:colOff>542925</xdr:colOff>
          <xdr:row>25</xdr:row>
          <xdr:rowOff>238125</xdr:rowOff>
        </xdr:to>
        <xdr:sp macro="" textlink="">
          <xdr:nvSpPr>
            <xdr:cNvPr id="99371" name="Check Box 43" hidden="1">
              <a:extLst>
                <a:ext uri="{63B3BB69-23CF-44E3-9099-C40C66FF867C}">
                  <a14:compatExt spid="_x0000_s99371"/>
                </a:ext>
                <a:ext uri="{FF2B5EF4-FFF2-40B4-BE49-F238E27FC236}">
                  <a16:creationId xmlns:a16="http://schemas.microsoft.com/office/drawing/2014/main" id="{00000000-0008-0000-1400-00002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47625</xdr:rowOff>
        </xdr:from>
        <xdr:to>
          <xdr:col>2</xdr:col>
          <xdr:colOff>885825</xdr:colOff>
          <xdr:row>25</xdr:row>
          <xdr:rowOff>228600</xdr:rowOff>
        </xdr:to>
        <xdr:sp macro="" textlink="">
          <xdr:nvSpPr>
            <xdr:cNvPr id="99372" name="Check Box 44" hidden="1">
              <a:extLst>
                <a:ext uri="{63B3BB69-23CF-44E3-9099-C40C66FF867C}">
                  <a14:compatExt spid="_x0000_s99372"/>
                </a:ext>
                <a:ext uri="{FF2B5EF4-FFF2-40B4-BE49-F238E27FC236}">
                  <a16:creationId xmlns:a16="http://schemas.microsoft.com/office/drawing/2014/main" id="{00000000-0008-0000-1400-00002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29</xdr:row>
          <xdr:rowOff>19050</xdr:rowOff>
        </xdr:from>
        <xdr:to>
          <xdr:col>2</xdr:col>
          <xdr:colOff>542925</xdr:colOff>
          <xdr:row>29</xdr:row>
          <xdr:rowOff>238125</xdr:rowOff>
        </xdr:to>
        <xdr:sp macro="" textlink="">
          <xdr:nvSpPr>
            <xdr:cNvPr id="99373" name="Check Box 45" hidden="1">
              <a:extLst>
                <a:ext uri="{63B3BB69-23CF-44E3-9099-C40C66FF867C}">
                  <a14:compatExt spid="_x0000_s99373"/>
                </a:ext>
                <a:ext uri="{FF2B5EF4-FFF2-40B4-BE49-F238E27FC236}">
                  <a16:creationId xmlns:a16="http://schemas.microsoft.com/office/drawing/2014/main" id="{00000000-0008-0000-1400-00002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29</xdr:row>
          <xdr:rowOff>47625</xdr:rowOff>
        </xdr:from>
        <xdr:to>
          <xdr:col>2</xdr:col>
          <xdr:colOff>885825</xdr:colOff>
          <xdr:row>29</xdr:row>
          <xdr:rowOff>228600</xdr:rowOff>
        </xdr:to>
        <xdr:sp macro="" textlink="">
          <xdr:nvSpPr>
            <xdr:cNvPr id="99374" name="Check Box 46" hidden="1">
              <a:extLst>
                <a:ext uri="{63B3BB69-23CF-44E3-9099-C40C66FF867C}">
                  <a14:compatExt spid="_x0000_s99374"/>
                </a:ext>
                <a:ext uri="{FF2B5EF4-FFF2-40B4-BE49-F238E27FC236}">
                  <a16:creationId xmlns:a16="http://schemas.microsoft.com/office/drawing/2014/main" id="{00000000-0008-0000-1400-00002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28</xdr:row>
          <xdr:rowOff>19050</xdr:rowOff>
        </xdr:from>
        <xdr:to>
          <xdr:col>2</xdr:col>
          <xdr:colOff>542925</xdr:colOff>
          <xdr:row>28</xdr:row>
          <xdr:rowOff>238125</xdr:rowOff>
        </xdr:to>
        <xdr:sp macro="" textlink="">
          <xdr:nvSpPr>
            <xdr:cNvPr id="99375" name="Check Box 47" hidden="1">
              <a:extLst>
                <a:ext uri="{63B3BB69-23CF-44E3-9099-C40C66FF867C}">
                  <a14:compatExt spid="_x0000_s99375"/>
                </a:ext>
                <a:ext uri="{FF2B5EF4-FFF2-40B4-BE49-F238E27FC236}">
                  <a16:creationId xmlns:a16="http://schemas.microsoft.com/office/drawing/2014/main" id="{00000000-0008-0000-1400-00002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28</xdr:row>
          <xdr:rowOff>47625</xdr:rowOff>
        </xdr:from>
        <xdr:to>
          <xdr:col>2</xdr:col>
          <xdr:colOff>885825</xdr:colOff>
          <xdr:row>28</xdr:row>
          <xdr:rowOff>228600</xdr:rowOff>
        </xdr:to>
        <xdr:sp macro="" textlink="">
          <xdr:nvSpPr>
            <xdr:cNvPr id="99376" name="Check Box 48" hidden="1">
              <a:extLst>
                <a:ext uri="{63B3BB69-23CF-44E3-9099-C40C66FF867C}">
                  <a14:compatExt spid="_x0000_s99376"/>
                </a:ext>
                <a:ext uri="{FF2B5EF4-FFF2-40B4-BE49-F238E27FC236}">
                  <a16:creationId xmlns:a16="http://schemas.microsoft.com/office/drawing/2014/main" id="{00000000-0008-0000-1400-00003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27</xdr:row>
          <xdr:rowOff>19050</xdr:rowOff>
        </xdr:from>
        <xdr:to>
          <xdr:col>2</xdr:col>
          <xdr:colOff>542925</xdr:colOff>
          <xdr:row>27</xdr:row>
          <xdr:rowOff>238125</xdr:rowOff>
        </xdr:to>
        <xdr:sp macro="" textlink="">
          <xdr:nvSpPr>
            <xdr:cNvPr id="99377" name="Check Box 49" hidden="1">
              <a:extLst>
                <a:ext uri="{63B3BB69-23CF-44E3-9099-C40C66FF867C}">
                  <a14:compatExt spid="_x0000_s99377"/>
                </a:ext>
                <a:ext uri="{FF2B5EF4-FFF2-40B4-BE49-F238E27FC236}">
                  <a16:creationId xmlns:a16="http://schemas.microsoft.com/office/drawing/2014/main" id="{00000000-0008-0000-1400-00003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27</xdr:row>
          <xdr:rowOff>47625</xdr:rowOff>
        </xdr:from>
        <xdr:to>
          <xdr:col>2</xdr:col>
          <xdr:colOff>885825</xdr:colOff>
          <xdr:row>27</xdr:row>
          <xdr:rowOff>228600</xdr:rowOff>
        </xdr:to>
        <xdr:sp macro="" textlink="">
          <xdr:nvSpPr>
            <xdr:cNvPr id="99378" name="Check Box 50" hidden="1">
              <a:extLst>
                <a:ext uri="{63B3BB69-23CF-44E3-9099-C40C66FF867C}">
                  <a14:compatExt spid="_x0000_s99378"/>
                </a:ext>
                <a:ext uri="{FF2B5EF4-FFF2-40B4-BE49-F238E27FC236}">
                  <a16:creationId xmlns:a16="http://schemas.microsoft.com/office/drawing/2014/main" id="{00000000-0008-0000-1400-00003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2FA49868-0A29-47B0-A1CB-7292F6D421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26</xdr:row>
          <xdr:rowOff>333375</xdr:rowOff>
        </xdr:from>
        <xdr:to>
          <xdr:col>2</xdr:col>
          <xdr:colOff>514350</xdr:colOff>
          <xdr:row>28</xdr:row>
          <xdr:rowOff>9525</xdr:rowOff>
        </xdr:to>
        <xdr:sp macro="" textlink="">
          <xdr:nvSpPr>
            <xdr:cNvPr id="129025" name="Check Box 1" hidden="1">
              <a:extLst>
                <a:ext uri="{63B3BB69-23CF-44E3-9099-C40C66FF867C}">
                  <a14:compatExt spid="_x0000_s129025"/>
                </a:ext>
                <a:ext uri="{FF2B5EF4-FFF2-40B4-BE49-F238E27FC236}">
                  <a16:creationId xmlns:a16="http://schemas.microsoft.com/office/drawing/2014/main" id="{00000000-0008-0000-1500-00000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26</xdr:row>
          <xdr:rowOff>333375</xdr:rowOff>
        </xdr:from>
        <xdr:to>
          <xdr:col>2</xdr:col>
          <xdr:colOff>923925</xdr:colOff>
          <xdr:row>28</xdr:row>
          <xdr:rowOff>9525</xdr:rowOff>
        </xdr:to>
        <xdr:sp macro="" textlink="">
          <xdr:nvSpPr>
            <xdr:cNvPr id="129026" name="Check Box 2" hidden="1">
              <a:extLst>
                <a:ext uri="{63B3BB69-23CF-44E3-9099-C40C66FF867C}">
                  <a14:compatExt spid="_x0000_s129026"/>
                </a:ext>
                <a:ext uri="{FF2B5EF4-FFF2-40B4-BE49-F238E27FC236}">
                  <a16:creationId xmlns:a16="http://schemas.microsoft.com/office/drawing/2014/main" id="{00000000-0008-0000-1500-00000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28</xdr:row>
          <xdr:rowOff>333375</xdr:rowOff>
        </xdr:from>
        <xdr:to>
          <xdr:col>2</xdr:col>
          <xdr:colOff>514350</xdr:colOff>
          <xdr:row>30</xdr:row>
          <xdr:rowOff>9525</xdr:rowOff>
        </xdr:to>
        <xdr:sp macro="" textlink="">
          <xdr:nvSpPr>
            <xdr:cNvPr id="129027" name="Check Box 3" hidden="1">
              <a:extLst>
                <a:ext uri="{63B3BB69-23CF-44E3-9099-C40C66FF867C}">
                  <a14:compatExt spid="_x0000_s129027"/>
                </a:ext>
                <a:ext uri="{FF2B5EF4-FFF2-40B4-BE49-F238E27FC236}">
                  <a16:creationId xmlns:a16="http://schemas.microsoft.com/office/drawing/2014/main" id="{00000000-0008-0000-1500-00000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333375</xdr:rowOff>
        </xdr:from>
        <xdr:to>
          <xdr:col>2</xdr:col>
          <xdr:colOff>923925</xdr:colOff>
          <xdr:row>30</xdr:row>
          <xdr:rowOff>9525</xdr:rowOff>
        </xdr:to>
        <xdr:sp macro="" textlink="">
          <xdr:nvSpPr>
            <xdr:cNvPr id="129028" name="Check Box 4" hidden="1">
              <a:extLst>
                <a:ext uri="{63B3BB69-23CF-44E3-9099-C40C66FF867C}">
                  <a14:compatExt spid="_x0000_s129028"/>
                </a:ext>
                <a:ext uri="{FF2B5EF4-FFF2-40B4-BE49-F238E27FC236}">
                  <a16:creationId xmlns:a16="http://schemas.microsoft.com/office/drawing/2014/main" id="{00000000-0008-0000-1500-00000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30</xdr:row>
          <xdr:rowOff>638175</xdr:rowOff>
        </xdr:from>
        <xdr:to>
          <xdr:col>2</xdr:col>
          <xdr:colOff>533400</xdr:colOff>
          <xdr:row>32</xdr:row>
          <xdr:rowOff>9525</xdr:rowOff>
        </xdr:to>
        <xdr:sp macro="" textlink="">
          <xdr:nvSpPr>
            <xdr:cNvPr id="129029" name="Check Box 5" hidden="1">
              <a:extLst>
                <a:ext uri="{63B3BB69-23CF-44E3-9099-C40C66FF867C}">
                  <a14:compatExt spid="_x0000_s129029"/>
                </a:ext>
                <a:ext uri="{FF2B5EF4-FFF2-40B4-BE49-F238E27FC236}">
                  <a16:creationId xmlns:a16="http://schemas.microsoft.com/office/drawing/2014/main" id="{00000000-0008-0000-1500-00000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30</xdr:row>
          <xdr:rowOff>647700</xdr:rowOff>
        </xdr:from>
        <xdr:to>
          <xdr:col>2</xdr:col>
          <xdr:colOff>914400</xdr:colOff>
          <xdr:row>32</xdr:row>
          <xdr:rowOff>9525</xdr:rowOff>
        </xdr:to>
        <xdr:sp macro="" textlink="">
          <xdr:nvSpPr>
            <xdr:cNvPr id="129030" name="Check Box 6" hidden="1">
              <a:extLst>
                <a:ext uri="{63B3BB69-23CF-44E3-9099-C40C66FF867C}">
                  <a14:compatExt spid="_x0000_s129030"/>
                </a:ext>
                <a:ext uri="{FF2B5EF4-FFF2-40B4-BE49-F238E27FC236}">
                  <a16:creationId xmlns:a16="http://schemas.microsoft.com/office/drawing/2014/main" id="{00000000-0008-0000-1500-00000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180975</xdr:rowOff>
        </xdr:from>
        <xdr:to>
          <xdr:col>2</xdr:col>
          <xdr:colOff>552450</xdr:colOff>
          <xdr:row>33</xdr:row>
          <xdr:rowOff>400050</xdr:rowOff>
        </xdr:to>
        <xdr:sp macro="" textlink="">
          <xdr:nvSpPr>
            <xdr:cNvPr id="129031" name="Check Box 7" hidden="1">
              <a:extLst>
                <a:ext uri="{63B3BB69-23CF-44E3-9099-C40C66FF867C}">
                  <a14:compatExt spid="_x0000_s129031"/>
                </a:ext>
                <a:ext uri="{FF2B5EF4-FFF2-40B4-BE49-F238E27FC236}">
                  <a16:creationId xmlns:a16="http://schemas.microsoft.com/office/drawing/2014/main" id="{00000000-0008-0000-1500-000007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33</xdr:row>
          <xdr:rowOff>180975</xdr:rowOff>
        </xdr:from>
        <xdr:to>
          <xdr:col>2</xdr:col>
          <xdr:colOff>914400</xdr:colOff>
          <xdr:row>33</xdr:row>
          <xdr:rowOff>400050</xdr:rowOff>
        </xdr:to>
        <xdr:sp macro="" textlink="">
          <xdr:nvSpPr>
            <xdr:cNvPr id="129032" name="Check Box 8" hidden="1">
              <a:extLst>
                <a:ext uri="{63B3BB69-23CF-44E3-9099-C40C66FF867C}">
                  <a14:compatExt spid="_x0000_s129032"/>
                </a:ext>
                <a:ext uri="{FF2B5EF4-FFF2-40B4-BE49-F238E27FC236}">
                  <a16:creationId xmlns:a16="http://schemas.microsoft.com/office/drawing/2014/main" id="{00000000-0008-0000-1500-000008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33</xdr:row>
          <xdr:rowOff>504825</xdr:rowOff>
        </xdr:from>
        <xdr:to>
          <xdr:col>2</xdr:col>
          <xdr:colOff>923925</xdr:colOff>
          <xdr:row>33</xdr:row>
          <xdr:rowOff>723900</xdr:rowOff>
        </xdr:to>
        <xdr:sp macro="" textlink="">
          <xdr:nvSpPr>
            <xdr:cNvPr id="129033" name="Check Box 9" hidden="1">
              <a:extLst>
                <a:ext uri="{63B3BB69-23CF-44E3-9099-C40C66FF867C}">
                  <a14:compatExt spid="_x0000_s129033"/>
                </a:ext>
                <a:ext uri="{FF2B5EF4-FFF2-40B4-BE49-F238E27FC236}">
                  <a16:creationId xmlns:a16="http://schemas.microsoft.com/office/drawing/2014/main" id="{00000000-0008-0000-1500-00000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33</xdr:row>
          <xdr:rowOff>790575</xdr:rowOff>
        </xdr:from>
        <xdr:to>
          <xdr:col>2</xdr:col>
          <xdr:colOff>914400</xdr:colOff>
          <xdr:row>33</xdr:row>
          <xdr:rowOff>1009650</xdr:rowOff>
        </xdr:to>
        <xdr:sp macro="" textlink="">
          <xdr:nvSpPr>
            <xdr:cNvPr id="129034" name="Check Box 10" hidden="1">
              <a:extLst>
                <a:ext uri="{63B3BB69-23CF-44E3-9099-C40C66FF867C}">
                  <a14:compatExt spid="_x0000_s129034"/>
                </a:ext>
                <a:ext uri="{FF2B5EF4-FFF2-40B4-BE49-F238E27FC236}">
                  <a16:creationId xmlns:a16="http://schemas.microsoft.com/office/drawing/2014/main" id="{00000000-0008-0000-1500-00000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33</xdr:row>
          <xdr:rowOff>504825</xdr:rowOff>
        </xdr:from>
        <xdr:to>
          <xdr:col>2</xdr:col>
          <xdr:colOff>561975</xdr:colOff>
          <xdr:row>33</xdr:row>
          <xdr:rowOff>723900</xdr:rowOff>
        </xdr:to>
        <xdr:sp macro="" textlink="">
          <xdr:nvSpPr>
            <xdr:cNvPr id="129035" name="Check Box 11" hidden="1">
              <a:extLst>
                <a:ext uri="{63B3BB69-23CF-44E3-9099-C40C66FF867C}">
                  <a14:compatExt spid="_x0000_s129035"/>
                </a:ext>
                <a:ext uri="{FF2B5EF4-FFF2-40B4-BE49-F238E27FC236}">
                  <a16:creationId xmlns:a16="http://schemas.microsoft.com/office/drawing/2014/main" id="{00000000-0008-0000-1500-00000B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33</xdr:row>
          <xdr:rowOff>800100</xdr:rowOff>
        </xdr:from>
        <xdr:to>
          <xdr:col>2</xdr:col>
          <xdr:colOff>552450</xdr:colOff>
          <xdr:row>33</xdr:row>
          <xdr:rowOff>1019175</xdr:rowOff>
        </xdr:to>
        <xdr:sp macro="" textlink="">
          <xdr:nvSpPr>
            <xdr:cNvPr id="129036" name="Check Box 12" hidden="1">
              <a:extLst>
                <a:ext uri="{63B3BB69-23CF-44E3-9099-C40C66FF867C}">
                  <a14:compatExt spid="_x0000_s129036"/>
                </a:ext>
                <a:ext uri="{FF2B5EF4-FFF2-40B4-BE49-F238E27FC236}">
                  <a16:creationId xmlns:a16="http://schemas.microsoft.com/office/drawing/2014/main" id="{00000000-0008-0000-1500-00000C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29037" name="Check Box 13" hidden="1">
              <a:extLst>
                <a:ext uri="{63B3BB69-23CF-44E3-9099-C40C66FF867C}">
                  <a14:compatExt spid="_x0000_s129037"/>
                </a:ext>
                <a:ext uri="{FF2B5EF4-FFF2-40B4-BE49-F238E27FC236}">
                  <a16:creationId xmlns:a16="http://schemas.microsoft.com/office/drawing/2014/main" id="{00000000-0008-0000-1500-00000D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29038" name="Check Box 14" hidden="1">
              <a:extLst>
                <a:ext uri="{63B3BB69-23CF-44E3-9099-C40C66FF867C}">
                  <a14:compatExt spid="_x0000_s129038"/>
                </a:ext>
                <a:ext uri="{FF2B5EF4-FFF2-40B4-BE49-F238E27FC236}">
                  <a16:creationId xmlns:a16="http://schemas.microsoft.com/office/drawing/2014/main" id="{00000000-0008-0000-1500-00000E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29039" name="Check Box 15" hidden="1">
              <a:extLst>
                <a:ext uri="{63B3BB69-23CF-44E3-9099-C40C66FF867C}">
                  <a14:compatExt spid="_x0000_s129039"/>
                </a:ext>
                <a:ext uri="{FF2B5EF4-FFF2-40B4-BE49-F238E27FC236}">
                  <a16:creationId xmlns:a16="http://schemas.microsoft.com/office/drawing/2014/main" id="{00000000-0008-0000-1500-00000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29040" name="Check Box 16" hidden="1">
              <a:extLst>
                <a:ext uri="{63B3BB69-23CF-44E3-9099-C40C66FF867C}">
                  <a14:compatExt spid="_x0000_s129040"/>
                </a:ext>
                <a:ext uri="{FF2B5EF4-FFF2-40B4-BE49-F238E27FC236}">
                  <a16:creationId xmlns:a16="http://schemas.microsoft.com/office/drawing/2014/main" id="{00000000-0008-0000-1500-000010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0</xdr:rowOff>
        </xdr:from>
        <xdr:to>
          <xdr:col>2</xdr:col>
          <xdr:colOff>542925</xdr:colOff>
          <xdr:row>20</xdr:row>
          <xdr:rowOff>219075</xdr:rowOff>
        </xdr:to>
        <xdr:sp macro="" textlink="">
          <xdr:nvSpPr>
            <xdr:cNvPr id="129041" name="Check Box 17" hidden="1">
              <a:extLst>
                <a:ext uri="{63B3BB69-23CF-44E3-9099-C40C66FF867C}">
                  <a14:compatExt spid="_x0000_s129041"/>
                </a:ext>
                <a:ext uri="{FF2B5EF4-FFF2-40B4-BE49-F238E27FC236}">
                  <a16:creationId xmlns:a16="http://schemas.microsoft.com/office/drawing/2014/main" id="{00000000-0008-0000-1500-00001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0</xdr:rowOff>
        </xdr:from>
        <xdr:to>
          <xdr:col>2</xdr:col>
          <xdr:colOff>885825</xdr:colOff>
          <xdr:row>20</xdr:row>
          <xdr:rowOff>219075</xdr:rowOff>
        </xdr:to>
        <xdr:sp macro="" textlink="">
          <xdr:nvSpPr>
            <xdr:cNvPr id="129042" name="Check Box 18" hidden="1">
              <a:extLst>
                <a:ext uri="{63B3BB69-23CF-44E3-9099-C40C66FF867C}">
                  <a14:compatExt spid="_x0000_s129042"/>
                </a:ext>
                <a:ext uri="{FF2B5EF4-FFF2-40B4-BE49-F238E27FC236}">
                  <a16:creationId xmlns:a16="http://schemas.microsoft.com/office/drawing/2014/main" id="{00000000-0008-0000-1500-00001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129043" name="Check Box 19" hidden="1">
              <a:extLst>
                <a:ext uri="{63B3BB69-23CF-44E3-9099-C40C66FF867C}">
                  <a14:compatExt spid="_x0000_s129043"/>
                </a:ext>
                <a:ext uri="{FF2B5EF4-FFF2-40B4-BE49-F238E27FC236}">
                  <a16:creationId xmlns:a16="http://schemas.microsoft.com/office/drawing/2014/main" id="{00000000-0008-0000-1500-00001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129044" name="Check Box 20" hidden="1">
              <a:extLst>
                <a:ext uri="{63B3BB69-23CF-44E3-9099-C40C66FF867C}">
                  <a14:compatExt spid="_x0000_s129044"/>
                </a:ext>
                <a:ext uri="{FF2B5EF4-FFF2-40B4-BE49-F238E27FC236}">
                  <a16:creationId xmlns:a16="http://schemas.microsoft.com/office/drawing/2014/main" id="{00000000-0008-0000-1500-00001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0</xdr:rowOff>
        </xdr:from>
        <xdr:to>
          <xdr:col>2</xdr:col>
          <xdr:colOff>542925</xdr:colOff>
          <xdr:row>22</xdr:row>
          <xdr:rowOff>219075</xdr:rowOff>
        </xdr:to>
        <xdr:sp macro="" textlink="">
          <xdr:nvSpPr>
            <xdr:cNvPr id="129045" name="Check Box 21" hidden="1">
              <a:extLst>
                <a:ext uri="{63B3BB69-23CF-44E3-9099-C40C66FF867C}">
                  <a14:compatExt spid="_x0000_s129045"/>
                </a:ext>
                <a:ext uri="{FF2B5EF4-FFF2-40B4-BE49-F238E27FC236}">
                  <a16:creationId xmlns:a16="http://schemas.microsoft.com/office/drawing/2014/main" id="{00000000-0008-0000-1500-00001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0</xdr:rowOff>
        </xdr:from>
        <xdr:to>
          <xdr:col>2</xdr:col>
          <xdr:colOff>885825</xdr:colOff>
          <xdr:row>22</xdr:row>
          <xdr:rowOff>219075</xdr:rowOff>
        </xdr:to>
        <xdr:sp macro="" textlink="">
          <xdr:nvSpPr>
            <xdr:cNvPr id="129046" name="Check Box 22" hidden="1">
              <a:extLst>
                <a:ext uri="{63B3BB69-23CF-44E3-9099-C40C66FF867C}">
                  <a14:compatExt spid="_x0000_s129046"/>
                </a:ext>
                <a:ext uri="{FF2B5EF4-FFF2-40B4-BE49-F238E27FC236}">
                  <a16:creationId xmlns:a16="http://schemas.microsoft.com/office/drawing/2014/main" id="{00000000-0008-0000-1500-00001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0</xdr:rowOff>
        </xdr:from>
        <xdr:to>
          <xdr:col>2</xdr:col>
          <xdr:colOff>542925</xdr:colOff>
          <xdr:row>24</xdr:row>
          <xdr:rowOff>219075</xdr:rowOff>
        </xdr:to>
        <xdr:sp macro="" textlink="">
          <xdr:nvSpPr>
            <xdr:cNvPr id="129049" name="Check Box 25" hidden="1">
              <a:extLst>
                <a:ext uri="{63B3BB69-23CF-44E3-9099-C40C66FF867C}">
                  <a14:compatExt spid="_x0000_s129049"/>
                </a:ext>
                <a:ext uri="{FF2B5EF4-FFF2-40B4-BE49-F238E27FC236}">
                  <a16:creationId xmlns:a16="http://schemas.microsoft.com/office/drawing/2014/main" id="{00000000-0008-0000-1500-00001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0</xdr:rowOff>
        </xdr:from>
        <xdr:to>
          <xdr:col>2</xdr:col>
          <xdr:colOff>885825</xdr:colOff>
          <xdr:row>24</xdr:row>
          <xdr:rowOff>219075</xdr:rowOff>
        </xdr:to>
        <xdr:sp macro="" textlink="">
          <xdr:nvSpPr>
            <xdr:cNvPr id="129050" name="Check Box 26" hidden="1">
              <a:extLst>
                <a:ext uri="{63B3BB69-23CF-44E3-9099-C40C66FF867C}">
                  <a14:compatExt spid="_x0000_s129050"/>
                </a:ext>
                <a:ext uri="{FF2B5EF4-FFF2-40B4-BE49-F238E27FC236}">
                  <a16:creationId xmlns:a16="http://schemas.microsoft.com/office/drawing/2014/main" id="{00000000-0008-0000-1500-00001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0</xdr:rowOff>
        </xdr:from>
        <xdr:to>
          <xdr:col>2</xdr:col>
          <xdr:colOff>542925</xdr:colOff>
          <xdr:row>23</xdr:row>
          <xdr:rowOff>219075</xdr:rowOff>
        </xdr:to>
        <xdr:sp macro="" textlink="">
          <xdr:nvSpPr>
            <xdr:cNvPr id="129051" name="Check Box 27" hidden="1">
              <a:extLst>
                <a:ext uri="{63B3BB69-23CF-44E3-9099-C40C66FF867C}">
                  <a14:compatExt spid="_x0000_s129051"/>
                </a:ext>
                <a:ext uri="{FF2B5EF4-FFF2-40B4-BE49-F238E27FC236}">
                  <a16:creationId xmlns:a16="http://schemas.microsoft.com/office/drawing/2014/main" id="{00000000-0008-0000-1500-00001B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0</xdr:rowOff>
        </xdr:from>
        <xdr:to>
          <xdr:col>2</xdr:col>
          <xdr:colOff>885825</xdr:colOff>
          <xdr:row>23</xdr:row>
          <xdr:rowOff>219075</xdr:rowOff>
        </xdr:to>
        <xdr:sp macro="" textlink="">
          <xdr:nvSpPr>
            <xdr:cNvPr id="129052" name="Check Box 28" hidden="1">
              <a:extLst>
                <a:ext uri="{63B3BB69-23CF-44E3-9099-C40C66FF867C}">
                  <a14:compatExt spid="_x0000_s129052"/>
                </a:ext>
                <a:ext uri="{FF2B5EF4-FFF2-40B4-BE49-F238E27FC236}">
                  <a16:creationId xmlns:a16="http://schemas.microsoft.com/office/drawing/2014/main" id="{00000000-0008-0000-1500-00001C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29053" name="Check Box 29" hidden="1">
              <a:extLst>
                <a:ext uri="{63B3BB69-23CF-44E3-9099-C40C66FF867C}">
                  <a14:compatExt spid="_x0000_s129053"/>
                </a:ext>
                <a:ext uri="{FF2B5EF4-FFF2-40B4-BE49-F238E27FC236}">
                  <a16:creationId xmlns:a16="http://schemas.microsoft.com/office/drawing/2014/main" id="{00000000-0008-0000-1500-00001D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29054" name="Check Box 30" hidden="1">
              <a:extLst>
                <a:ext uri="{63B3BB69-23CF-44E3-9099-C40C66FF867C}">
                  <a14:compatExt spid="_x0000_s129054"/>
                </a:ext>
                <a:ext uri="{FF2B5EF4-FFF2-40B4-BE49-F238E27FC236}">
                  <a16:creationId xmlns:a16="http://schemas.microsoft.com/office/drawing/2014/main" id="{00000000-0008-0000-1500-00001E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29055" name="Check Box 31" hidden="1">
              <a:extLst>
                <a:ext uri="{63B3BB69-23CF-44E3-9099-C40C66FF867C}">
                  <a14:compatExt spid="_x0000_s129055"/>
                </a:ext>
                <a:ext uri="{FF2B5EF4-FFF2-40B4-BE49-F238E27FC236}">
                  <a16:creationId xmlns:a16="http://schemas.microsoft.com/office/drawing/2014/main" id="{00000000-0008-0000-1500-00001F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29056" name="Check Box 32" hidden="1">
              <a:extLst>
                <a:ext uri="{63B3BB69-23CF-44E3-9099-C40C66FF867C}">
                  <a14:compatExt spid="_x0000_s129056"/>
                </a:ext>
                <a:ext uri="{FF2B5EF4-FFF2-40B4-BE49-F238E27FC236}">
                  <a16:creationId xmlns:a16="http://schemas.microsoft.com/office/drawing/2014/main" id="{00000000-0008-0000-1500-000020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29057" name="Check Box 33" hidden="1">
              <a:extLst>
                <a:ext uri="{63B3BB69-23CF-44E3-9099-C40C66FF867C}">
                  <a14:compatExt spid="_x0000_s129057"/>
                </a:ext>
                <a:ext uri="{FF2B5EF4-FFF2-40B4-BE49-F238E27FC236}">
                  <a16:creationId xmlns:a16="http://schemas.microsoft.com/office/drawing/2014/main" id="{00000000-0008-0000-1500-000021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29058" name="Check Box 34" hidden="1">
              <a:extLst>
                <a:ext uri="{63B3BB69-23CF-44E3-9099-C40C66FF867C}">
                  <a14:compatExt spid="_x0000_s129058"/>
                </a:ext>
                <a:ext uri="{FF2B5EF4-FFF2-40B4-BE49-F238E27FC236}">
                  <a16:creationId xmlns:a16="http://schemas.microsoft.com/office/drawing/2014/main" id="{00000000-0008-0000-1500-000022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29059" name="Check Box 35" hidden="1">
              <a:extLst>
                <a:ext uri="{63B3BB69-23CF-44E3-9099-C40C66FF867C}">
                  <a14:compatExt spid="_x0000_s129059"/>
                </a:ext>
                <a:ext uri="{FF2B5EF4-FFF2-40B4-BE49-F238E27FC236}">
                  <a16:creationId xmlns:a16="http://schemas.microsoft.com/office/drawing/2014/main" id="{00000000-0008-0000-1500-000023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29060" name="Check Box 36" hidden="1">
              <a:extLst>
                <a:ext uri="{63B3BB69-23CF-44E3-9099-C40C66FF867C}">
                  <a14:compatExt spid="_x0000_s129060"/>
                </a:ext>
                <a:ext uri="{FF2B5EF4-FFF2-40B4-BE49-F238E27FC236}">
                  <a16:creationId xmlns:a16="http://schemas.microsoft.com/office/drawing/2014/main" id="{00000000-0008-0000-1500-000024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29061" name="Check Box 37" hidden="1">
              <a:extLst>
                <a:ext uri="{63B3BB69-23CF-44E3-9099-C40C66FF867C}">
                  <a14:compatExt spid="_x0000_s129061"/>
                </a:ext>
                <a:ext uri="{FF2B5EF4-FFF2-40B4-BE49-F238E27FC236}">
                  <a16:creationId xmlns:a16="http://schemas.microsoft.com/office/drawing/2014/main" id="{00000000-0008-0000-1500-000025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29062" name="Check Box 38" hidden="1">
              <a:extLst>
                <a:ext uri="{63B3BB69-23CF-44E3-9099-C40C66FF867C}">
                  <a14:compatExt spid="_x0000_s129062"/>
                </a:ext>
                <a:ext uri="{FF2B5EF4-FFF2-40B4-BE49-F238E27FC236}">
                  <a16:creationId xmlns:a16="http://schemas.microsoft.com/office/drawing/2014/main" id="{00000000-0008-0000-1500-000026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25</xdr:row>
          <xdr:rowOff>85725</xdr:rowOff>
        </xdr:from>
        <xdr:to>
          <xdr:col>2</xdr:col>
          <xdr:colOff>552450</xdr:colOff>
          <xdr:row>25</xdr:row>
          <xdr:rowOff>304800</xdr:rowOff>
        </xdr:to>
        <xdr:sp macro="" textlink="">
          <xdr:nvSpPr>
            <xdr:cNvPr id="129065" name="Check Box 41" hidden="1">
              <a:extLst>
                <a:ext uri="{63B3BB69-23CF-44E3-9099-C40C66FF867C}">
                  <a14:compatExt spid="_x0000_s129065"/>
                </a:ext>
                <a:ext uri="{FF2B5EF4-FFF2-40B4-BE49-F238E27FC236}">
                  <a16:creationId xmlns:a16="http://schemas.microsoft.com/office/drawing/2014/main" id="{00000000-0008-0000-1500-00002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25</xdr:row>
          <xdr:rowOff>104775</xdr:rowOff>
        </xdr:from>
        <xdr:to>
          <xdr:col>2</xdr:col>
          <xdr:colOff>885825</xdr:colOff>
          <xdr:row>25</xdr:row>
          <xdr:rowOff>285750</xdr:rowOff>
        </xdr:to>
        <xdr:sp macro="" textlink="">
          <xdr:nvSpPr>
            <xdr:cNvPr id="129066" name="Check Box 42" hidden="1">
              <a:extLst>
                <a:ext uri="{63B3BB69-23CF-44E3-9099-C40C66FF867C}">
                  <a14:compatExt spid="_x0000_s129066"/>
                </a:ext>
                <a:ext uri="{FF2B5EF4-FFF2-40B4-BE49-F238E27FC236}">
                  <a16:creationId xmlns:a16="http://schemas.microsoft.com/office/drawing/2014/main" id="{00000000-0008-0000-1500-00002A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2</xdr:col>
      <xdr:colOff>231917</xdr:colOff>
      <xdr:row>1</xdr:row>
      <xdr:rowOff>148360</xdr:rowOff>
    </xdr:from>
    <xdr:to>
      <xdr:col>3</xdr:col>
      <xdr:colOff>935181</xdr:colOff>
      <xdr:row>2</xdr:row>
      <xdr:rowOff>225136</xdr:rowOff>
    </xdr:to>
    <xdr:pic>
      <xdr:nvPicPr>
        <xdr:cNvPr id="2" name="Picture 1" descr="45mm_national_grid_300">
          <a:extLst>
            <a:ext uri="{FF2B5EF4-FFF2-40B4-BE49-F238E27FC236}">
              <a16:creationId xmlns:a16="http://schemas.microsoft.com/office/drawing/2014/main" id="{B419E190-C5BC-41F8-B5A1-10AEA5C7A5E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7085"/>
        <a:stretch>
          <a:fillRect/>
        </a:stretch>
      </xdr:blipFill>
      <xdr:spPr bwMode="auto">
        <a:xfrm>
          <a:off x="517667" y="338860"/>
          <a:ext cx="1664423" cy="43179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60C37D9C-553C-4AFE-B7F7-EFCED77EB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20</xdr:row>
          <xdr:rowOff>333375</xdr:rowOff>
        </xdr:from>
        <xdr:to>
          <xdr:col>2</xdr:col>
          <xdr:colOff>514350</xdr:colOff>
          <xdr:row>22</xdr:row>
          <xdr:rowOff>9525</xdr:rowOff>
        </xdr:to>
        <xdr:sp macro="" textlink="">
          <xdr:nvSpPr>
            <xdr:cNvPr id="131073" name="Check Box 1" hidden="1">
              <a:extLst>
                <a:ext uri="{63B3BB69-23CF-44E3-9099-C40C66FF867C}">
                  <a14:compatExt spid="_x0000_s131073"/>
                </a:ext>
                <a:ext uri="{FF2B5EF4-FFF2-40B4-BE49-F238E27FC236}">
                  <a16:creationId xmlns:a16="http://schemas.microsoft.com/office/drawing/2014/main" id="{00000000-0008-0000-1700-00000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20</xdr:row>
          <xdr:rowOff>333375</xdr:rowOff>
        </xdr:from>
        <xdr:to>
          <xdr:col>2</xdr:col>
          <xdr:colOff>923925</xdr:colOff>
          <xdr:row>22</xdr:row>
          <xdr:rowOff>9525</xdr:rowOff>
        </xdr:to>
        <xdr:sp macro="" textlink="">
          <xdr:nvSpPr>
            <xdr:cNvPr id="131074" name="Check Box 2" hidden="1">
              <a:extLst>
                <a:ext uri="{63B3BB69-23CF-44E3-9099-C40C66FF867C}">
                  <a14:compatExt spid="_x0000_s131074"/>
                </a:ext>
                <a:ext uri="{FF2B5EF4-FFF2-40B4-BE49-F238E27FC236}">
                  <a16:creationId xmlns:a16="http://schemas.microsoft.com/office/drawing/2014/main" id="{00000000-0008-0000-1700-00000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22</xdr:row>
          <xdr:rowOff>333375</xdr:rowOff>
        </xdr:from>
        <xdr:to>
          <xdr:col>2</xdr:col>
          <xdr:colOff>514350</xdr:colOff>
          <xdr:row>24</xdr:row>
          <xdr:rowOff>9525</xdr:rowOff>
        </xdr:to>
        <xdr:sp macro="" textlink="">
          <xdr:nvSpPr>
            <xdr:cNvPr id="131075" name="Check Box 3" hidden="1">
              <a:extLst>
                <a:ext uri="{63B3BB69-23CF-44E3-9099-C40C66FF867C}">
                  <a14:compatExt spid="_x0000_s131075"/>
                </a:ext>
                <a:ext uri="{FF2B5EF4-FFF2-40B4-BE49-F238E27FC236}">
                  <a16:creationId xmlns:a16="http://schemas.microsoft.com/office/drawing/2014/main" id="{00000000-0008-0000-1700-00000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22</xdr:row>
          <xdr:rowOff>333375</xdr:rowOff>
        </xdr:from>
        <xdr:to>
          <xdr:col>2</xdr:col>
          <xdr:colOff>923925</xdr:colOff>
          <xdr:row>24</xdr:row>
          <xdr:rowOff>9525</xdr:rowOff>
        </xdr:to>
        <xdr:sp macro="" textlink="">
          <xdr:nvSpPr>
            <xdr:cNvPr id="131076" name="Check Box 4" hidden="1">
              <a:extLst>
                <a:ext uri="{63B3BB69-23CF-44E3-9099-C40C66FF867C}">
                  <a14:compatExt spid="_x0000_s131076"/>
                </a:ext>
                <a:ext uri="{FF2B5EF4-FFF2-40B4-BE49-F238E27FC236}">
                  <a16:creationId xmlns:a16="http://schemas.microsoft.com/office/drawing/2014/main" id="{00000000-0008-0000-1700-00000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24</xdr:row>
          <xdr:rowOff>638175</xdr:rowOff>
        </xdr:from>
        <xdr:to>
          <xdr:col>2</xdr:col>
          <xdr:colOff>533400</xdr:colOff>
          <xdr:row>26</xdr:row>
          <xdr:rowOff>9525</xdr:rowOff>
        </xdr:to>
        <xdr:sp macro="" textlink="">
          <xdr:nvSpPr>
            <xdr:cNvPr id="131077" name="Check Box 5" hidden="1">
              <a:extLst>
                <a:ext uri="{63B3BB69-23CF-44E3-9099-C40C66FF867C}">
                  <a14:compatExt spid="_x0000_s131077"/>
                </a:ext>
                <a:ext uri="{FF2B5EF4-FFF2-40B4-BE49-F238E27FC236}">
                  <a16:creationId xmlns:a16="http://schemas.microsoft.com/office/drawing/2014/main" id="{00000000-0008-0000-1700-00000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24</xdr:row>
          <xdr:rowOff>647700</xdr:rowOff>
        </xdr:from>
        <xdr:to>
          <xdr:col>2</xdr:col>
          <xdr:colOff>914400</xdr:colOff>
          <xdr:row>26</xdr:row>
          <xdr:rowOff>9525</xdr:rowOff>
        </xdr:to>
        <xdr:sp macro="" textlink="">
          <xdr:nvSpPr>
            <xdr:cNvPr id="131078" name="Check Box 6" hidden="1">
              <a:extLst>
                <a:ext uri="{63B3BB69-23CF-44E3-9099-C40C66FF867C}">
                  <a14:compatExt spid="_x0000_s131078"/>
                </a:ext>
                <a:ext uri="{FF2B5EF4-FFF2-40B4-BE49-F238E27FC236}">
                  <a16:creationId xmlns:a16="http://schemas.microsoft.com/office/drawing/2014/main" id="{00000000-0008-0000-1700-00000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180975</xdr:rowOff>
        </xdr:from>
        <xdr:to>
          <xdr:col>2</xdr:col>
          <xdr:colOff>552450</xdr:colOff>
          <xdr:row>27</xdr:row>
          <xdr:rowOff>400050</xdr:rowOff>
        </xdr:to>
        <xdr:sp macro="" textlink="">
          <xdr:nvSpPr>
            <xdr:cNvPr id="131079" name="Check Box 7" hidden="1">
              <a:extLst>
                <a:ext uri="{63B3BB69-23CF-44E3-9099-C40C66FF867C}">
                  <a14:compatExt spid="_x0000_s131079"/>
                </a:ext>
                <a:ext uri="{FF2B5EF4-FFF2-40B4-BE49-F238E27FC236}">
                  <a16:creationId xmlns:a16="http://schemas.microsoft.com/office/drawing/2014/main" id="{00000000-0008-0000-1700-000007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27</xdr:row>
          <xdr:rowOff>180975</xdr:rowOff>
        </xdr:from>
        <xdr:to>
          <xdr:col>2</xdr:col>
          <xdr:colOff>914400</xdr:colOff>
          <xdr:row>27</xdr:row>
          <xdr:rowOff>400050</xdr:rowOff>
        </xdr:to>
        <xdr:sp macro="" textlink="">
          <xdr:nvSpPr>
            <xdr:cNvPr id="131080" name="Check Box 8" hidden="1">
              <a:extLst>
                <a:ext uri="{63B3BB69-23CF-44E3-9099-C40C66FF867C}">
                  <a14:compatExt spid="_x0000_s131080"/>
                </a:ext>
                <a:ext uri="{FF2B5EF4-FFF2-40B4-BE49-F238E27FC236}">
                  <a16:creationId xmlns:a16="http://schemas.microsoft.com/office/drawing/2014/main" id="{00000000-0008-0000-1700-000008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27</xdr:row>
          <xdr:rowOff>504825</xdr:rowOff>
        </xdr:from>
        <xdr:to>
          <xdr:col>2</xdr:col>
          <xdr:colOff>923925</xdr:colOff>
          <xdr:row>27</xdr:row>
          <xdr:rowOff>723900</xdr:rowOff>
        </xdr:to>
        <xdr:sp macro="" textlink="">
          <xdr:nvSpPr>
            <xdr:cNvPr id="131081" name="Check Box 9" hidden="1">
              <a:extLst>
                <a:ext uri="{63B3BB69-23CF-44E3-9099-C40C66FF867C}">
                  <a14:compatExt spid="_x0000_s131081"/>
                </a:ext>
                <a:ext uri="{FF2B5EF4-FFF2-40B4-BE49-F238E27FC236}">
                  <a16:creationId xmlns:a16="http://schemas.microsoft.com/office/drawing/2014/main" id="{00000000-0008-0000-1700-000009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27</xdr:row>
          <xdr:rowOff>790575</xdr:rowOff>
        </xdr:from>
        <xdr:to>
          <xdr:col>2</xdr:col>
          <xdr:colOff>914400</xdr:colOff>
          <xdr:row>27</xdr:row>
          <xdr:rowOff>1009650</xdr:rowOff>
        </xdr:to>
        <xdr:sp macro="" textlink="">
          <xdr:nvSpPr>
            <xdr:cNvPr id="131082" name="Check Box 10" hidden="1">
              <a:extLst>
                <a:ext uri="{63B3BB69-23CF-44E3-9099-C40C66FF867C}">
                  <a14:compatExt spid="_x0000_s131082"/>
                </a:ext>
                <a:ext uri="{FF2B5EF4-FFF2-40B4-BE49-F238E27FC236}">
                  <a16:creationId xmlns:a16="http://schemas.microsoft.com/office/drawing/2014/main" id="{00000000-0008-0000-1700-00000A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504825</xdr:rowOff>
        </xdr:from>
        <xdr:to>
          <xdr:col>2</xdr:col>
          <xdr:colOff>561975</xdr:colOff>
          <xdr:row>27</xdr:row>
          <xdr:rowOff>723900</xdr:rowOff>
        </xdr:to>
        <xdr:sp macro="" textlink="">
          <xdr:nvSpPr>
            <xdr:cNvPr id="131083" name="Check Box 11" hidden="1">
              <a:extLst>
                <a:ext uri="{63B3BB69-23CF-44E3-9099-C40C66FF867C}">
                  <a14:compatExt spid="_x0000_s131083"/>
                </a:ext>
                <a:ext uri="{FF2B5EF4-FFF2-40B4-BE49-F238E27FC236}">
                  <a16:creationId xmlns:a16="http://schemas.microsoft.com/office/drawing/2014/main" id="{00000000-0008-0000-1700-00000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800100</xdr:rowOff>
        </xdr:from>
        <xdr:to>
          <xdr:col>2</xdr:col>
          <xdr:colOff>552450</xdr:colOff>
          <xdr:row>27</xdr:row>
          <xdr:rowOff>1019175</xdr:rowOff>
        </xdr:to>
        <xdr:sp macro="" textlink="">
          <xdr:nvSpPr>
            <xdr:cNvPr id="131084" name="Check Box 12" hidden="1">
              <a:extLst>
                <a:ext uri="{63B3BB69-23CF-44E3-9099-C40C66FF867C}">
                  <a14:compatExt spid="_x0000_s131084"/>
                </a:ext>
                <a:ext uri="{FF2B5EF4-FFF2-40B4-BE49-F238E27FC236}">
                  <a16:creationId xmlns:a16="http://schemas.microsoft.com/office/drawing/2014/main" id="{00000000-0008-0000-1700-00000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31085" name="Check Box 13" hidden="1">
              <a:extLst>
                <a:ext uri="{63B3BB69-23CF-44E3-9099-C40C66FF867C}">
                  <a14:compatExt spid="_x0000_s131085"/>
                </a:ext>
                <a:ext uri="{FF2B5EF4-FFF2-40B4-BE49-F238E27FC236}">
                  <a16:creationId xmlns:a16="http://schemas.microsoft.com/office/drawing/2014/main" id="{00000000-0008-0000-1700-00000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31086" name="Check Box 14" hidden="1">
              <a:extLst>
                <a:ext uri="{63B3BB69-23CF-44E3-9099-C40C66FF867C}">
                  <a14:compatExt spid="_x0000_s131086"/>
                </a:ext>
                <a:ext uri="{FF2B5EF4-FFF2-40B4-BE49-F238E27FC236}">
                  <a16:creationId xmlns:a16="http://schemas.microsoft.com/office/drawing/2014/main" id="{00000000-0008-0000-1700-00000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31099" name="Check Box 27" hidden="1">
              <a:extLst>
                <a:ext uri="{63B3BB69-23CF-44E3-9099-C40C66FF867C}">
                  <a14:compatExt spid="_x0000_s131099"/>
                </a:ext>
                <a:ext uri="{FF2B5EF4-FFF2-40B4-BE49-F238E27FC236}">
                  <a16:creationId xmlns:a16="http://schemas.microsoft.com/office/drawing/2014/main" id="{00000000-0008-0000-1700-00001B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31100" name="Check Box 28" hidden="1">
              <a:extLst>
                <a:ext uri="{63B3BB69-23CF-44E3-9099-C40C66FF867C}">
                  <a14:compatExt spid="_x0000_s131100"/>
                </a:ext>
                <a:ext uri="{FF2B5EF4-FFF2-40B4-BE49-F238E27FC236}">
                  <a16:creationId xmlns:a16="http://schemas.microsoft.com/office/drawing/2014/main" id="{00000000-0008-0000-1700-00001C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31101" name="Check Box 29" hidden="1">
              <a:extLst>
                <a:ext uri="{63B3BB69-23CF-44E3-9099-C40C66FF867C}">
                  <a14:compatExt spid="_x0000_s131101"/>
                </a:ext>
                <a:ext uri="{FF2B5EF4-FFF2-40B4-BE49-F238E27FC236}">
                  <a16:creationId xmlns:a16="http://schemas.microsoft.com/office/drawing/2014/main" id="{00000000-0008-0000-1700-00001D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31102" name="Check Box 30" hidden="1">
              <a:extLst>
                <a:ext uri="{63B3BB69-23CF-44E3-9099-C40C66FF867C}">
                  <a14:compatExt spid="_x0000_s131102"/>
                </a:ext>
                <a:ext uri="{FF2B5EF4-FFF2-40B4-BE49-F238E27FC236}">
                  <a16:creationId xmlns:a16="http://schemas.microsoft.com/office/drawing/2014/main" id="{00000000-0008-0000-1700-00001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31103" name="Check Box 31" hidden="1">
              <a:extLst>
                <a:ext uri="{63B3BB69-23CF-44E3-9099-C40C66FF867C}">
                  <a14:compatExt spid="_x0000_s131103"/>
                </a:ext>
                <a:ext uri="{FF2B5EF4-FFF2-40B4-BE49-F238E27FC236}">
                  <a16:creationId xmlns:a16="http://schemas.microsoft.com/office/drawing/2014/main" id="{00000000-0008-0000-1700-00001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31104" name="Check Box 32" hidden="1">
              <a:extLst>
                <a:ext uri="{63B3BB69-23CF-44E3-9099-C40C66FF867C}">
                  <a14:compatExt spid="_x0000_s131104"/>
                </a:ext>
                <a:ext uri="{FF2B5EF4-FFF2-40B4-BE49-F238E27FC236}">
                  <a16:creationId xmlns:a16="http://schemas.microsoft.com/office/drawing/2014/main" id="{00000000-0008-0000-1700-000020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31105" name="Check Box 33" hidden="1">
              <a:extLst>
                <a:ext uri="{63B3BB69-23CF-44E3-9099-C40C66FF867C}">
                  <a14:compatExt spid="_x0000_s131105"/>
                </a:ext>
                <a:ext uri="{FF2B5EF4-FFF2-40B4-BE49-F238E27FC236}">
                  <a16:creationId xmlns:a16="http://schemas.microsoft.com/office/drawing/2014/main" id="{00000000-0008-0000-1700-000021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31106" name="Check Box 34" hidden="1">
              <a:extLst>
                <a:ext uri="{63B3BB69-23CF-44E3-9099-C40C66FF867C}">
                  <a14:compatExt spid="_x0000_s131106"/>
                </a:ext>
                <a:ext uri="{FF2B5EF4-FFF2-40B4-BE49-F238E27FC236}">
                  <a16:creationId xmlns:a16="http://schemas.microsoft.com/office/drawing/2014/main" id="{00000000-0008-0000-1700-000022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31107" name="Check Box 35" hidden="1">
              <a:extLst>
                <a:ext uri="{63B3BB69-23CF-44E3-9099-C40C66FF867C}">
                  <a14:compatExt spid="_x0000_s131107"/>
                </a:ext>
                <a:ext uri="{FF2B5EF4-FFF2-40B4-BE49-F238E27FC236}">
                  <a16:creationId xmlns:a16="http://schemas.microsoft.com/office/drawing/2014/main" id="{00000000-0008-0000-1700-000023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31108" name="Check Box 36" hidden="1">
              <a:extLst>
                <a:ext uri="{63B3BB69-23CF-44E3-9099-C40C66FF867C}">
                  <a14:compatExt spid="_x0000_s131108"/>
                </a:ext>
                <a:ext uri="{FF2B5EF4-FFF2-40B4-BE49-F238E27FC236}">
                  <a16:creationId xmlns:a16="http://schemas.microsoft.com/office/drawing/2014/main" id="{00000000-0008-0000-1700-000024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19</xdr:row>
          <xdr:rowOff>85725</xdr:rowOff>
        </xdr:from>
        <xdr:to>
          <xdr:col>2</xdr:col>
          <xdr:colOff>552450</xdr:colOff>
          <xdr:row>19</xdr:row>
          <xdr:rowOff>304800</xdr:rowOff>
        </xdr:to>
        <xdr:sp macro="" textlink="">
          <xdr:nvSpPr>
            <xdr:cNvPr id="131109" name="Check Box 37" hidden="1">
              <a:extLst>
                <a:ext uri="{63B3BB69-23CF-44E3-9099-C40C66FF867C}">
                  <a14:compatExt spid="_x0000_s131109"/>
                </a:ext>
                <a:ext uri="{FF2B5EF4-FFF2-40B4-BE49-F238E27FC236}">
                  <a16:creationId xmlns:a16="http://schemas.microsoft.com/office/drawing/2014/main" id="{00000000-0008-0000-1700-000025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104775</xdr:rowOff>
        </xdr:from>
        <xdr:to>
          <xdr:col>2</xdr:col>
          <xdr:colOff>885825</xdr:colOff>
          <xdr:row>19</xdr:row>
          <xdr:rowOff>285750</xdr:rowOff>
        </xdr:to>
        <xdr:sp macro="" textlink="">
          <xdr:nvSpPr>
            <xdr:cNvPr id="131110" name="Check Box 38" hidden="1">
              <a:extLst>
                <a:ext uri="{63B3BB69-23CF-44E3-9099-C40C66FF867C}">
                  <a14:compatExt spid="_x0000_s131110"/>
                </a:ext>
                <a:ext uri="{FF2B5EF4-FFF2-40B4-BE49-F238E27FC236}">
                  <a16:creationId xmlns:a16="http://schemas.microsoft.com/office/drawing/2014/main" id="{00000000-0008-0000-1700-000026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2</xdr:col>
      <xdr:colOff>162644</xdr:colOff>
      <xdr:row>1</xdr:row>
      <xdr:rowOff>131043</xdr:rowOff>
    </xdr:from>
    <xdr:to>
      <xdr:col>4</xdr:col>
      <xdr:colOff>415635</xdr:colOff>
      <xdr:row>2</xdr:row>
      <xdr:rowOff>242456</xdr:rowOff>
    </xdr:to>
    <xdr:pic>
      <xdr:nvPicPr>
        <xdr:cNvPr id="2" name="Picture 1" descr="45mm_national_grid_300">
          <a:extLst>
            <a:ext uri="{FF2B5EF4-FFF2-40B4-BE49-F238E27FC236}">
              <a16:creationId xmlns:a16="http://schemas.microsoft.com/office/drawing/2014/main" id="{1FED0547-DCD6-4128-8C62-1013FE94F7F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236"/>
        <a:stretch>
          <a:fillRect/>
        </a:stretch>
      </xdr:blipFill>
      <xdr:spPr bwMode="auto">
        <a:xfrm>
          <a:off x="760121" y="321543"/>
          <a:ext cx="1664423" cy="46643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9296E97E-691F-4863-9914-D0C202675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25</xdr:row>
          <xdr:rowOff>333375</xdr:rowOff>
        </xdr:from>
        <xdr:to>
          <xdr:col>2</xdr:col>
          <xdr:colOff>514350</xdr:colOff>
          <xdr:row>27</xdr:row>
          <xdr:rowOff>9525</xdr:rowOff>
        </xdr:to>
        <xdr:sp macro="" textlink="">
          <xdr:nvSpPr>
            <xdr:cNvPr id="100353" name="Check Box 1" hidden="1">
              <a:extLst>
                <a:ext uri="{63B3BB69-23CF-44E3-9099-C40C66FF867C}">
                  <a14:compatExt spid="_x0000_s100353"/>
                </a:ext>
                <a:ext uri="{FF2B5EF4-FFF2-40B4-BE49-F238E27FC236}">
                  <a16:creationId xmlns:a16="http://schemas.microsoft.com/office/drawing/2014/main" id="{00000000-0008-0000-1900-00000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25</xdr:row>
          <xdr:rowOff>333375</xdr:rowOff>
        </xdr:from>
        <xdr:to>
          <xdr:col>2</xdr:col>
          <xdr:colOff>923925</xdr:colOff>
          <xdr:row>27</xdr:row>
          <xdr:rowOff>9525</xdr:rowOff>
        </xdr:to>
        <xdr:sp macro="" textlink="">
          <xdr:nvSpPr>
            <xdr:cNvPr id="100354" name="Check Box 2" hidden="1">
              <a:extLst>
                <a:ext uri="{63B3BB69-23CF-44E3-9099-C40C66FF867C}">
                  <a14:compatExt spid="_x0000_s100354"/>
                </a:ext>
                <a:ext uri="{FF2B5EF4-FFF2-40B4-BE49-F238E27FC236}">
                  <a16:creationId xmlns:a16="http://schemas.microsoft.com/office/drawing/2014/main" id="{00000000-0008-0000-1900-00000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27</xdr:row>
          <xdr:rowOff>333375</xdr:rowOff>
        </xdr:from>
        <xdr:to>
          <xdr:col>2</xdr:col>
          <xdr:colOff>514350</xdr:colOff>
          <xdr:row>29</xdr:row>
          <xdr:rowOff>9525</xdr:rowOff>
        </xdr:to>
        <xdr:sp macro="" textlink="">
          <xdr:nvSpPr>
            <xdr:cNvPr id="100355" name="Check Box 3" hidden="1">
              <a:extLst>
                <a:ext uri="{63B3BB69-23CF-44E3-9099-C40C66FF867C}">
                  <a14:compatExt spid="_x0000_s100355"/>
                </a:ext>
                <a:ext uri="{FF2B5EF4-FFF2-40B4-BE49-F238E27FC236}">
                  <a16:creationId xmlns:a16="http://schemas.microsoft.com/office/drawing/2014/main" id="{00000000-0008-0000-1900-00000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27</xdr:row>
          <xdr:rowOff>333375</xdr:rowOff>
        </xdr:from>
        <xdr:to>
          <xdr:col>2</xdr:col>
          <xdr:colOff>923925</xdr:colOff>
          <xdr:row>29</xdr:row>
          <xdr:rowOff>9525</xdr:rowOff>
        </xdr:to>
        <xdr:sp macro="" textlink="">
          <xdr:nvSpPr>
            <xdr:cNvPr id="100356" name="Check Box 4" hidden="1">
              <a:extLst>
                <a:ext uri="{63B3BB69-23CF-44E3-9099-C40C66FF867C}">
                  <a14:compatExt spid="_x0000_s100356"/>
                </a:ext>
                <a:ext uri="{FF2B5EF4-FFF2-40B4-BE49-F238E27FC236}">
                  <a16:creationId xmlns:a16="http://schemas.microsoft.com/office/drawing/2014/main" id="{00000000-0008-0000-1900-00000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29</xdr:row>
          <xdr:rowOff>638175</xdr:rowOff>
        </xdr:from>
        <xdr:to>
          <xdr:col>2</xdr:col>
          <xdr:colOff>533400</xdr:colOff>
          <xdr:row>31</xdr:row>
          <xdr:rowOff>9525</xdr:rowOff>
        </xdr:to>
        <xdr:sp macro="" textlink="">
          <xdr:nvSpPr>
            <xdr:cNvPr id="100357" name="Check Box 5" hidden="1">
              <a:extLst>
                <a:ext uri="{63B3BB69-23CF-44E3-9099-C40C66FF867C}">
                  <a14:compatExt spid="_x0000_s100357"/>
                </a:ext>
                <a:ext uri="{FF2B5EF4-FFF2-40B4-BE49-F238E27FC236}">
                  <a16:creationId xmlns:a16="http://schemas.microsoft.com/office/drawing/2014/main" id="{00000000-0008-0000-1900-00000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29</xdr:row>
          <xdr:rowOff>647700</xdr:rowOff>
        </xdr:from>
        <xdr:to>
          <xdr:col>2</xdr:col>
          <xdr:colOff>914400</xdr:colOff>
          <xdr:row>31</xdr:row>
          <xdr:rowOff>9525</xdr:rowOff>
        </xdr:to>
        <xdr:sp macro="" textlink="">
          <xdr:nvSpPr>
            <xdr:cNvPr id="100358" name="Check Box 6" hidden="1">
              <a:extLst>
                <a:ext uri="{63B3BB69-23CF-44E3-9099-C40C66FF867C}">
                  <a14:compatExt spid="_x0000_s100358"/>
                </a:ext>
                <a:ext uri="{FF2B5EF4-FFF2-40B4-BE49-F238E27FC236}">
                  <a16:creationId xmlns:a16="http://schemas.microsoft.com/office/drawing/2014/main" id="{00000000-0008-0000-1900-00000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180975</xdr:rowOff>
        </xdr:from>
        <xdr:to>
          <xdr:col>2</xdr:col>
          <xdr:colOff>552450</xdr:colOff>
          <xdr:row>32</xdr:row>
          <xdr:rowOff>400050</xdr:rowOff>
        </xdr:to>
        <xdr:sp macro="" textlink="">
          <xdr:nvSpPr>
            <xdr:cNvPr id="100359" name="Check Box 7" hidden="1">
              <a:extLst>
                <a:ext uri="{63B3BB69-23CF-44E3-9099-C40C66FF867C}">
                  <a14:compatExt spid="_x0000_s100359"/>
                </a:ext>
                <a:ext uri="{FF2B5EF4-FFF2-40B4-BE49-F238E27FC236}">
                  <a16:creationId xmlns:a16="http://schemas.microsoft.com/office/drawing/2014/main" id="{00000000-0008-0000-1900-00000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32</xdr:row>
          <xdr:rowOff>180975</xdr:rowOff>
        </xdr:from>
        <xdr:to>
          <xdr:col>2</xdr:col>
          <xdr:colOff>914400</xdr:colOff>
          <xdr:row>32</xdr:row>
          <xdr:rowOff>400050</xdr:rowOff>
        </xdr:to>
        <xdr:sp macro="" textlink="">
          <xdr:nvSpPr>
            <xdr:cNvPr id="100360" name="Check Box 8" hidden="1">
              <a:extLst>
                <a:ext uri="{63B3BB69-23CF-44E3-9099-C40C66FF867C}">
                  <a14:compatExt spid="_x0000_s100360"/>
                </a:ext>
                <a:ext uri="{FF2B5EF4-FFF2-40B4-BE49-F238E27FC236}">
                  <a16:creationId xmlns:a16="http://schemas.microsoft.com/office/drawing/2014/main" id="{00000000-0008-0000-1900-00000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32</xdr:row>
          <xdr:rowOff>504825</xdr:rowOff>
        </xdr:from>
        <xdr:to>
          <xdr:col>2</xdr:col>
          <xdr:colOff>923925</xdr:colOff>
          <xdr:row>32</xdr:row>
          <xdr:rowOff>723900</xdr:rowOff>
        </xdr:to>
        <xdr:sp macro="" textlink="">
          <xdr:nvSpPr>
            <xdr:cNvPr id="100361" name="Check Box 9" hidden="1">
              <a:extLst>
                <a:ext uri="{63B3BB69-23CF-44E3-9099-C40C66FF867C}">
                  <a14:compatExt spid="_x0000_s100361"/>
                </a:ext>
                <a:ext uri="{FF2B5EF4-FFF2-40B4-BE49-F238E27FC236}">
                  <a16:creationId xmlns:a16="http://schemas.microsoft.com/office/drawing/2014/main" id="{00000000-0008-0000-1900-00000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32</xdr:row>
          <xdr:rowOff>790575</xdr:rowOff>
        </xdr:from>
        <xdr:to>
          <xdr:col>2</xdr:col>
          <xdr:colOff>914400</xdr:colOff>
          <xdr:row>32</xdr:row>
          <xdr:rowOff>1009650</xdr:rowOff>
        </xdr:to>
        <xdr:sp macro="" textlink="">
          <xdr:nvSpPr>
            <xdr:cNvPr id="100362" name="Check Box 10" hidden="1">
              <a:extLst>
                <a:ext uri="{63B3BB69-23CF-44E3-9099-C40C66FF867C}">
                  <a14:compatExt spid="_x0000_s100362"/>
                </a:ext>
                <a:ext uri="{FF2B5EF4-FFF2-40B4-BE49-F238E27FC236}">
                  <a16:creationId xmlns:a16="http://schemas.microsoft.com/office/drawing/2014/main" id="{00000000-0008-0000-1900-00000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32</xdr:row>
          <xdr:rowOff>504825</xdr:rowOff>
        </xdr:from>
        <xdr:to>
          <xdr:col>2</xdr:col>
          <xdr:colOff>561975</xdr:colOff>
          <xdr:row>32</xdr:row>
          <xdr:rowOff>723900</xdr:rowOff>
        </xdr:to>
        <xdr:sp macro="" textlink="">
          <xdr:nvSpPr>
            <xdr:cNvPr id="100363" name="Check Box 11" hidden="1">
              <a:extLst>
                <a:ext uri="{63B3BB69-23CF-44E3-9099-C40C66FF867C}">
                  <a14:compatExt spid="_x0000_s100363"/>
                </a:ext>
                <a:ext uri="{FF2B5EF4-FFF2-40B4-BE49-F238E27FC236}">
                  <a16:creationId xmlns:a16="http://schemas.microsoft.com/office/drawing/2014/main" id="{00000000-0008-0000-1900-00000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800100</xdr:rowOff>
        </xdr:from>
        <xdr:to>
          <xdr:col>2</xdr:col>
          <xdr:colOff>552450</xdr:colOff>
          <xdr:row>32</xdr:row>
          <xdr:rowOff>1019175</xdr:rowOff>
        </xdr:to>
        <xdr:sp macro="" textlink="">
          <xdr:nvSpPr>
            <xdr:cNvPr id="100364" name="Check Box 12" hidden="1">
              <a:extLst>
                <a:ext uri="{63B3BB69-23CF-44E3-9099-C40C66FF867C}">
                  <a14:compatExt spid="_x0000_s100364"/>
                </a:ext>
                <a:ext uri="{FF2B5EF4-FFF2-40B4-BE49-F238E27FC236}">
                  <a16:creationId xmlns:a16="http://schemas.microsoft.com/office/drawing/2014/main" id="{00000000-0008-0000-1900-00000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00365" name="Check Box 13" hidden="1">
              <a:extLst>
                <a:ext uri="{63B3BB69-23CF-44E3-9099-C40C66FF867C}">
                  <a14:compatExt spid="_x0000_s100365"/>
                </a:ext>
                <a:ext uri="{FF2B5EF4-FFF2-40B4-BE49-F238E27FC236}">
                  <a16:creationId xmlns:a16="http://schemas.microsoft.com/office/drawing/2014/main" id="{00000000-0008-0000-1900-00000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00366" name="Check Box 14" hidden="1">
              <a:extLst>
                <a:ext uri="{63B3BB69-23CF-44E3-9099-C40C66FF867C}">
                  <a14:compatExt spid="_x0000_s100366"/>
                </a:ext>
                <a:ext uri="{FF2B5EF4-FFF2-40B4-BE49-F238E27FC236}">
                  <a16:creationId xmlns:a16="http://schemas.microsoft.com/office/drawing/2014/main" id="{00000000-0008-0000-1900-00000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00367" name="Check Box 15" hidden="1">
              <a:extLst>
                <a:ext uri="{63B3BB69-23CF-44E3-9099-C40C66FF867C}">
                  <a14:compatExt spid="_x0000_s100367"/>
                </a:ext>
                <a:ext uri="{FF2B5EF4-FFF2-40B4-BE49-F238E27FC236}">
                  <a16:creationId xmlns:a16="http://schemas.microsoft.com/office/drawing/2014/main" id="{00000000-0008-0000-1900-00000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00368" name="Check Box 16" hidden="1">
              <a:extLst>
                <a:ext uri="{63B3BB69-23CF-44E3-9099-C40C66FF867C}">
                  <a14:compatExt spid="_x0000_s100368"/>
                </a:ext>
                <a:ext uri="{FF2B5EF4-FFF2-40B4-BE49-F238E27FC236}">
                  <a16:creationId xmlns:a16="http://schemas.microsoft.com/office/drawing/2014/main" id="{00000000-0008-0000-1900-00001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0</xdr:rowOff>
        </xdr:from>
        <xdr:to>
          <xdr:col>2</xdr:col>
          <xdr:colOff>542925</xdr:colOff>
          <xdr:row>20</xdr:row>
          <xdr:rowOff>219075</xdr:rowOff>
        </xdr:to>
        <xdr:sp macro="" textlink="">
          <xdr:nvSpPr>
            <xdr:cNvPr id="100369" name="Check Box 17" hidden="1">
              <a:extLst>
                <a:ext uri="{63B3BB69-23CF-44E3-9099-C40C66FF867C}">
                  <a14:compatExt spid="_x0000_s100369"/>
                </a:ext>
                <a:ext uri="{FF2B5EF4-FFF2-40B4-BE49-F238E27FC236}">
                  <a16:creationId xmlns:a16="http://schemas.microsoft.com/office/drawing/2014/main" id="{00000000-0008-0000-1900-00001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0</xdr:rowOff>
        </xdr:from>
        <xdr:to>
          <xdr:col>2</xdr:col>
          <xdr:colOff>885825</xdr:colOff>
          <xdr:row>20</xdr:row>
          <xdr:rowOff>219075</xdr:rowOff>
        </xdr:to>
        <xdr:sp macro="" textlink="">
          <xdr:nvSpPr>
            <xdr:cNvPr id="100370" name="Check Box 18" hidden="1">
              <a:extLst>
                <a:ext uri="{63B3BB69-23CF-44E3-9099-C40C66FF867C}">
                  <a14:compatExt spid="_x0000_s100370"/>
                </a:ext>
                <a:ext uri="{FF2B5EF4-FFF2-40B4-BE49-F238E27FC236}">
                  <a16:creationId xmlns:a16="http://schemas.microsoft.com/office/drawing/2014/main" id="{00000000-0008-0000-1900-00001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0</xdr:rowOff>
        </xdr:from>
        <xdr:to>
          <xdr:col>2</xdr:col>
          <xdr:colOff>542925</xdr:colOff>
          <xdr:row>21</xdr:row>
          <xdr:rowOff>219075</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19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21</xdr:row>
          <xdr:rowOff>0</xdr:rowOff>
        </xdr:from>
        <xdr:to>
          <xdr:col>2</xdr:col>
          <xdr:colOff>885825</xdr:colOff>
          <xdr:row>21</xdr:row>
          <xdr:rowOff>219075</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19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xdr:row>
          <xdr:rowOff>0</xdr:rowOff>
        </xdr:from>
        <xdr:to>
          <xdr:col>2</xdr:col>
          <xdr:colOff>542925</xdr:colOff>
          <xdr:row>22</xdr:row>
          <xdr:rowOff>219075</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19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22</xdr:row>
          <xdr:rowOff>0</xdr:rowOff>
        </xdr:from>
        <xdr:to>
          <xdr:col>2</xdr:col>
          <xdr:colOff>885825</xdr:colOff>
          <xdr:row>22</xdr:row>
          <xdr:rowOff>219075</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19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xdr:row>
          <xdr:rowOff>0</xdr:rowOff>
        </xdr:from>
        <xdr:to>
          <xdr:col>2</xdr:col>
          <xdr:colOff>542925</xdr:colOff>
          <xdr:row>24</xdr:row>
          <xdr:rowOff>219075</xdr:rowOff>
        </xdr:to>
        <xdr:sp macro="" textlink="">
          <xdr:nvSpPr>
            <xdr:cNvPr id="100377" name="Check Box 25" hidden="1">
              <a:extLst>
                <a:ext uri="{63B3BB69-23CF-44E3-9099-C40C66FF867C}">
                  <a14:compatExt spid="_x0000_s100377"/>
                </a:ext>
                <a:ext uri="{FF2B5EF4-FFF2-40B4-BE49-F238E27FC236}">
                  <a16:creationId xmlns:a16="http://schemas.microsoft.com/office/drawing/2014/main" id="{00000000-0008-0000-19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0</xdr:rowOff>
        </xdr:from>
        <xdr:to>
          <xdr:col>2</xdr:col>
          <xdr:colOff>885825</xdr:colOff>
          <xdr:row>24</xdr:row>
          <xdr:rowOff>219075</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19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xdr:row>
          <xdr:rowOff>0</xdr:rowOff>
        </xdr:from>
        <xdr:to>
          <xdr:col>2</xdr:col>
          <xdr:colOff>542925</xdr:colOff>
          <xdr:row>23</xdr:row>
          <xdr:rowOff>219075</xdr:rowOff>
        </xdr:to>
        <xdr:sp macro="" textlink="">
          <xdr:nvSpPr>
            <xdr:cNvPr id="100379" name="Check Box 27" hidden="1">
              <a:extLst>
                <a:ext uri="{63B3BB69-23CF-44E3-9099-C40C66FF867C}">
                  <a14:compatExt spid="_x0000_s100379"/>
                </a:ext>
                <a:ext uri="{FF2B5EF4-FFF2-40B4-BE49-F238E27FC236}">
                  <a16:creationId xmlns:a16="http://schemas.microsoft.com/office/drawing/2014/main" id="{00000000-0008-0000-19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23</xdr:row>
          <xdr:rowOff>0</xdr:rowOff>
        </xdr:from>
        <xdr:to>
          <xdr:col>2</xdr:col>
          <xdr:colOff>885825</xdr:colOff>
          <xdr:row>23</xdr:row>
          <xdr:rowOff>219075</xdr:rowOff>
        </xdr:to>
        <xdr:sp macro="" textlink="">
          <xdr:nvSpPr>
            <xdr:cNvPr id="100380" name="Check Box 28" hidden="1">
              <a:extLst>
                <a:ext uri="{63B3BB69-23CF-44E3-9099-C40C66FF867C}">
                  <a14:compatExt spid="_x0000_s100380"/>
                </a:ext>
                <a:ext uri="{FF2B5EF4-FFF2-40B4-BE49-F238E27FC236}">
                  <a16:creationId xmlns:a16="http://schemas.microsoft.com/office/drawing/2014/main" id="{00000000-0008-0000-19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00381" name="Check Box 29" hidden="1">
              <a:extLst>
                <a:ext uri="{63B3BB69-23CF-44E3-9099-C40C66FF867C}">
                  <a14:compatExt spid="_x0000_s100381"/>
                </a:ext>
                <a:ext uri="{FF2B5EF4-FFF2-40B4-BE49-F238E27FC236}">
                  <a16:creationId xmlns:a16="http://schemas.microsoft.com/office/drawing/2014/main" id="{00000000-0008-0000-19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00382" name="Check Box 30" hidden="1">
              <a:extLst>
                <a:ext uri="{63B3BB69-23CF-44E3-9099-C40C66FF867C}">
                  <a14:compatExt spid="_x0000_s100382"/>
                </a:ext>
                <a:ext uri="{FF2B5EF4-FFF2-40B4-BE49-F238E27FC236}">
                  <a16:creationId xmlns:a16="http://schemas.microsoft.com/office/drawing/2014/main" id="{00000000-0008-0000-19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00383" name="Check Box 31" hidden="1">
              <a:extLst>
                <a:ext uri="{63B3BB69-23CF-44E3-9099-C40C66FF867C}">
                  <a14:compatExt spid="_x0000_s100383"/>
                </a:ext>
                <a:ext uri="{FF2B5EF4-FFF2-40B4-BE49-F238E27FC236}">
                  <a16:creationId xmlns:a16="http://schemas.microsoft.com/office/drawing/2014/main" id="{00000000-0008-0000-19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00384" name="Check Box 32" hidden="1">
              <a:extLst>
                <a:ext uri="{63B3BB69-23CF-44E3-9099-C40C66FF867C}">
                  <a14:compatExt spid="_x0000_s100384"/>
                </a:ext>
                <a:ext uri="{FF2B5EF4-FFF2-40B4-BE49-F238E27FC236}">
                  <a16:creationId xmlns:a16="http://schemas.microsoft.com/office/drawing/2014/main" id="{00000000-0008-0000-1900-000020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00385" name="Check Box 33" hidden="1">
              <a:extLst>
                <a:ext uri="{63B3BB69-23CF-44E3-9099-C40C66FF867C}">
                  <a14:compatExt spid="_x0000_s100385"/>
                </a:ext>
                <a:ext uri="{FF2B5EF4-FFF2-40B4-BE49-F238E27FC236}">
                  <a16:creationId xmlns:a16="http://schemas.microsoft.com/office/drawing/2014/main" id="{00000000-0008-0000-1900-000021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00386" name="Check Box 34" hidden="1">
              <a:extLst>
                <a:ext uri="{63B3BB69-23CF-44E3-9099-C40C66FF867C}">
                  <a14:compatExt spid="_x0000_s100386"/>
                </a:ext>
                <a:ext uri="{FF2B5EF4-FFF2-40B4-BE49-F238E27FC236}">
                  <a16:creationId xmlns:a16="http://schemas.microsoft.com/office/drawing/2014/main" id="{00000000-0008-0000-1900-000022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00387" name="Check Box 35" hidden="1">
              <a:extLst>
                <a:ext uri="{63B3BB69-23CF-44E3-9099-C40C66FF867C}">
                  <a14:compatExt spid="_x0000_s100387"/>
                </a:ext>
                <a:ext uri="{FF2B5EF4-FFF2-40B4-BE49-F238E27FC236}">
                  <a16:creationId xmlns:a16="http://schemas.microsoft.com/office/drawing/2014/main" id="{00000000-0008-0000-1900-00002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00388" name="Check Box 36" hidden="1">
              <a:extLst>
                <a:ext uri="{63B3BB69-23CF-44E3-9099-C40C66FF867C}">
                  <a14:compatExt spid="_x0000_s100388"/>
                </a:ext>
                <a:ext uri="{FF2B5EF4-FFF2-40B4-BE49-F238E27FC236}">
                  <a16:creationId xmlns:a16="http://schemas.microsoft.com/office/drawing/2014/main" id="{00000000-0008-0000-1900-00002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00389" name="Check Box 37" hidden="1">
              <a:extLst>
                <a:ext uri="{63B3BB69-23CF-44E3-9099-C40C66FF867C}">
                  <a14:compatExt spid="_x0000_s100389"/>
                </a:ext>
                <a:ext uri="{FF2B5EF4-FFF2-40B4-BE49-F238E27FC236}">
                  <a16:creationId xmlns:a16="http://schemas.microsoft.com/office/drawing/2014/main" id="{00000000-0008-0000-1900-00002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00390" name="Check Box 38" hidden="1">
              <a:extLst>
                <a:ext uri="{63B3BB69-23CF-44E3-9099-C40C66FF867C}">
                  <a14:compatExt spid="_x0000_s100390"/>
                </a:ext>
                <a:ext uri="{FF2B5EF4-FFF2-40B4-BE49-F238E27FC236}">
                  <a16:creationId xmlns:a16="http://schemas.microsoft.com/office/drawing/2014/main" id="{00000000-0008-0000-1900-00002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11</xdr:col>
      <xdr:colOff>295275</xdr:colOff>
      <xdr:row>2</xdr:row>
      <xdr:rowOff>447675</xdr:rowOff>
    </xdr:from>
    <xdr:to>
      <xdr:col>19</xdr:col>
      <xdr:colOff>534308</xdr:colOff>
      <xdr:row>12</xdr:row>
      <xdr:rowOff>105067</xdr:rowOff>
    </xdr:to>
    <xdr:pic>
      <xdr:nvPicPr>
        <xdr:cNvPr id="2" name="Picture 1">
          <a:extLst>
            <a:ext uri="{FF2B5EF4-FFF2-40B4-BE49-F238E27FC236}">
              <a16:creationId xmlns:a16="http://schemas.microsoft.com/office/drawing/2014/main" id="{25549C69-B6EE-4A1B-9694-96D169D4FF28}"/>
            </a:ext>
          </a:extLst>
        </xdr:cNvPr>
        <xdr:cNvPicPr>
          <a:picLocks noChangeAspect="1"/>
        </xdr:cNvPicPr>
      </xdr:nvPicPr>
      <xdr:blipFill>
        <a:blip xmlns:r="http://schemas.openxmlformats.org/officeDocument/2006/relationships" r:embed="rId1"/>
        <a:stretch>
          <a:fillRect/>
        </a:stretch>
      </xdr:blipFill>
      <xdr:spPr>
        <a:xfrm>
          <a:off x="8172450" y="838200"/>
          <a:ext cx="5115833" cy="1962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883097</xdr:colOff>
      <xdr:row>2</xdr:row>
      <xdr:rowOff>230188</xdr:rowOff>
    </xdr:from>
    <xdr:ext cx="2699361" cy="582083"/>
    <xdr:pic>
      <xdr:nvPicPr>
        <xdr:cNvPr id="2" name="Picture 1">
          <a:extLst>
            <a:ext uri="{FF2B5EF4-FFF2-40B4-BE49-F238E27FC236}">
              <a16:creationId xmlns:a16="http://schemas.microsoft.com/office/drawing/2014/main" id="{61E70ADE-E7F0-4F94-B500-F03D96BBFA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90160" y="230188"/>
          <a:ext cx="2699361" cy="58208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5988067</xdr:colOff>
      <xdr:row>1</xdr:row>
      <xdr:rowOff>89419</xdr:rowOff>
    </xdr:from>
    <xdr:ext cx="1824658" cy="426416"/>
    <xdr:pic>
      <xdr:nvPicPr>
        <xdr:cNvPr id="2" name="Picture 1">
          <a:extLst>
            <a:ext uri="{FF2B5EF4-FFF2-40B4-BE49-F238E27FC236}">
              <a16:creationId xmlns:a16="http://schemas.microsoft.com/office/drawing/2014/main" id="{31D5EB25-5283-43A3-9322-B544078FDB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380" y="264044"/>
          <a:ext cx="1824658" cy="4264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44449</xdr:colOff>
      <xdr:row>1</xdr:row>
      <xdr:rowOff>9525</xdr:rowOff>
    </xdr:from>
    <xdr:to>
      <xdr:col>2</xdr:col>
      <xdr:colOff>461327</xdr:colOff>
      <xdr:row>2</xdr:row>
      <xdr:rowOff>289561</xdr:rowOff>
    </xdr:to>
    <xdr:pic>
      <xdr:nvPicPr>
        <xdr:cNvPr id="2" name="Picture 1" descr="45mm_national_grid_300">
          <a:extLst>
            <a:ext uri="{FF2B5EF4-FFF2-40B4-BE49-F238E27FC236}">
              <a16:creationId xmlns:a16="http://schemas.microsoft.com/office/drawing/2014/main" id="{898B0EDF-930E-4B7B-95C8-2EAEE3443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724" y="200025"/>
          <a:ext cx="1474153"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14</xdr:row>
          <xdr:rowOff>333375</xdr:rowOff>
        </xdr:from>
        <xdr:to>
          <xdr:col>1</xdr:col>
          <xdr:colOff>514350</xdr:colOff>
          <xdr:row>16</xdr:row>
          <xdr:rowOff>9525</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0C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14</xdr:row>
          <xdr:rowOff>333375</xdr:rowOff>
        </xdr:from>
        <xdr:to>
          <xdr:col>1</xdr:col>
          <xdr:colOff>923925</xdr:colOff>
          <xdr:row>16</xdr:row>
          <xdr:rowOff>9525</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0C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333375</xdr:rowOff>
        </xdr:from>
        <xdr:to>
          <xdr:col>1</xdr:col>
          <xdr:colOff>514350</xdr:colOff>
          <xdr:row>18</xdr:row>
          <xdr:rowOff>9525</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0C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xdr:row>
          <xdr:rowOff>333375</xdr:rowOff>
        </xdr:from>
        <xdr:to>
          <xdr:col>1</xdr:col>
          <xdr:colOff>923925</xdr:colOff>
          <xdr:row>18</xdr:row>
          <xdr:rowOff>9525</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0C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18</xdr:row>
          <xdr:rowOff>638175</xdr:rowOff>
        </xdr:from>
        <xdr:to>
          <xdr:col>1</xdr:col>
          <xdr:colOff>533400</xdr:colOff>
          <xdr:row>20</xdr:row>
          <xdr:rowOff>9525</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0C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18</xdr:row>
          <xdr:rowOff>647700</xdr:rowOff>
        </xdr:from>
        <xdr:to>
          <xdr:col>1</xdr:col>
          <xdr:colOff>914400</xdr:colOff>
          <xdr:row>20</xdr:row>
          <xdr:rowOff>9525</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0C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9525</xdr:rowOff>
        </xdr:from>
        <xdr:to>
          <xdr:col>1</xdr:col>
          <xdr:colOff>542925</xdr:colOff>
          <xdr:row>21</xdr:row>
          <xdr:rowOff>228600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0C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21</xdr:row>
          <xdr:rowOff>9525</xdr:rowOff>
        </xdr:from>
        <xdr:to>
          <xdr:col>1</xdr:col>
          <xdr:colOff>904875</xdr:colOff>
          <xdr:row>21</xdr:row>
          <xdr:rowOff>228600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0C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21</xdr:row>
          <xdr:rowOff>304800</xdr:rowOff>
        </xdr:from>
        <xdr:to>
          <xdr:col>1</xdr:col>
          <xdr:colOff>904875</xdr:colOff>
          <xdr:row>21</xdr:row>
          <xdr:rowOff>523875</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0C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428625</xdr:colOff>
          <xdr:row>21</xdr:row>
          <xdr:rowOff>590550</xdr:rowOff>
        </xdr:from>
        <xdr:to>
          <xdr:col>1</xdr:col>
          <xdr:colOff>914400</xdr:colOff>
          <xdr:row>21</xdr:row>
          <xdr:rowOff>809625</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0C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21</xdr:row>
          <xdr:rowOff>314325</xdr:rowOff>
        </xdr:from>
        <xdr:to>
          <xdr:col>1</xdr:col>
          <xdr:colOff>542925</xdr:colOff>
          <xdr:row>21</xdr:row>
          <xdr:rowOff>533400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0C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590550</xdr:rowOff>
        </xdr:from>
        <xdr:to>
          <xdr:col>1</xdr:col>
          <xdr:colOff>552450</xdr:colOff>
          <xdr:row>21</xdr:row>
          <xdr:rowOff>809625</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0C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0</xdr:rowOff>
        </xdr:from>
        <xdr:to>
          <xdr:col>1</xdr:col>
          <xdr:colOff>542925</xdr:colOff>
          <xdr:row>14</xdr:row>
          <xdr:rowOff>19050</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0C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13</xdr:row>
          <xdr:rowOff>0</xdr:rowOff>
        </xdr:from>
        <xdr:to>
          <xdr:col>1</xdr:col>
          <xdr:colOff>885825</xdr:colOff>
          <xdr:row>14</xdr:row>
          <xdr:rowOff>19050</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0C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2</xdr:col>
      <xdr:colOff>135801</xdr:colOff>
      <xdr:row>1</xdr:row>
      <xdr:rowOff>67831</xdr:rowOff>
    </xdr:from>
    <xdr:to>
      <xdr:col>2</xdr:col>
      <xdr:colOff>1798492</xdr:colOff>
      <xdr:row>2</xdr:row>
      <xdr:rowOff>333376</xdr:rowOff>
    </xdr:to>
    <xdr:pic>
      <xdr:nvPicPr>
        <xdr:cNvPr id="2" name="Picture 1" descr="45mm_national_grid_300">
          <a:extLst>
            <a:ext uri="{FF2B5EF4-FFF2-40B4-BE49-F238E27FC236}">
              <a16:creationId xmlns:a16="http://schemas.microsoft.com/office/drawing/2014/main" id="{468226F9-5306-4589-A3C3-6E4155D5A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851" y="258331"/>
          <a:ext cx="1662691" cy="61797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E578FC1E-EA50-4790-8D74-9CBAE1271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E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E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E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E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E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E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E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E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476250</xdr:rowOff>
        </xdr:from>
        <xdr:to>
          <xdr:col>2</xdr:col>
          <xdr:colOff>914400</xdr:colOff>
          <xdr:row>28</xdr:row>
          <xdr:rowOff>695325</xdr:rowOff>
        </xdr:to>
        <xdr:sp macro="" textlink="">
          <xdr:nvSpPr>
            <xdr:cNvPr id="46089" name="Check Box 9" hidden="1">
              <a:extLst>
                <a:ext uri="{63B3BB69-23CF-44E3-9099-C40C66FF867C}">
                  <a14:compatExt spid="_x0000_s46089"/>
                </a:ext>
                <a:ext uri="{FF2B5EF4-FFF2-40B4-BE49-F238E27FC236}">
                  <a16:creationId xmlns:a16="http://schemas.microsoft.com/office/drawing/2014/main" id="{00000000-0008-0000-0E00-00000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781050</xdr:rowOff>
        </xdr:from>
        <xdr:to>
          <xdr:col>2</xdr:col>
          <xdr:colOff>923925</xdr:colOff>
          <xdr:row>28</xdr:row>
          <xdr:rowOff>1000125</xdr:rowOff>
        </xdr:to>
        <xdr:sp macro="" textlink="">
          <xdr:nvSpPr>
            <xdr:cNvPr id="46090" name="Check Box 10" hidden="1">
              <a:extLst>
                <a:ext uri="{63B3BB69-23CF-44E3-9099-C40C66FF867C}">
                  <a14:compatExt spid="_x0000_s46090"/>
                </a:ext>
                <a:ext uri="{FF2B5EF4-FFF2-40B4-BE49-F238E27FC236}">
                  <a16:creationId xmlns:a16="http://schemas.microsoft.com/office/drawing/2014/main" id="{00000000-0008-0000-0E00-00000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476250</xdr:rowOff>
        </xdr:from>
        <xdr:to>
          <xdr:col>2</xdr:col>
          <xdr:colOff>552450</xdr:colOff>
          <xdr:row>28</xdr:row>
          <xdr:rowOff>695325</xdr:rowOff>
        </xdr:to>
        <xdr:sp macro="" textlink="">
          <xdr:nvSpPr>
            <xdr:cNvPr id="46091" name="Check Box 11" hidden="1">
              <a:extLst>
                <a:ext uri="{63B3BB69-23CF-44E3-9099-C40C66FF867C}">
                  <a14:compatExt spid="_x0000_s46091"/>
                </a:ext>
                <a:ext uri="{FF2B5EF4-FFF2-40B4-BE49-F238E27FC236}">
                  <a16:creationId xmlns:a16="http://schemas.microsoft.com/office/drawing/2014/main" id="{00000000-0008-0000-0E00-00000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781050</xdr:rowOff>
        </xdr:from>
        <xdr:to>
          <xdr:col>2</xdr:col>
          <xdr:colOff>552450</xdr:colOff>
          <xdr:row>28</xdr:row>
          <xdr:rowOff>1000125</xdr:rowOff>
        </xdr:to>
        <xdr:sp macro="" textlink="">
          <xdr:nvSpPr>
            <xdr:cNvPr id="46092" name="Check Box 12" hidden="1">
              <a:extLst>
                <a:ext uri="{63B3BB69-23CF-44E3-9099-C40C66FF867C}">
                  <a14:compatExt spid="_x0000_s46092"/>
                </a:ext>
                <a:ext uri="{FF2B5EF4-FFF2-40B4-BE49-F238E27FC236}">
                  <a16:creationId xmlns:a16="http://schemas.microsoft.com/office/drawing/2014/main" id="{00000000-0008-0000-0E00-00000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46093" name="Check Box 13" hidden="1">
              <a:extLst>
                <a:ext uri="{63B3BB69-23CF-44E3-9099-C40C66FF867C}">
                  <a14:compatExt spid="_x0000_s46093"/>
                </a:ext>
                <a:ext uri="{FF2B5EF4-FFF2-40B4-BE49-F238E27FC236}">
                  <a16:creationId xmlns:a16="http://schemas.microsoft.com/office/drawing/2014/main" id="{00000000-0008-0000-0E00-00000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46094" name="Check Box 14" hidden="1">
              <a:extLst>
                <a:ext uri="{63B3BB69-23CF-44E3-9099-C40C66FF867C}">
                  <a14:compatExt spid="_x0000_s46094"/>
                </a:ext>
                <a:ext uri="{FF2B5EF4-FFF2-40B4-BE49-F238E27FC236}">
                  <a16:creationId xmlns:a16="http://schemas.microsoft.com/office/drawing/2014/main" id="{00000000-0008-0000-0E00-00000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46095" name="Check Box 15" hidden="1">
              <a:extLst>
                <a:ext uri="{63B3BB69-23CF-44E3-9099-C40C66FF867C}">
                  <a14:compatExt spid="_x0000_s46095"/>
                </a:ext>
                <a:ext uri="{FF2B5EF4-FFF2-40B4-BE49-F238E27FC236}">
                  <a16:creationId xmlns:a16="http://schemas.microsoft.com/office/drawing/2014/main" id="{00000000-0008-0000-0E00-00000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46096" name="Check Box 16" hidden="1">
              <a:extLst>
                <a:ext uri="{63B3BB69-23CF-44E3-9099-C40C66FF867C}">
                  <a14:compatExt spid="_x0000_s46096"/>
                </a:ext>
                <a:ext uri="{FF2B5EF4-FFF2-40B4-BE49-F238E27FC236}">
                  <a16:creationId xmlns:a16="http://schemas.microsoft.com/office/drawing/2014/main" id="{00000000-0008-0000-0E00-00001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E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46098" name="Check Box 18" hidden="1">
              <a:extLst>
                <a:ext uri="{63B3BB69-23CF-44E3-9099-C40C66FF867C}">
                  <a14:compatExt spid="_x0000_s46098"/>
                </a:ext>
                <a:ext uri="{FF2B5EF4-FFF2-40B4-BE49-F238E27FC236}">
                  <a16:creationId xmlns:a16="http://schemas.microsoft.com/office/drawing/2014/main" id="{00000000-0008-0000-0E00-00001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46099" name="Check Box 19" hidden="1">
              <a:extLst>
                <a:ext uri="{63B3BB69-23CF-44E3-9099-C40C66FF867C}">
                  <a14:compatExt spid="_x0000_s46099"/>
                </a:ext>
                <a:ext uri="{FF2B5EF4-FFF2-40B4-BE49-F238E27FC236}">
                  <a16:creationId xmlns:a16="http://schemas.microsoft.com/office/drawing/2014/main" id="{00000000-0008-0000-0E00-00001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46100" name="Check Box 20" hidden="1">
              <a:extLst>
                <a:ext uri="{63B3BB69-23CF-44E3-9099-C40C66FF867C}">
                  <a14:compatExt spid="_x0000_s46100"/>
                </a:ext>
                <a:ext uri="{FF2B5EF4-FFF2-40B4-BE49-F238E27FC236}">
                  <a16:creationId xmlns:a16="http://schemas.microsoft.com/office/drawing/2014/main" id="{00000000-0008-0000-0E00-00001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46105" name="Check Box 25" hidden="1">
              <a:extLst>
                <a:ext uri="{63B3BB69-23CF-44E3-9099-C40C66FF867C}">
                  <a14:compatExt spid="_x0000_s46105"/>
                </a:ext>
                <a:ext uri="{FF2B5EF4-FFF2-40B4-BE49-F238E27FC236}">
                  <a16:creationId xmlns:a16="http://schemas.microsoft.com/office/drawing/2014/main" id="{00000000-0008-0000-0E00-000019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46106" name="Check Box 26" hidden="1">
              <a:extLst>
                <a:ext uri="{63B3BB69-23CF-44E3-9099-C40C66FF867C}">
                  <a14:compatExt spid="_x0000_s46106"/>
                </a:ext>
                <a:ext uri="{FF2B5EF4-FFF2-40B4-BE49-F238E27FC236}">
                  <a16:creationId xmlns:a16="http://schemas.microsoft.com/office/drawing/2014/main" id="{00000000-0008-0000-0E00-00001A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46107" name="Check Box 27" hidden="1">
              <a:extLst>
                <a:ext uri="{63B3BB69-23CF-44E3-9099-C40C66FF867C}">
                  <a14:compatExt spid="_x0000_s46107"/>
                </a:ext>
                <a:ext uri="{FF2B5EF4-FFF2-40B4-BE49-F238E27FC236}">
                  <a16:creationId xmlns:a16="http://schemas.microsoft.com/office/drawing/2014/main" id="{00000000-0008-0000-0E00-00001B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46108" name="Check Box 28" hidden="1">
              <a:extLst>
                <a:ext uri="{63B3BB69-23CF-44E3-9099-C40C66FF867C}">
                  <a14:compatExt spid="_x0000_s46108"/>
                </a:ext>
                <a:ext uri="{FF2B5EF4-FFF2-40B4-BE49-F238E27FC236}">
                  <a16:creationId xmlns:a16="http://schemas.microsoft.com/office/drawing/2014/main" id="{00000000-0008-0000-0E00-00001C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46109" name="Check Box 29" hidden="1">
              <a:extLst>
                <a:ext uri="{63B3BB69-23CF-44E3-9099-C40C66FF867C}">
                  <a14:compatExt spid="_x0000_s46109"/>
                </a:ext>
                <a:ext uri="{FF2B5EF4-FFF2-40B4-BE49-F238E27FC236}">
                  <a16:creationId xmlns:a16="http://schemas.microsoft.com/office/drawing/2014/main" id="{00000000-0008-0000-0E00-00001D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46110" name="Check Box 30" hidden="1">
              <a:extLst>
                <a:ext uri="{63B3BB69-23CF-44E3-9099-C40C66FF867C}">
                  <a14:compatExt spid="_x0000_s46110"/>
                </a:ext>
                <a:ext uri="{FF2B5EF4-FFF2-40B4-BE49-F238E27FC236}">
                  <a16:creationId xmlns:a16="http://schemas.microsoft.com/office/drawing/2014/main" id="{00000000-0008-0000-0E00-00001E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46111" name="Check Box 31" hidden="1">
              <a:extLst>
                <a:ext uri="{63B3BB69-23CF-44E3-9099-C40C66FF867C}">
                  <a14:compatExt spid="_x0000_s46111"/>
                </a:ext>
                <a:ext uri="{FF2B5EF4-FFF2-40B4-BE49-F238E27FC236}">
                  <a16:creationId xmlns:a16="http://schemas.microsoft.com/office/drawing/2014/main" id="{00000000-0008-0000-0E00-00001F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46112" name="Check Box 32" hidden="1">
              <a:extLst>
                <a:ext uri="{63B3BB69-23CF-44E3-9099-C40C66FF867C}">
                  <a14:compatExt spid="_x0000_s46112"/>
                </a:ext>
                <a:ext uri="{FF2B5EF4-FFF2-40B4-BE49-F238E27FC236}">
                  <a16:creationId xmlns:a16="http://schemas.microsoft.com/office/drawing/2014/main" id="{00000000-0008-0000-0E00-000020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3</xdr:col>
      <xdr:colOff>398317</xdr:colOff>
      <xdr:row>2</xdr:row>
      <xdr:rowOff>333577</xdr:rowOff>
    </xdr:to>
    <xdr:pic>
      <xdr:nvPicPr>
        <xdr:cNvPr id="2" name="Picture 1" descr="45mm_national_grid_300">
          <a:extLst>
            <a:ext uri="{FF2B5EF4-FFF2-40B4-BE49-F238E27FC236}">
              <a16:creationId xmlns:a16="http://schemas.microsoft.com/office/drawing/2014/main" id="{8DBA01FB-AB22-4100-949D-C296860876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401" y="286905"/>
          <a:ext cx="1662691" cy="589597"/>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163511</xdr:colOff>
      <xdr:row>1</xdr:row>
      <xdr:rowOff>215900</xdr:rowOff>
    </xdr:from>
    <xdr:to>
      <xdr:col>3</xdr:col>
      <xdr:colOff>580390</xdr:colOff>
      <xdr:row>2</xdr:row>
      <xdr:rowOff>345123</xdr:rowOff>
    </xdr:to>
    <xdr:pic>
      <xdr:nvPicPr>
        <xdr:cNvPr id="2" name="Picture 1" descr="45mm_national_grid_300">
          <a:extLst>
            <a:ext uri="{FF2B5EF4-FFF2-40B4-BE49-F238E27FC236}">
              <a16:creationId xmlns:a16="http://schemas.microsoft.com/office/drawing/2014/main" id="{747BEF65-1F9C-412A-AE1C-D51865A76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736" y="406400"/>
          <a:ext cx="1474154" cy="481648"/>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28575</xdr:colOff>
          <xdr:row>21</xdr:row>
          <xdr:rowOff>333375</xdr:rowOff>
        </xdr:from>
        <xdr:to>
          <xdr:col>2</xdr:col>
          <xdr:colOff>514350</xdr:colOff>
          <xdr:row>23</xdr:row>
          <xdr:rowOff>9525</xdr:rowOff>
        </xdr:to>
        <xdr:sp macro="" textlink="">
          <xdr:nvSpPr>
            <xdr:cNvPr id="160769" name="Check Box 1" hidden="1">
              <a:extLst>
                <a:ext uri="{63B3BB69-23CF-44E3-9099-C40C66FF867C}">
                  <a14:compatExt spid="_x0000_s160769"/>
                </a:ext>
                <a:ext uri="{FF2B5EF4-FFF2-40B4-BE49-F238E27FC236}">
                  <a16:creationId xmlns:a16="http://schemas.microsoft.com/office/drawing/2014/main" id="{00000000-0008-0000-1000-00000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21</xdr:row>
          <xdr:rowOff>333375</xdr:rowOff>
        </xdr:from>
        <xdr:to>
          <xdr:col>2</xdr:col>
          <xdr:colOff>923925</xdr:colOff>
          <xdr:row>23</xdr:row>
          <xdr:rowOff>9525</xdr:rowOff>
        </xdr:to>
        <xdr:sp macro="" textlink="">
          <xdr:nvSpPr>
            <xdr:cNvPr id="160770" name="Check Box 2" hidden="1">
              <a:extLst>
                <a:ext uri="{63B3BB69-23CF-44E3-9099-C40C66FF867C}">
                  <a14:compatExt spid="_x0000_s160770"/>
                </a:ext>
                <a:ext uri="{FF2B5EF4-FFF2-40B4-BE49-F238E27FC236}">
                  <a16:creationId xmlns:a16="http://schemas.microsoft.com/office/drawing/2014/main" id="{00000000-0008-0000-1000-00000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333375</xdr:rowOff>
        </xdr:from>
        <xdr:to>
          <xdr:col>2</xdr:col>
          <xdr:colOff>514350</xdr:colOff>
          <xdr:row>25</xdr:row>
          <xdr:rowOff>9525</xdr:rowOff>
        </xdr:to>
        <xdr:sp macro="" textlink="">
          <xdr:nvSpPr>
            <xdr:cNvPr id="160771" name="Check Box 3" hidden="1">
              <a:extLst>
                <a:ext uri="{63B3BB69-23CF-44E3-9099-C40C66FF867C}">
                  <a14:compatExt spid="_x0000_s160771"/>
                </a:ext>
                <a:ext uri="{FF2B5EF4-FFF2-40B4-BE49-F238E27FC236}">
                  <a16:creationId xmlns:a16="http://schemas.microsoft.com/office/drawing/2014/main" id="{00000000-0008-0000-1000-00000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23</xdr:row>
          <xdr:rowOff>333375</xdr:rowOff>
        </xdr:from>
        <xdr:to>
          <xdr:col>2</xdr:col>
          <xdr:colOff>923925</xdr:colOff>
          <xdr:row>25</xdr:row>
          <xdr:rowOff>9525</xdr:rowOff>
        </xdr:to>
        <xdr:sp macro="" textlink="">
          <xdr:nvSpPr>
            <xdr:cNvPr id="160772" name="Check Box 4" hidden="1">
              <a:extLst>
                <a:ext uri="{63B3BB69-23CF-44E3-9099-C40C66FF867C}">
                  <a14:compatExt spid="_x0000_s160772"/>
                </a:ext>
                <a:ext uri="{FF2B5EF4-FFF2-40B4-BE49-F238E27FC236}">
                  <a16:creationId xmlns:a16="http://schemas.microsoft.com/office/drawing/2014/main" id="{00000000-0008-0000-1000-00000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25</xdr:row>
          <xdr:rowOff>638175</xdr:rowOff>
        </xdr:from>
        <xdr:to>
          <xdr:col>2</xdr:col>
          <xdr:colOff>533400</xdr:colOff>
          <xdr:row>27</xdr:row>
          <xdr:rowOff>9525</xdr:rowOff>
        </xdr:to>
        <xdr:sp macro="" textlink="">
          <xdr:nvSpPr>
            <xdr:cNvPr id="160773" name="Check Box 5" hidden="1">
              <a:extLst>
                <a:ext uri="{63B3BB69-23CF-44E3-9099-C40C66FF867C}">
                  <a14:compatExt spid="_x0000_s160773"/>
                </a:ext>
                <a:ext uri="{FF2B5EF4-FFF2-40B4-BE49-F238E27FC236}">
                  <a16:creationId xmlns:a16="http://schemas.microsoft.com/office/drawing/2014/main" id="{00000000-0008-0000-1000-00000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25</xdr:row>
          <xdr:rowOff>647700</xdr:rowOff>
        </xdr:from>
        <xdr:to>
          <xdr:col>2</xdr:col>
          <xdr:colOff>914400</xdr:colOff>
          <xdr:row>27</xdr:row>
          <xdr:rowOff>9525</xdr:rowOff>
        </xdr:to>
        <xdr:sp macro="" textlink="">
          <xdr:nvSpPr>
            <xdr:cNvPr id="160774" name="Check Box 6" hidden="1">
              <a:extLst>
                <a:ext uri="{63B3BB69-23CF-44E3-9099-C40C66FF867C}">
                  <a14:compatExt spid="_x0000_s160774"/>
                </a:ext>
                <a:ext uri="{FF2B5EF4-FFF2-40B4-BE49-F238E27FC236}">
                  <a16:creationId xmlns:a16="http://schemas.microsoft.com/office/drawing/2014/main" id="{00000000-0008-0000-10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180975</xdr:rowOff>
        </xdr:from>
        <xdr:to>
          <xdr:col>2</xdr:col>
          <xdr:colOff>552450</xdr:colOff>
          <xdr:row>28</xdr:row>
          <xdr:rowOff>400050</xdr:rowOff>
        </xdr:to>
        <xdr:sp macro="" textlink="">
          <xdr:nvSpPr>
            <xdr:cNvPr id="160775" name="Check Box 7" hidden="1">
              <a:extLst>
                <a:ext uri="{63B3BB69-23CF-44E3-9099-C40C66FF867C}">
                  <a14:compatExt spid="_x0000_s160775"/>
                </a:ext>
                <a:ext uri="{FF2B5EF4-FFF2-40B4-BE49-F238E27FC236}">
                  <a16:creationId xmlns:a16="http://schemas.microsoft.com/office/drawing/2014/main" id="{00000000-0008-0000-10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180975</xdr:rowOff>
        </xdr:from>
        <xdr:to>
          <xdr:col>2</xdr:col>
          <xdr:colOff>914400</xdr:colOff>
          <xdr:row>28</xdr:row>
          <xdr:rowOff>400050</xdr:rowOff>
        </xdr:to>
        <xdr:sp macro="" textlink="">
          <xdr:nvSpPr>
            <xdr:cNvPr id="160776" name="Check Box 8" hidden="1">
              <a:extLst>
                <a:ext uri="{63B3BB69-23CF-44E3-9099-C40C66FF867C}">
                  <a14:compatExt spid="_x0000_s160776"/>
                </a:ext>
                <a:ext uri="{FF2B5EF4-FFF2-40B4-BE49-F238E27FC236}">
                  <a16:creationId xmlns:a16="http://schemas.microsoft.com/office/drawing/2014/main" id="{00000000-0008-0000-1000-00000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428625</xdr:colOff>
          <xdr:row>28</xdr:row>
          <xdr:rowOff>476250</xdr:rowOff>
        </xdr:from>
        <xdr:to>
          <xdr:col>2</xdr:col>
          <xdr:colOff>914400</xdr:colOff>
          <xdr:row>28</xdr:row>
          <xdr:rowOff>695325</xdr:rowOff>
        </xdr:to>
        <xdr:sp macro="" textlink="">
          <xdr:nvSpPr>
            <xdr:cNvPr id="160777" name="Check Box 9" hidden="1">
              <a:extLst>
                <a:ext uri="{63B3BB69-23CF-44E3-9099-C40C66FF867C}">
                  <a14:compatExt spid="_x0000_s160777"/>
                </a:ext>
                <a:ext uri="{FF2B5EF4-FFF2-40B4-BE49-F238E27FC236}">
                  <a16:creationId xmlns:a16="http://schemas.microsoft.com/office/drawing/2014/main" id="{00000000-0008-0000-1000-00000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28</xdr:row>
          <xdr:rowOff>781050</xdr:rowOff>
        </xdr:from>
        <xdr:to>
          <xdr:col>2</xdr:col>
          <xdr:colOff>923925</xdr:colOff>
          <xdr:row>28</xdr:row>
          <xdr:rowOff>1000125</xdr:rowOff>
        </xdr:to>
        <xdr:sp macro="" textlink="">
          <xdr:nvSpPr>
            <xdr:cNvPr id="160778" name="Check Box 10" hidden="1">
              <a:extLst>
                <a:ext uri="{63B3BB69-23CF-44E3-9099-C40C66FF867C}">
                  <a14:compatExt spid="_x0000_s160778"/>
                </a:ext>
                <a:ext uri="{FF2B5EF4-FFF2-40B4-BE49-F238E27FC236}">
                  <a16:creationId xmlns:a16="http://schemas.microsoft.com/office/drawing/2014/main" id="{00000000-0008-0000-1000-00000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476250</xdr:rowOff>
        </xdr:from>
        <xdr:to>
          <xdr:col>2</xdr:col>
          <xdr:colOff>552450</xdr:colOff>
          <xdr:row>28</xdr:row>
          <xdr:rowOff>695325</xdr:rowOff>
        </xdr:to>
        <xdr:sp macro="" textlink="">
          <xdr:nvSpPr>
            <xdr:cNvPr id="160779" name="Check Box 11" hidden="1">
              <a:extLst>
                <a:ext uri="{63B3BB69-23CF-44E3-9099-C40C66FF867C}">
                  <a14:compatExt spid="_x0000_s160779"/>
                </a:ext>
                <a:ext uri="{FF2B5EF4-FFF2-40B4-BE49-F238E27FC236}">
                  <a16:creationId xmlns:a16="http://schemas.microsoft.com/office/drawing/2014/main" id="{00000000-0008-0000-1000-00000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28</xdr:row>
          <xdr:rowOff>781050</xdr:rowOff>
        </xdr:from>
        <xdr:to>
          <xdr:col>2</xdr:col>
          <xdr:colOff>552450</xdr:colOff>
          <xdr:row>28</xdr:row>
          <xdr:rowOff>1000125</xdr:rowOff>
        </xdr:to>
        <xdr:sp macro="" textlink="">
          <xdr:nvSpPr>
            <xdr:cNvPr id="160780" name="Check Box 12" hidden="1">
              <a:extLst>
                <a:ext uri="{63B3BB69-23CF-44E3-9099-C40C66FF867C}">
                  <a14:compatExt spid="_x0000_s160780"/>
                </a:ext>
                <a:ext uri="{FF2B5EF4-FFF2-40B4-BE49-F238E27FC236}">
                  <a16:creationId xmlns:a16="http://schemas.microsoft.com/office/drawing/2014/main" id="{00000000-0008-0000-1000-00000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0</xdr:rowOff>
        </xdr:from>
        <xdr:to>
          <xdr:col>2</xdr:col>
          <xdr:colOff>542925</xdr:colOff>
          <xdr:row>13</xdr:row>
          <xdr:rowOff>219075</xdr:rowOff>
        </xdr:to>
        <xdr:sp macro="" textlink="">
          <xdr:nvSpPr>
            <xdr:cNvPr id="160781" name="Check Box 13" hidden="1">
              <a:extLst>
                <a:ext uri="{63B3BB69-23CF-44E3-9099-C40C66FF867C}">
                  <a14:compatExt spid="_x0000_s160781"/>
                </a:ext>
                <a:ext uri="{FF2B5EF4-FFF2-40B4-BE49-F238E27FC236}">
                  <a16:creationId xmlns:a16="http://schemas.microsoft.com/office/drawing/2014/main" id="{00000000-0008-0000-1000-00000D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13</xdr:row>
          <xdr:rowOff>0</xdr:rowOff>
        </xdr:from>
        <xdr:to>
          <xdr:col>2</xdr:col>
          <xdr:colOff>885825</xdr:colOff>
          <xdr:row>13</xdr:row>
          <xdr:rowOff>219075</xdr:rowOff>
        </xdr:to>
        <xdr:sp macro="" textlink="">
          <xdr:nvSpPr>
            <xdr:cNvPr id="160782" name="Check Box 14" hidden="1">
              <a:extLst>
                <a:ext uri="{63B3BB69-23CF-44E3-9099-C40C66FF867C}">
                  <a14:compatExt spid="_x0000_s160782"/>
                </a:ext>
                <a:ext uri="{FF2B5EF4-FFF2-40B4-BE49-F238E27FC236}">
                  <a16:creationId xmlns:a16="http://schemas.microsoft.com/office/drawing/2014/main" id="{00000000-0008-0000-1000-00000E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0</xdr:rowOff>
        </xdr:from>
        <xdr:to>
          <xdr:col>2</xdr:col>
          <xdr:colOff>542925</xdr:colOff>
          <xdr:row>14</xdr:row>
          <xdr:rowOff>219075</xdr:rowOff>
        </xdr:to>
        <xdr:sp macro="" textlink="">
          <xdr:nvSpPr>
            <xdr:cNvPr id="160783" name="Check Box 15" hidden="1">
              <a:extLst>
                <a:ext uri="{63B3BB69-23CF-44E3-9099-C40C66FF867C}">
                  <a14:compatExt spid="_x0000_s160783"/>
                </a:ext>
                <a:ext uri="{FF2B5EF4-FFF2-40B4-BE49-F238E27FC236}">
                  <a16:creationId xmlns:a16="http://schemas.microsoft.com/office/drawing/2014/main" id="{00000000-0008-0000-1000-00000F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14</xdr:row>
          <xdr:rowOff>0</xdr:rowOff>
        </xdr:from>
        <xdr:to>
          <xdr:col>2</xdr:col>
          <xdr:colOff>885825</xdr:colOff>
          <xdr:row>14</xdr:row>
          <xdr:rowOff>219075</xdr:rowOff>
        </xdr:to>
        <xdr:sp macro="" textlink="">
          <xdr:nvSpPr>
            <xdr:cNvPr id="160784" name="Check Box 16" hidden="1">
              <a:extLst>
                <a:ext uri="{63B3BB69-23CF-44E3-9099-C40C66FF867C}">
                  <a14:compatExt spid="_x0000_s160784"/>
                </a:ext>
                <a:ext uri="{FF2B5EF4-FFF2-40B4-BE49-F238E27FC236}">
                  <a16:creationId xmlns:a16="http://schemas.microsoft.com/office/drawing/2014/main" id="{00000000-0008-0000-1000-000010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15</xdr:row>
          <xdr:rowOff>0</xdr:rowOff>
        </xdr:from>
        <xdr:to>
          <xdr:col>2</xdr:col>
          <xdr:colOff>542925</xdr:colOff>
          <xdr:row>15</xdr:row>
          <xdr:rowOff>219075</xdr:rowOff>
        </xdr:to>
        <xdr:sp macro="" textlink="">
          <xdr:nvSpPr>
            <xdr:cNvPr id="160785" name="Check Box 17" hidden="1">
              <a:extLst>
                <a:ext uri="{63B3BB69-23CF-44E3-9099-C40C66FF867C}">
                  <a14:compatExt spid="_x0000_s160785"/>
                </a:ext>
                <a:ext uri="{FF2B5EF4-FFF2-40B4-BE49-F238E27FC236}">
                  <a16:creationId xmlns:a16="http://schemas.microsoft.com/office/drawing/2014/main" id="{00000000-0008-0000-1000-00001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15</xdr:row>
          <xdr:rowOff>0</xdr:rowOff>
        </xdr:from>
        <xdr:to>
          <xdr:col>2</xdr:col>
          <xdr:colOff>885825</xdr:colOff>
          <xdr:row>15</xdr:row>
          <xdr:rowOff>219075</xdr:rowOff>
        </xdr:to>
        <xdr:sp macro="" textlink="">
          <xdr:nvSpPr>
            <xdr:cNvPr id="160786" name="Check Box 18" hidden="1">
              <a:extLst>
                <a:ext uri="{63B3BB69-23CF-44E3-9099-C40C66FF867C}">
                  <a14:compatExt spid="_x0000_s160786"/>
                </a:ext>
                <a:ext uri="{FF2B5EF4-FFF2-40B4-BE49-F238E27FC236}">
                  <a16:creationId xmlns:a16="http://schemas.microsoft.com/office/drawing/2014/main" id="{00000000-0008-0000-1000-00001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19</xdr:row>
          <xdr:rowOff>0</xdr:rowOff>
        </xdr:from>
        <xdr:to>
          <xdr:col>2</xdr:col>
          <xdr:colOff>542925</xdr:colOff>
          <xdr:row>19</xdr:row>
          <xdr:rowOff>219075</xdr:rowOff>
        </xdr:to>
        <xdr:sp macro="" textlink="">
          <xdr:nvSpPr>
            <xdr:cNvPr id="160787" name="Check Box 19" hidden="1">
              <a:extLst>
                <a:ext uri="{63B3BB69-23CF-44E3-9099-C40C66FF867C}">
                  <a14:compatExt spid="_x0000_s160787"/>
                </a:ext>
                <a:ext uri="{FF2B5EF4-FFF2-40B4-BE49-F238E27FC236}">
                  <a16:creationId xmlns:a16="http://schemas.microsoft.com/office/drawing/2014/main" id="{00000000-0008-0000-1000-00001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19</xdr:row>
          <xdr:rowOff>0</xdr:rowOff>
        </xdr:from>
        <xdr:to>
          <xdr:col>2</xdr:col>
          <xdr:colOff>885825</xdr:colOff>
          <xdr:row>19</xdr:row>
          <xdr:rowOff>219075</xdr:rowOff>
        </xdr:to>
        <xdr:sp macro="" textlink="">
          <xdr:nvSpPr>
            <xdr:cNvPr id="160788" name="Check Box 20" hidden="1">
              <a:extLst>
                <a:ext uri="{63B3BB69-23CF-44E3-9099-C40C66FF867C}">
                  <a14:compatExt spid="_x0000_s160788"/>
                </a:ext>
                <a:ext uri="{FF2B5EF4-FFF2-40B4-BE49-F238E27FC236}">
                  <a16:creationId xmlns:a16="http://schemas.microsoft.com/office/drawing/2014/main" id="{00000000-0008-0000-1000-00001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xdr:row>
          <xdr:rowOff>0</xdr:rowOff>
        </xdr:from>
        <xdr:to>
          <xdr:col>2</xdr:col>
          <xdr:colOff>542925</xdr:colOff>
          <xdr:row>18</xdr:row>
          <xdr:rowOff>219075</xdr:rowOff>
        </xdr:to>
        <xdr:sp macro="" textlink="">
          <xdr:nvSpPr>
            <xdr:cNvPr id="160789" name="Check Box 21" hidden="1">
              <a:extLst>
                <a:ext uri="{63B3BB69-23CF-44E3-9099-C40C66FF867C}">
                  <a14:compatExt spid="_x0000_s160789"/>
                </a:ext>
                <a:ext uri="{FF2B5EF4-FFF2-40B4-BE49-F238E27FC236}">
                  <a16:creationId xmlns:a16="http://schemas.microsoft.com/office/drawing/2014/main" id="{00000000-0008-0000-1000-00001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18</xdr:row>
          <xdr:rowOff>0</xdr:rowOff>
        </xdr:from>
        <xdr:to>
          <xdr:col>2</xdr:col>
          <xdr:colOff>885825</xdr:colOff>
          <xdr:row>18</xdr:row>
          <xdr:rowOff>219075</xdr:rowOff>
        </xdr:to>
        <xdr:sp macro="" textlink="">
          <xdr:nvSpPr>
            <xdr:cNvPr id="160790" name="Check Box 22" hidden="1">
              <a:extLst>
                <a:ext uri="{63B3BB69-23CF-44E3-9099-C40C66FF867C}">
                  <a14:compatExt spid="_x0000_s160790"/>
                </a:ext>
                <a:ext uri="{FF2B5EF4-FFF2-40B4-BE49-F238E27FC236}">
                  <a16:creationId xmlns:a16="http://schemas.microsoft.com/office/drawing/2014/main" id="{00000000-0008-0000-1000-00001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17</xdr:row>
          <xdr:rowOff>0</xdr:rowOff>
        </xdr:from>
        <xdr:to>
          <xdr:col>2</xdr:col>
          <xdr:colOff>542925</xdr:colOff>
          <xdr:row>17</xdr:row>
          <xdr:rowOff>219075</xdr:rowOff>
        </xdr:to>
        <xdr:sp macro="" textlink="">
          <xdr:nvSpPr>
            <xdr:cNvPr id="160791" name="Check Box 23" hidden="1">
              <a:extLst>
                <a:ext uri="{63B3BB69-23CF-44E3-9099-C40C66FF867C}">
                  <a14:compatExt spid="_x0000_s160791"/>
                </a:ext>
                <a:ext uri="{FF2B5EF4-FFF2-40B4-BE49-F238E27FC236}">
                  <a16:creationId xmlns:a16="http://schemas.microsoft.com/office/drawing/2014/main" id="{00000000-0008-0000-1000-00001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17</xdr:row>
          <xdr:rowOff>0</xdr:rowOff>
        </xdr:from>
        <xdr:to>
          <xdr:col>2</xdr:col>
          <xdr:colOff>885825</xdr:colOff>
          <xdr:row>17</xdr:row>
          <xdr:rowOff>219075</xdr:rowOff>
        </xdr:to>
        <xdr:sp macro="" textlink="">
          <xdr:nvSpPr>
            <xdr:cNvPr id="160792" name="Check Box 24" hidden="1">
              <a:extLst>
                <a:ext uri="{63B3BB69-23CF-44E3-9099-C40C66FF867C}">
                  <a14:compatExt spid="_x0000_s160792"/>
                </a:ext>
                <a:ext uri="{FF2B5EF4-FFF2-40B4-BE49-F238E27FC236}">
                  <a16:creationId xmlns:a16="http://schemas.microsoft.com/office/drawing/2014/main" id="{00000000-0008-0000-1000-00001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16</xdr:row>
          <xdr:rowOff>0</xdr:rowOff>
        </xdr:from>
        <xdr:to>
          <xdr:col>2</xdr:col>
          <xdr:colOff>542925</xdr:colOff>
          <xdr:row>16</xdr:row>
          <xdr:rowOff>219075</xdr:rowOff>
        </xdr:to>
        <xdr:sp macro="" textlink="">
          <xdr:nvSpPr>
            <xdr:cNvPr id="160793" name="Check Box 25" hidden="1">
              <a:extLst>
                <a:ext uri="{63B3BB69-23CF-44E3-9099-C40C66FF867C}">
                  <a14:compatExt spid="_x0000_s160793"/>
                </a:ext>
                <a:ext uri="{FF2B5EF4-FFF2-40B4-BE49-F238E27FC236}">
                  <a16:creationId xmlns:a16="http://schemas.microsoft.com/office/drawing/2014/main" id="{00000000-0008-0000-1000-00001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16</xdr:row>
          <xdr:rowOff>0</xdr:rowOff>
        </xdr:from>
        <xdr:to>
          <xdr:col>2</xdr:col>
          <xdr:colOff>885825</xdr:colOff>
          <xdr:row>16</xdr:row>
          <xdr:rowOff>219075</xdr:rowOff>
        </xdr:to>
        <xdr:sp macro="" textlink="">
          <xdr:nvSpPr>
            <xdr:cNvPr id="160794" name="Check Box 26" hidden="1">
              <a:extLst>
                <a:ext uri="{63B3BB69-23CF-44E3-9099-C40C66FF867C}">
                  <a14:compatExt spid="_x0000_s160794"/>
                </a:ext>
                <a:ext uri="{FF2B5EF4-FFF2-40B4-BE49-F238E27FC236}">
                  <a16:creationId xmlns:a16="http://schemas.microsoft.com/office/drawing/2014/main" id="{00000000-0008-0000-1000-00001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20</xdr:row>
          <xdr:rowOff>19050</xdr:rowOff>
        </xdr:from>
        <xdr:to>
          <xdr:col>2</xdr:col>
          <xdr:colOff>542925</xdr:colOff>
          <xdr:row>20</xdr:row>
          <xdr:rowOff>238125</xdr:rowOff>
        </xdr:to>
        <xdr:sp macro="" textlink="">
          <xdr:nvSpPr>
            <xdr:cNvPr id="160795" name="Check Box 27" hidden="1">
              <a:extLst>
                <a:ext uri="{63B3BB69-23CF-44E3-9099-C40C66FF867C}">
                  <a14:compatExt spid="_x0000_s160795"/>
                </a:ext>
                <a:ext uri="{FF2B5EF4-FFF2-40B4-BE49-F238E27FC236}">
                  <a16:creationId xmlns:a16="http://schemas.microsoft.com/office/drawing/2014/main" id="{00000000-0008-0000-1000-00001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20</xdr:row>
          <xdr:rowOff>47625</xdr:rowOff>
        </xdr:from>
        <xdr:to>
          <xdr:col>2</xdr:col>
          <xdr:colOff>885825</xdr:colOff>
          <xdr:row>20</xdr:row>
          <xdr:rowOff>228600</xdr:rowOff>
        </xdr:to>
        <xdr:sp macro="" textlink="">
          <xdr:nvSpPr>
            <xdr:cNvPr id="160796" name="Check Box 28" hidden="1">
              <a:extLst>
                <a:ext uri="{63B3BB69-23CF-44E3-9099-C40C66FF867C}">
                  <a14:compatExt spid="_x0000_s160796"/>
                </a:ext>
                <a:ext uri="{FF2B5EF4-FFF2-40B4-BE49-F238E27FC236}">
                  <a16:creationId xmlns:a16="http://schemas.microsoft.com/office/drawing/2014/main" id="{00000000-0008-0000-1000-00001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2</xdr:col>
      <xdr:colOff>145326</xdr:colOff>
      <xdr:row>1</xdr:row>
      <xdr:rowOff>96405</xdr:rowOff>
    </xdr:from>
    <xdr:to>
      <xdr:col>3</xdr:col>
      <xdr:colOff>398317</xdr:colOff>
      <xdr:row>2</xdr:row>
      <xdr:rowOff>333577</xdr:rowOff>
    </xdr:to>
    <xdr:pic>
      <xdr:nvPicPr>
        <xdr:cNvPr id="2" name="Picture 1" descr="45mm_national_grid_300">
          <a:extLst>
            <a:ext uri="{FF2B5EF4-FFF2-40B4-BE49-F238E27FC236}">
              <a16:creationId xmlns:a16="http://schemas.microsoft.com/office/drawing/2014/main" id="{033AA09A-633C-4C79-8A3F-70ABA4BE79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5401" y="286905"/>
          <a:ext cx="1662691" cy="589597"/>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s://www.nyserda.ny.gov/ny/disadvantaged-communitie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4.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4.xml"/><Relationship Id="rId16" Type="http://schemas.openxmlformats.org/officeDocument/2006/relationships/ctrlProp" Target="../ctrlProps/ctrlProp27.xml"/><Relationship Id="rId1" Type="http://schemas.openxmlformats.org/officeDocument/2006/relationships/printerSettings" Target="../printerSettings/printerSettings1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26" Type="http://schemas.openxmlformats.org/officeDocument/2006/relationships/ctrlProp" Target="../ctrlProps/ctrlProp51.xml"/><Relationship Id="rId3" Type="http://schemas.openxmlformats.org/officeDocument/2006/relationships/vmlDrawing" Target="../drawings/vmlDrawing5.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2" Type="http://schemas.openxmlformats.org/officeDocument/2006/relationships/drawing" Target="../drawings/drawing6.xml"/><Relationship Id="rId16" Type="http://schemas.openxmlformats.org/officeDocument/2006/relationships/ctrlProp" Target="../ctrlProps/ctrlProp41.xml"/><Relationship Id="rId20" Type="http://schemas.openxmlformats.org/officeDocument/2006/relationships/ctrlProp" Target="../ctrlProps/ctrlProp45.xml"/><Relationship Id="rId29" Type="http://schemas.openxmlformats.org/officeDocument/2006/relationships/ctrlProp" Target="../ctrlProps/ctrlProp54.xml"/><Relationship Id="rId1" Type="http://schemas.openxmlformats.org/officeDocument/2006/relationships/printerSettings" Target="../printerSettings/printerSettings14.bin"/><Relationship Id="rId6" Type="http://schemas.openxmlformats.org/officeDocument/2006/relationships/ctrlProp" Target="../ctrlProps/ctrlProp31.xml"/><Relationship Id="rId11" Type="http://schemas.openxmlformats.org/officeDocument/2006/relationships/ctrlProp" Target="../ctrlProps/ctrlProp36.xml"/><Relationship Id="rId24" Type="http://schemas.openxmlformats.org/officeDocument/2006/relationships/ctrlProp" Target="../ctrlProps/ctrlProp49.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10" Type="http://schemas.openxmlformats.org/officeDocument/2006/relationships/ctrlProp" Target="../ctrlProps/ctrlProp35.xml"/><Relationship Id="rId19" Type="http://schemas.openxmlformats.org/officeDocument/2006/relationships/ctrlProp" Target="../ctrlProps/ctrlProp44.xml"/><Relationship Id="rId31" Type="http://schemas.openxmlformats.org/officeDocument/2006/relationships/ctrlProp" Target="../ctrlProps/ctrlProp56.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26" Type="http://schemas.openxmlformats.org/officeDocument/2006/relationships/ctrlProp" Target="../ctrlProps/ctrlProp79.xml"/><Relationship Id="rId3" Type="http://schemas.openxmlformats.org/officeDocument/2006/relationships/vmlDrawing" Target="../drawings/vmlDrawing6.vml"/><Relationship Id="rId21" Type="http://schemas.openxmlformats.org/officeDocument/2006/relationships/ctrlProp" Target="../ctrlProps/ctrlProp74.x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5" Type="http://schemas.openxmlformats.org/officeDocument/2006/relationships/ctrlProp" Target="../ctrlProps/ctrlProp78.xml"/><Relationship Id="rId2" Type="http://schemas.openxmlformats.org/officeDocument/2006/relationships/drawing" Target="../drawings/drawing8.xml"/><Relationship Id="rId16" Type="http://schemas.openxmlformats.org/officeDocument/2006/relationships/ctrlProp" Target="../ctrlProps/ctrlProp69.xml"/><Relationship Id="rId20" Type="http://schemas.openxmlformats.org/officeDocument/2006/relationships/ctrlProp" Target="../ctrlProps/ctrlProp73.xml"/><Relationship Id="rId29" Type="http://schemas.openxmlformats.org/officeDocument/2006/relationships/ctrlProp" Target="../ctrlProps/ctrlProp82.xml"/><Relationship Id="rId1" Type="http://schemas.openxmlformats.org/officeDocument/2006/relationships/printerSettings" Target="../printerSettings/printerSettings16.bin"/><Relationship Id="rId6" Type="http://schemas.openxmlformats.org/officeDocument/2006/relationships/ctrlProp" Target="../ctrlProps/ctrlProp59.xml"/><Relationship Id="rId11" Type="http://schemas.openxmlformats.org/officeDocument/2006/relationships/ctrlProp" Target="../ctrlProps/ctrlProp64.xml"/><Relationship Id="rId24" Type="http://schemas.openxmlformats.org/officeDocument/2006/relationships/ctrlProp" Target="../ctrlProps/ctrlProp77.xml"/><Relationship Id="rId5" Type="http://schemas.openxmlformats.org/officeDocument/2006/relationships/ctrlProp" Target="../ctrlProps/ctrlProp58.xml"/><Relationship Id="rId15" Type="http://schemas.openxmlformats.org/officeDocument/2006/relationships/ctrlProp" Target="../ctrlProps/ctrlProp68.xml"/><Relationship Id="rId23" Type="http://schemas.openxmlformats.org/officeDocument/2006/relationships/ctrlProp" Target="../ctrlProps/ctrlProp76.xml"/><Relationship Id="rId28" Type="http://schemas.openxmlformats.org/officeDocument/2006/relationships/ctrlProp" Target="../ctrlProps/ctrlProp81.xml"/><Relationship Id="rId10" Type="http://schemas.openxmlformats.org/officeDocument/2006/relationships/ctrlProp" Target="../ctrlProps/ctrlProp63.xml"/><Relationship Id="rId19" Type="http://schemas.openxmlformats.org/officeDocument/2006/relationships/ctrlProp" Target="../ctrlProps/ctrlProp72.xml"/><Relationship Id="rId31" Type="http://schemas.openxmlformats.org/officeDocument/2006/relationships/ctrlProp" Target="../ctrlProps/ctrlProp84.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 Id="rId22" Type="http://schemas.openxmlformats.org/officeDocument/2006/relationships/ctrlProp" Target="../ctrlProps/ctrlProp75.xml"/><Relationship Id="rId27" Type="http://schemas.openxmlformats.org/officeDocument/2006/relationships/ctrlProp" Target="../ctrlProps/ctrlProp80.xml"/><Relationship Id="rId30" Type="http://schemas.openxmlformats.org/officeDocument/2006/relationships/ctrlProp" Target="../ctrlProps/ctrlProp83.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26" Type="http://schemas.openxmlformats.org/officeDocument/2006/relationships/ctrlProp" Target="../ctrlProps/ctrlProp107.xml"/><Relationship Id="rId3" Type="http://schemas.openxmlformats.org/officeDocument/2006/relationships/vmlDrawing" Target="../drawings/vmlDrawing7.v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5" Type="http://schemas.openxmlformats.org/officeDocument/2006/relationships/ctrlProp" Target="../ctrlProps/ctrlProp106.xml"/><Relationship Id="rId2" Type="http://schemas.openxmlformats.org/officeDocument/2006/relationships/drawing" Target="../drawings/drawing10.xml"/><Relationship Id="rId16" Type="http://schemas.openxmlformats.org/officeDocument/2006/relationships/ctrlProp" Target="../ctrlProps/ctrlProp97.xml"/><Relationship Id="rId20" Type="http://schemas.openxmlformats.org/officeDocument/2006/relationships/ctrlProp" Target="../ctrlProps/ctrlProp101.xml"/><Relationship Id="rId29" Type="http://schemas.openxmlformats.org/officeDocument/2006/relationships/ctrlProp" Target="../ctrlProps/ctrlProp110.xml"/><Relationship Id="rId1" Type="http://schemas.openxmlformats.org/officeDocument/2006/relationships/printerSettings" Target="../printerSettings/printerSettings18.bin"/><Relationship Id="rId6" Type="http://schemas.openxmlformats.org/officeDocument/2006/relationships/ctrlProp" Target="../ctrlProps/ctrlProp87.xml"/><Relationship Id="rId11" Type="http://schemas.openxmlformats.org/officeDocument/2006/relationships/ctrlProp" Target="../ctrlProps/ctrlProp92.xml"/><Relationship Id="rId24" Type="http://schemas.openxmlformats.org/officeDocument/2006/relationships/ctrlProp" Target="../ctrlProps/ctrlProp105.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28" Type="http://schemas.openxmlformats.org/officeDocument/2006/relationships/ctrlProp" Target="../ctrlProps/ctrlProp109.xml"/><Relationship Id="rId10" Type="http://schemas.openxmlformats.org/officeDocument/2006/relationships/ctrlProp" Target="../ctrlProps/ctrlProp91.xml"/><Relationship Id="rId19" Type="http://schemas.openxmlformats.org/officeDocument/2006/relationships/ctrlProp" Target="../ctrlProps/ctrlProp100.xml"/><Relationship Id="rId31" Type="http://schemas.openxmlformats.org/officeDocument/2006/relationships/ctrlProp" Target="../ctrlProps/ctrlProp112.xml"/><Relationship Id="rId4" Type="http://schemas.openxmlformats.org/officeDocument/2006/relationships/ctrlProp" Target="../ctrlProps/ctrlProp85.x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 Id="rId27" Type="http://schemas.openxmlformats.org/officeDocument/2006/relationships/ctrlProp" Target="../ctrlProps/ctrlProp108.xml"/><Relationship Id="rId30" Type="http://schemas.openxmlformats.org/officeDocument/2006/relationships/ctrlProp" Target="../ctrlProps/ctrlProp1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3" Type="http://schemas.openxmlformats.org/officeDocument/2006/relationships/ctrlProp" Target="../ctrlProps/ctrlProp122.xml"/><Relationship Id="rId18" Type="http://schemas.openxmlformats.org/officeDocument/2006/relationships/ctrlProp" Target="../ctrlProps/ctrlProp127.xml"/><Relationship Id="rId26" Type="http://schemas.openxmlformats.org/officeDocument/2006/relationships/ctrlProp" Target="../ctrlProps/ctrlProp135.xml"/><Relationship Id="rId39" Type="http://schemas.openxmlformats.org/officeDocument/2006/relationships/ctrlProp" Target="../ctrlProps/ctrlProp148.xml"/><Relationship Id="rId21" Type="http://schemas.openxmlformats.org/officeDocument/2006/relationships/ctrlProp" Target="../ctrlProps/ctrlProp130.xml"/><Relationship Id="rId34" Type="http://schemas.openxmlformats.org/officeDocument/2006/relationships/ctrlProp" Target="../ctrlProps/ctrlProp143.xml"/><Relationship Id="rId42" Type="http://schemas.openxmlformats.org/officeDocument/2006/relationships/ctrlProp" Target="../ctrlProps/ctrlProp151.xml"/><Relationship Id="rId47" Type="http://schemas.openxmlformats.org/officeDocument/2006/relationships/ctrlProp" Target="../ctrlProps/ctrlProp156.xml"/><Relationship Id="rId50" Type="http://schemas.openxmlformats.org/officeDocument/2006/relationships/ctrlProp" Target="../ctrlProps/ctrlProp159.xml"/><Relationship Id="rId7" Type="http://schemas.openxmlformats.org/officeDocument/2006/relationships/ctrlProp" Target="../ctrlProps/ctrlProp116.xml"/><Relationship Id="rId2" Type="http://schemas.openxmlformats.org/officeDocument/2006/relationships/drawing" Target="../drawings/drawing12.xml"/><Relationship Id="rId16" Type="http://schemas.openxmlformats.org/officeDocument/2006/relationships/ctrlProp" Target="../ctrlProps/ctrlProp125.xml"/><Relationship Id="rId29" Type="http://schemas.openxmlformats.org/officeDocument/2006/relationships/ctrlProp" Target="../ctrlProps/ctrlProp138.xml"/><Relationship Id="rId11" Type="http://schemas.openxmlformats.org/officeDocument/2006/relationships/ctrlProp" Target="../ctrlProps/ctrlProp120.xml"/><Relationship Id="rId24" Type="http://schemas.openxmlformats.org/officeDocument/2006/relationships/ctrlProp" Target="../ctrlProps/ctrlProp133.xml"/><Relationship Id="rId32" Type="http://schemas.openxmlformats.org/officeDocument/2006/relationships/ctrlProp" Target="../ctrlProps/ctrlProp141.xml"/><Relationship Id="rId37" Type="http://schemas.openxmlformats.org/officeDocument/2006/relationships/ctrlProp" Target="../ctrlProps/ctrlProp146.xml"/><Relationship Id="rId40" Type="http://schemas.openxmlformats.org/officeDocument/2006/relationships/ctrlProp" Target="../ctrlProps/ctrlProp149.xml"/><Relationship Id="rId45" Type="http://schemas.openxmlformats.org/officeDocument/2006/relationships/ctrlProp" Target="../ctrlProps/ctrlProp154.xml"/><Relationship Id="rId53" Type="http://schemas.openxmlformats.org/officeDocument/2006/relationships/ctrlProp" Target="../ctrlProps/ctrlProp162.xml"/><Relationship Id="rId5" Type="http://schemas.openxmlformats.org/officeDocument/2006/relationships/ctrlProp" Target="../ctrlProps/ctrlProp114.xml"/><Relationship Id="rId10" Type="http://schemas.openxmlformats.org/officeDocument/2006/relationships/ctrlProp" Target="../ctrlProps/ctrlProp119.xml"/><Relationship Id="rId19" Type="http://schemas.openxmlformats.org/officeDocument/2006/relationships/ctrlProp" Target="../ctrlProps/ctrlProp128.xml"/><Relationship Id="rId31" Type="http://schemas.openxmlformats.org/officeDocument/2006/relationships/ctrlProp" Target="../ctrlProps/ctrlProp140.xml"/><Relationship Id="rId44" Type="http://schemas.openxmlformats.org/officeDocument/2006/relationships/ctrlProp" Target="../ctrlProps/ctrlProp153.xml"/><Relationship Id="rId52" Type="http://schemas.openxmlformats.org/officeDocument/2006/relationships/ctrlProp" Target="../ctrlProps/ctrlProp161.xml"/><Relationship Id="rId4" Type="http://schemas.openxmlformats.org/officeDocument/2006/relationships/ctrlProp" Target="../ctrlProps/ctrlProp113.xml"/><Relationship Id="rId9" Type="http://schemas.openxmlformats.org/officeDocument/2006/relationships/ctrlProp" Target="../ctrlProps/ctrlProp118.xml"/><Relationship Id="rId14" Type="http://schemas.openxmlformats.org/officeDocument/2006/relationships/ctrlProp" Target="../ctrlProps/ctrlProp123.xml"/><Relationship Id="rId22" Type="http://schemas.openxmlformats.org/officeDocument/2006/relationships/ctrlProp" Target="../ctrlProps/ctrlProp131.xml"/><Relationship Id="rId27" Type="http://schemas.openxmlformats.org/officeDocument/2006/relationships/ctrlProp" Target="../ctrlProps/ctrlProp136.xml"/><Relationship Id="rId30" Type="http://schemas.openxmlformats.org/officeDocument/2006/relationships/ctrlProp" Target="../ctrlProps/ctrlProp139.xml"/><Relationship Id="rId35" Type="http://schemas.openxmlformats.org/officeDocument/2006/relationships/ctrlProp" Target="../ctrlProps/ctrlProp144.xml"/><Relationship Id="rId43" Type="http://schemas.openxmlformats.org/officeDocument/2006/relationships/ctrlProp" Target="../ctrlProps/ctrlProp152.xml"/><Relationship Id="rId48" Type="http://schemas.openxmlformats.org/officeDocument/2006/relationships/ctrlProp" Target="../ctrlProps/ctrlProp157.xml"/><Relationship Id="rId8" Type="http://schemas.openxmlformats.org/officeDocument/2006/relationships/ctrlProp" Target="../ctrlProps/ctrlProp117.xml"/><Relationship Id="rId51" Type="http://schemas.openxmlformats.org/officeDocument/2006/relationships/ctrlProp" Target="../ctrlProps/ctrlProp160.xml"/><Relationship Id="rId3" Type="http://schemas.openxmlformats.org/officeDocument/2006/relationships/vmlDrawing" Target="../drawings/vmlDrawing8.vml"/><Relationship Id="rId12" Type="http://schemas.openxmlformats.org/officeDocument/2006/relationships/ctrlProp" Target="../ctrlProps/ctrlProp121.xml"/><Relationship Id="rId17" Type="http://schemas.openxmlformats.org/officeDocument/2006/relationships/ctrlProp" Target="../ctrlProps/ctrlProp126.xml"/><Relationship Id="rId25" Type="http://schemas.openxmlformats.org/officeDocument/2006/relationships/ctrlProp" Target="../ctrlProps/ctrlProp134.xml"/><Relationship Id="rId33" Type="http://schemas.openxmlformats.org/officeDocument/2006/relationships/ctrlProp" Target="../ctrlProps/ctrlProp142.xml"/><Relationship Id="rId38" Type="http://schemas.openxmlformats.org/officeDocument/2006/relationships/ctrlProp" Target="../ctrlProps/ctrlProp147.xml"/><Relationship Id="rId46" Type="http://schemas.openxmlformats.org/officeDocument/2006/relationships/ctrlProp" Target="../ctrlProps/ctrlProp155.xml"/><Relationship Id="rId20" Type="http://schemas.openxmlformats.org/officeDocument/2006/relationships/ctrlProp" Target="../ctrlProps/ctrlProp129.xml"/><Relationship Id="rId41" Type="http://schemas.openxmlformats.org/officeDocument/2006/relationships/ctrlProp" Target="../ctrlProps/ctrlProp150.xml"/><Relationship Id="rId1" Type="http://schemas.openxmlformats.org/officeDocument/2006/relationships/printerSettings" Target="../printerSettings/printerSettings20.bin"/><Relationship Id="rId6" Type="http://schemas.openxmlformats.org/officeDocument/2006/relationships/ctrlProp" Target="../ctrlProps/ctrlProp115.xml"/><Relationship Id="rId15" Type="http://schemas.openxmlformats.org/officeDocument/2006/relationships/ctrlProp" Target="../ctrlProps/ctrlProp124.xml"/><Relationship Id="rId23" Type="http://schemas.openxmlformats.org/officeDocument/2006/relationships/ctrlProp" Target="../ctrlProps/ctrlProp132.xml"/><Relationship Id="rId28" Type="http://schemas.openxmlformats.org/officeDocument/2006/relationships/ctrlProp" Target="../ctrlProps/ctrlProp137.xml"/><Relationship Id="rId36" Type="http://schemas.openxmlformats.org/officeDocument/2006/relationships/ctrlProp" Target="../ctrlProps/ctrlProp145.xml"/><Relationship Id="rId49" Type="http://schemas.openxmlformats.org/officeDocument/2006/relationships/ctrlProp" Target="../ctrlProps/ctrlProp158.xml"/></Relationships>
</file>

<file path=xl/worksheets/_rels/sheet22.xml.rels><?xml version="1.0" encoding="UTF-8" standalone="yes"?>
<Relationships xmlns="http://schemas.openxmlformats.org/package/2006/relationships"><Relationship Id="rId13" Type="http://schemas.openxmlformats.org/officeDocument/2006/relationships/ctrlProp" Target="../ctrlProps/ctrlProp172.xml"/><Relationship Id="rId18" Type="http://schemas.openxmlformats.org/officeDocument/2006/relationships/ctrlProp" Target="../ctrlProps/ctrlProp177.xml"/><Relationship Id="rId26" Type="http://schemas.openxmlformats.org/officeDocument/2006/relationships/ctrlProp" Target="../ctrlProps/ctrlProp185.xml"/><Relationship Id="rId39" Type="http://schemas.openxmlformats.org/officeDocument/2006/relationships/ctrlProp" Target="../ctrlProps/ctrlProp198.xml"/><Relationship Id="rId21" Type="http://schemas.openxmlformats.org/officeDocument/2006/relationships/ctrlProp" Target="../ctrlProps/ctrlProp180.xml"/><Relationship Id="rId34" Type="http://schemas.openxmlformats.org/officeDocument/2006/relationships/ctrlProp" Target="../ctrlProps/ctrlProp193.xml"/><Relationship Id="rId7" Type="http://schemas.openxmlformats.org/officeDocument/2006/relationships/ctrlProp" Target="../ctrlProps/ctrlProp166.xml"/><Relationship Id="rId2" Type="http://schemas.openxmlformats.org/officeDocument/2006/relationships/drawing" Target="../drawings/drawing13.xml"/><Relationship Id="rId16" Type="http://schemas.openxmlformats.org/officeDocument/2006/relationships/ctrlProp" Target="../ctrlProps/ctrlProp175.xml"/><Relationship Id="rId20" Type="http://schemas.openxmlformats.org/officeDocument/2006/relationships/ctrlProp" Target="../ctrlProps/ctrlProp179.xml"/><Relationship Id="rId29" Type="http://schemas.openxmlformats.org/officeDocument/2006/relationships/ctrlProp" Target="../ctrlProps/ctrlProp188.xml"/><Relationship Id="rId41" Type="http://schemas.openxmlformats.org/officeDocument/2006/relationships/ctrlProp" Target="../ctrlProps/ctrlProp200.xml"/><Relationship Id="rId1" Type="http://schemas.openxmlformats.org/officeDocument/2006/relationships/printerSettings" Target="../printerSettings/printerSettings21.bin"/><Relationship Id="rId6" Type="http://schemas.openxmlformats.org/officeDocument/2006/relationships/ctrlProp" Target="../ctrlProps/ctrlProp165.xml"/><Relationship Id="rId11" Type="http://schemas.openxmlformats.org/officeDocument/2006/relationships/ctrlProp" Target="../ctrlProps/ctrlProp170.xml"/><Relationship Id="rId24" Type="http://schemas.openxmlformats.org/officeDocument/2006/relationships/ctrlProp" Target="../ctrlProps/ctrlProp183.xml"/><Relationship Id="rId32" Type="http://schemas.openxmlformats.org/officeDocument/2006/relationships/ctrlProp" Target="../ctrlProps/ctrlProp191.xml"/><Relationship Id="rId37" Type="http://schemas.openxmlformats.org/officeDocument/2006/relationships/ctrlProp" Target="../ctrlProps/ctrlProp196.xml"/><Relationship Id="rId40" Type="http://schemas.openxmlformats.org/officeDocument/2006/relationships/ctrlProp" Target="../ctrlProps/ctrlProp199.xml"/><Relationship Id="rId5" Type="http://schemas.openxmlformats.org/officeDocument/2006/relationships/ctrlProp" Target="../ctrlProps/ctrlProp164.xml"/><Relationship Id="rId15" Type="http://schemas.openxmlformats.org/officeDocument/2006/relationships/ctrlProp" Target="../ctrlProps/ctrlProp174.xml"/><Relationship Id="rId23" Type="http://schemas.openxmlformats.org/officeDocument/2006/relationships/ctrlProp" Target="../ctrlProps/ctrlProp182.xml"/><Relationship Id="rId28" Type="http://schemas.openxmlformats.org/officeDocument/2006/relationships/ctrlProp" Target="../ctrlProps/ctrlProp187.xml"/><Relationship Id="rId36" Type="http://schemas.openxmlformats.org/officeDocument/2006/relationships/ctrlProp" Target="../ctrlProps/ctrlProp195.xml"/><Relationship Id="rId10" Type="http://schemas.openxmlformats.org/officeDocument/2006/relationships/ctrlProp" Target="../ctrlProps/ctrlProp169.xml"/><Relationship Id="rId19" Type="http://schemas.openxmlformats.org/officeDocument/2006/relationships/ctrlProp" Target="../ctrlProps/ctrlProp178.xml"/><Relationship Id="rId31" Type="http://schemas.openxmlformats.org/officeDocument/2006/relationships/ctrlProp" Target="../ctrlProps/ctrlProp190.xml"/><Relationship Id="rId4" Type="http://schemas.openxmlformats.org/officeDocument/2006/relationships/ctrlProp" Target="../ctrlProps/ctrlProp163.xml"/><Relationship Id="rId9" Type="http://schemas.openxmlformats.org/officeDocument/2006/relationships/ctrlProp" Target="../ctrlProps/ctrlProp168.xml"/><Relationship Id="rId14" Type="http://schemas.openxmlformats.org/officeDocument/2006/relationships/ctrlProp" Target="../ctrlProps/ctrlProp173.xml"/><Relationship Id="rId22" Type="http://schemas.openxmlformats.org/officeDocument/2006/relationships/ctrlProp" Target="../ctrlProps/ctrlProp181.xml"/><Relationship Id="rId27" Type="http://schemas.openxmlformats.org/officeDocument/2006/relationships/ctrlProp" Target="../ctrlProps/ctrlProp186.xml"/><Relationship Id="rId30" Type="http://schemas.openxmlformats.org/officeDocument/2006/relationships/ctrlProp" Target="../ctrlProps/ctrlProp189.xml"/><Relationship Id="rId35" Type="http://schemas.openxmlformats.org/officeDocument/2006/relationships/ctrlProp" Target="../ctrlProps/ctrlProp194.xml"/><Relationship Id="rId8" Type="http://schemas.openxmlformats.org/officeDocument/2006/relationships/ctrlProp" Target="../ctrlProps/ctrlProp167.xml"/><Relationship Id="rId3" Type="http://schemas.openxmlformats.org/officeDocument/2006/relationships/vmlDrawing" Target="../drawings/vmlDrawing9.vml"/><Relationship Id="rId12" Type="http://schemas.openxmlformats.org/officeDocument/2006/relationships/ctrlProp" Target="../ctrlProps/ctrlProp171.xml"/><Relationship Id="rId17" Type="http://schemas.openxmlformats.org/officeDocument/2006/relationships/ctrlProp" Target="../ctrlProps/ctrlProp176.xml"/><Relationship Id="rId25" Type="http://schemas.openxmlformats.org/officeDocument/2006/relationships/ctrlProp" Target="../ctrlProps/ctrlProp184.xml"/><Relationship Id="rId33" Type="http://schemas.openxmlformats.org/officeDocument/2006/relationships/ctrlProp" Target="../ctrlProps/ctrlProp192.xml"/><Relationship Id="rId38" Type="http://schemas.openxmlformats.org/officeDocument/2006/relationships/ctrlProp" Target="../ctrlProps/ctrlProp197.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18" Type="http://schemas.openxmlformats.org/officeDocument/2006/relationships/ctrlProp" Target="../ctrlProps/ctrlProp215.xml"/><Relationship Id="rId26" Type="http://schemas.openxmlformats.org/officeDocument/2006/relationships/ctrlProp" Target="../ctrlProps/ctrlProp223.xml"/><Relationship Id="rId3" Type="http://schemas.openxmlformats.org/officeDocument/2006/relationships/vmlDrawing" Target="../drawings/vmlDrawing10.vml"/><Relationship Id="rId21" Type="http://schemas.openxmlformats.org/officeDocument/2006/relationships/ctrlProp" Target="../ctrlProps/ctrlProp218.xml"/><Relationship Id="rId7" Type="http://schemas.openxmlformats.org/officeDocument/2006/relationships/ctrlProp" Target="../ctrlProps/ctrlProp204.xml"/><Relationship Id="rId12" Type="http://schemas.openxmlformats.org/officeDocument/2006/relationships/ctrlProp" Target="../ctrlProps/ctrlProp209.xml"/><Relationship Id="rId17" Type="http://schemas.openxmlformats.org/officeDocument/2006/relationships/ctrlProp" Target="../ctrlProps/ctrlProp214.xml"/><Relationship Id="rId25" Type="http://schemas.openxmlformats.org/officeDocument/2006/relationships/ctrlProp" Target="../ctrlProps/ctrlProp222.xml"/><Relationship Id="rId2" Type="http://schemas.openxmlformats.org/officeDocument/2006/relationships/drawing" Target="../drawings/drawing15.xml"/><Relationship Id="rId16" Type="http://schemas.openxmlformats.org/officeDocument/2006/relationships/ctrlProp" Target="../ctrlProps/ctrlProp213.xml"/><Relationship Id="rId20" Type="http://schemas.openxmlformats.org/officeDocument/2006/relationships/ctrlProp" Target="../ctrlProps/ctrlProp217.xml"/><Relationship Id="rId29" Type="http://schemas.openxmlformats.org/officeDocument/2006/relationships/ctrlProp" Target="../ctrlProps/ctrlProp226.xml"/><Relationship Id="rId1" Type="http://schemas.openxmlformats.org/officeDocument/2006/relationships/printerSettings" Target="../printerSettings/printerSettings23.bin"/><Relationship Id="rId6" Type="http://schemas.openxmlformats.org/officeDocument/2006/relationships/ctrlProp" Target="../ctrlProps/ctrlProp203.xml"/><Relationship Id="rId11" Type="http://schemas.openxmlformats.org/officeDocument/2006/relationships/ctrlProp" Target="../ctrlProps/ctrlProp208.xml"/><Relationship Id="rId24" Type="http://schemas.openxmlformats.org/officeDocument/2006/relationships/ctrlProp" Target="../ctrlProps/ctrlProp221.xml"/><Relationship Id="rId5" Type="http://schemas.openxmlformats.org/officeDocument/2006/relationships/ctrlProp" Target="../ctrlProps/ctrlProp202.xml"/><Relationship Id="rId15" Type="http://schemas.openxmlformats.org/officeDocument/2006/relationships/ctrlProp" Target="../ctrlProps/ctrlProp212.xml"/><Relationship Id="rId23" Type="http://schemas.openxmlformats.org/officeDocument/2006/relationships/ctrlProp" Target="../ctrlProps/ctrlProp220.xml"/><Relationship Id="rId28" Type="http://schemas.openxmlformats.org/officeDocument/2006/relationships/ctrlProp" Target="../ctrlProps/ctrlProp225.xml"/><Relationship Id="rId10" Type="http://schemas.openxmlformats.org/officeDocument/2006/relationships/ctrlProp" Target="../ctrlProps/ctrlProp207.xml"/><Relationship Id="rId19" Type="http://schemas.openxmlformats.org/officeDocument/2006/relationships/ctrlProp" Target="../ctrlProps/ctrlProp216.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 Id="rId22" Type="http://schemas.openxmlformats.org/officeDocument/2006/relationships/ctrlProp" Target="../ctrlProps/ctrlProp219.xml"/><Relationship Id="rId27" Type="http://schemas.openxmlformats.org/officeDocument/2006/relationships/ctrlProp" Target="../ctrlProps/ctrlProp2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236.xml"/><Relationship Id="rId18" Type="http://schemas.openxmlformats.org/officeDocument/2006/relationships/ctrlProp" Target="../ctrlProps/ctrlProp241.xml"/><Relationship Id="rId26" Type="http://schemas.openxmlformats.org/officeDocument/2006/relationships/ctrlProp" Target="../ctrlProps/ctrlProp249.xml"/><Relationship Id="rId39" Type="http://schemas.openxmlformats.org/officeDocument/2006/relationships/ctrlProp" Target="../ctrlProps/ctrlProp262.xml"/><Relationship Id="rId21" Type="http://schemas.openxmlformats.org/officeDocument/2006/relationships/ctrlProp" Target="../ctrlProps/ctrlProp244.xml"/><Relationship Id="rId34" Type="http://schemas.openxmlformats.org/officeDocument/2006/relationships/ctrlProp" Target="../ctrlProps/ctrlProp257.xml"/><Relationship Id="rId7" Type="http://schemas.openxmlformats.org/officeDocument/2006/relationships/ctrlProp" Target="../ctrlProps/ctrlProp230.xml"/><Relationship Id="rId12" Type="http://schemas.openxmlformats.org/officeDocument/2006/relationships/ctrlProp" Target="../ctrlProps/ctrlProp235.xml"/><Relationship Id="rId17" Type="http://schemas.openxmlformats.org/officeDocument/2006/relationships/ctrlProp" Target="../ctrlProps/ctrlProp240.xml"/><Relationship Id="rId25" Type="http://schemas.openxmlformats.org/officeDocument/2006/relationships/ctrlProp" Target="../ctrlProps/ctrlProp248.xml"/><Relationship Id="rId33" Type="http://schemas.openxmlformats.org/officeDocument/2006/relationships/ctrlProp" Target="../ctrlProps/ctrlProp256.xml"/><Relationship Id="rId38" Type="http://schemas.openxmlformats.org/officeDocument/2006/relationships/ctrlProp" Target="../ctrlProps/ctrlProp261.xml"/><Relationship Id="rId2" Type="http://schemas.openxmlformats.org/officeDocument/2006/relationships/drawing" Target="../drawings/drawing17.xml"/><Relationship Id="rId16" Type="http://schemas.openxmlformats.org/officeDocument/2006/relationships/ctrlProp" Target="../ctrlProps/ctrlProp239.xml"/><Relationship Id="rId20" Type="http://schemas.openxmlformats.org/officeDocument/2006/relationships/ctrlProp" Target="../ctrlProps/ctrlProp243.xml"/><Relationship Id="rId29" Type="http://schemas.openxmlformats.org/officeDocument/2006/relationships/ctrlProp" Target="../ctrlProps/ctrlProp252.xml"/><Relationship Id="rId1" Type="http://schemas.openxmlformats.org/officeDocument/2006/relationships/printerSettings" Target="../printerSettings/printerSettings25.bin"/><Relationship Id="rId6" Type="http://schemas.openxmlformats.org/officeDocument/2006/relationships/ctrlProp" Target="../ctrlProps/ctrlProp229.xml"/><Relationship Id="rId11" Type="http://schemas.openxmlformats.org/officeDocument/2006/relationships/ctrlProp" Target="../ctrlProps/ctrlProp234.xml"/><Relationship Id="rId24" Type="http://schemas.openxmlformats.org/officeDocument/2006/relationships/ctrlProp" Target="../ctrlProps/ctrlProp247.xml"/><Relationship Id="rId32" Type="http://schemas.openxmlformats.org/officeDocument/2006/relationships/ctrlProp" Target="../ctrlProps/ctrlProp255.xml"/><Relationship Id="rId37" Type="http://schemas.openxmlformats.org/officeDocument/2006/relationships/ctrlProp" Target="../ctrlProps/ctrlProp260.xml"/><Relationship Id="rId5" Type="http://schemas.openxmlformats.org/officeDocument/2006/relationships/ctrlProp" Target="../ctrlProps/ctrlProp228.xml"/><Relationship Id="rId15" Type="http://schemas.openxmlformats.org/officeDocument/2006/relationships/ctrlProp" Target="../ctrlProps/ctrlProp238.xml"/><Relationship Id="rId23" Type="http://schemas.openxmlformats.org/officeDocument/2006/relationships/ctrlProp" Target="../ctrlProps/ctrlProp246.xml"/><Relationship Id="rId28" Type="http://schemas.openxmlformats.org/officeDocument/2006/relationships/ctrlProp" Target="../ctrlProps/ctrlProp251.xml"/><Relationship Id="rId36" Type="http://schemas.openxmlformats.org/officeDocument/2006/relationships/ctrlProp" Target="../ctrlProps/ctrlProp259.xml"/><Relationship Id="rId10" Type="http://schemas.openxmlformats.org/officeDocument/2006/relationships/ctrlProp" Target="../ctrlProps/ctrlProp233.xml"/><Relationship Id="rId19" Type="http://schemas.openxmlformats.org/officeDocument/2006/relationships/ctrlProp" Target="../ctrlProps/ctrlProp242.xml"/><Relationship Id="rId31" Type="http://schemas.openxmlformats.org/officeDocument/2006/relationships/ctrlProp" Target="../ctrlProps/ctrlProp254.xml"/><Relationship Id="rId4" Type="http://schemas.openxmlformats.org/officeDocument/2006/relationships/ctrlProp" Target="../ctrlProps/ctrlProp227.xml"/><Relationship Id="rId9" Type="http://schemas.openxmlformats.org/officeDocument/2006/relationships/ctrlProp" Target="../ctrlProps/ctrlProp232.xml"/><Relationship Id="rId14" Type="http://schemas.openxmlformats.org/officeDocument/2006/relationships/ctrlProp" Target="../ctrlProps/ctrlProp237.xml"/><Relationship Id="rId22" Type="http://schemas.openxmlformats.org/officeDocument/2006/relationships/ctrlProp" Target="../ctrlProps/ctrlProp245.xml"/><Relationship Id="rId27" Type="http://schemas.openxmlformats.org/officeDocument/2006/relationships/ctrlProp" Target="../ctrlProps/ctrlProp250.xml"/><Relationship Id="rId30" Type="http://schemas.openxmlformats.org/officeDocument/2006/relationships/ctrlProp" Target="../ctrlProps/ctrlProp253.xml"/><Relationship Id="rId35" Type="http://schemas.openxmlformats.org/officeDocument/2006/relationships/ctrlProp" Target="../ctrlProps/ctrlProp258.xml"/><Relationship Id="rId8" Type="http://schemas.openxmlformats.org/officeDocument/2006/relationships/ctrlProp" Target="../ctrlProps/ctrlProp231.xml"/><Relationship Id="rId3"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www.nyserda.ny.gov/ny/disadvantaged-communities"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D835E-2051-41BE-8C7F-71FF83D2365E}">
  <sheetPr>
    <tabColor rgb="FF00B050"/>
    <pageSetUpPr fitToPage="1"/>
  </sheetPr>
  <dimension ref="A1:BV243"/>
  <sheetViews>
    <sheetView tabSelected="1" topLeftCell="A13" zoomScale="120" zoomScaleNormal="120" workbookViewId="0"/>
  </sheetViews>
  <sheetFormatPr defaultColWidth="9.140625" defaultRowHeight="12.75" x14ac:dyDescent="0.2"/>
  <cols>
    <col min="1" max="1" width="2.42578125" style="3" customWidth="1"/>
    <col min="2" max="2" width="15.85546875" style="3" customWidth="1"/>
    <col min="3" max="3" width="11.140625" style="3" customWidth="1"/>
    <col min="4" max="4" width="8.7109375" style="3" customWidth="1"/>
    <col min="5" max="5" width="10.28515625" style="3" customWidth="1"/>
    <col min="6" max="6" width="9.140625" style="3"/>
    <col min="7" max="7" width="9.7109375" style="3" customWidth="1"/>
    <col min="8" max="8" width="13.85546875" style="3" customWidth="1"/>
    <col min="9" max="9" width="9.140625" style="3"/>
    <col min="10" max="10" width="12.5703125" style="3" customWidth="1"/>
    <col min="11" max="11" width="16.140625" style="3" customWidth="1"/>
    <col min="12" max="12" width="2.42578125" style="3" customWidth="1"/>
    <col min="13" max="13" width="2.28515625" style="17" customWidth="1"/>
    <col min="14" max="14" width="9.140625" style="19"/>
    <col min="15" max="15" width="15.140625" style="19" customWidth="1"/>
    <col min="16" max="25" width="9.140625" style="19"/>
    <col min="26" max="29" width="9.140625" style="4"/>
    <col min="30" max="16384" width="9.140625" style="3"/>
  </cols>
  <sheetData>
    <row r="1" spans="1:74" ht="12.75" customHeight="1" thickBot="1" x14ac:dyDescent="0.25">
      <c r="A1" s="2"/>
      <c r="B1" s="2"/>
      <c r="C1" s="2"/>
      <c r="D1" s="2"/>
      <c r="E1" s="2"/>
      <c r="F1" s="2"/>
      <c r="G1" s="2"/>
      <c r="H1" s="2"/>
      <c r="I1" s="2"/>
      <c r="J1" s="2"/>
      <c r="K1" s="2"/>
      <c r="L1" s="2"/>
      <c r="N1" s="18"/>
      <c r="Z1" s="19"/>
      <c r="AA1" s="19"/>
      <c r="AB1" s="19"/>
      <c r="AC1" s="19"/>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row>
    <row r="2" spans="1:74" ht="24" customHeight="1" x14ac:dyDescent="0.2">
      <c r="A2" s="2"/>
      <c r="B2" s="5"/>
      <c r="C2" s="6"/>
      <c r="D2" s="6"/>
      <c r="E2" s="6"/>
      <c r="F2" s="6"/>
      <c r="G2" s="6"/>
      <c r="H2" s="6"/>
      <c r="I2" s="6"/>
      <c r="J2" s="6"/>
      <c r="K2" s="7"/>
      <c r="L2" s="2"/>
      <c r="N2" s="460"/>
      <c r="O2" s="17"/>
      <c r="P2" s="17"/>
      <c r="Q2" s="17"/>
      <c r="R2" s="17"/>
      <c r="S2" s="17"/>
      <c r="T2" s="17"/>
      <c r="U2" s="17"/>
      <c r="V2" s="17"/>
      <c r="Z2" s="19"/>
      <c r="AA2" s="19"/>
      <c r="AB2" s="19"/>
      <c r="AC2" s="19"/>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row>
    <row r="3" spans="1:74" ht="23.25" x14ac:dyDescent="0.35">
      <c r="A3" s="2"/>
      <c r="B3" s="13"/>
      <c r="C3" s="14"/>
      <c r="D3" s="14"/>
      <c r="E3" s="14"/>
      <c r="F3" s="14"/>
      <c r="G3" s="14"/>
      <c r="H3" s="14"/>
      <c r="I3" s="14"/>
      <c r="J3" s="15"/>
      <c r="K3" s="8"/>
      <c r="L3" s="2"/>
      <c r="N3" s="460"/>
      <c r="O3" s="17" t="s">
        <v>0</v>
      </c>
      <c r="P3" s="17"/>
      <c r="Q3" s="17"/>
      <c r="R3" s="17"/>
      <c r="S3" s="17"/>
      <c r="T3" s="17"/>
      <c r="U3" s="17"/>
      <c r="V3" s="17"/>
      <c r="Z3" s="19"/>
      <c r="AA3" s="19"/>
      <c r="AB3" s="19"/>
      <c r="AC3" s="19"/>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row>
    <row r="4" spans="1:74" ht="23.25" x14ac:dyDescent="0.35">
      <c r="A4" s="2"/>
      <c r="B4" s="13" t="s">
        <v>1</v>
      </c>
      <c r="C4" s="14"/>
      <c r="D4" s="14"/>
      <c r="E4" s="14"/>
      <c r="F4" s="14"/>
      <c r="G4" s="14"/>
      <c r="H4" s="14"/>
      <c r="I4" s="14"/>
      <c r="J4" s="15"/>
      <c r="K4" s="8"/>
      <c r="L4" s="2"/>
      <c r="N4" s="460"/>
      <c r="O4" s="17"/>
      <c r="P4" s="17"/>
      <c r="Q4" s="17"/>
      <c r="R4" s="17"/>
      <c r="S4" s="17"/>
      <c r="T4" s="17"/>
      <c r="U4" s="17"/>
      <c r="V4" s="17"/>
      <c r="Z4" s="19"/>
      <c r="AA4" s="19"/>
      <c r="AB4" s="19"/>
      <c r="AC4" s="19"/>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row>
    <row r="5" spans="1:74" ht="15.75" customHeight="1" x14ac:dyDescent="0.2">
      <c r="A5" s="2"/>
      <c r="B5" s="862" t="s">
        <v>2</v>
      </c>
      <c r="C5" s="863"/>
      <c r="D5" s="863"/>
      <c r="E5" s="863"/>
      <c r="F5" s="863"/>
      <c r="G5" s="863"/>
      <c r="H5" s="863"/>
      <c r="I5" s="863"/>
      <c r="J5" s="863"/>
      <c r="K5" s="864"/>
      <c r="L5" s="2"/>
      <c r="N5" s="460"/>
      <c r="O5" s="17"/>
      <c r="P5" s="17"/>
      <c r="Q5" s="17"/>
      <c r="R5" s="17"/>
      <c r="S5" s="17"/>
      <c r="T5" s="17"/>
      <c r="U5" s="17"/>
      <c r="V5" s="17"/>
      <c r="Z5" s="19"/>
      <c r="AA5" s="19"/>
      <c r="AB5" s="19"/>
      <c r="AC5" s="19"/>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row>
    <row r="6" spans="1:74" ht="6" customHeight="1" x14ac:dyDescent="0.2">
      <c r="A6" s="2"/>
      <c r="B6" s="29"/>
      <c r="C6" s="17"/>
      <c r="D6" s="17"/>
      <c r="E6" s="17"/>
      <c r="F6" s="17"/>
      <c r="G6" s="17"/>
      <c r="H6" s="17"/>
      <c r="I6" s="17"/>
      <c r="J6" s="17"/>
      <c r="K6" s="30"/>
      <c r="L6" s="2"/>
      <c r="N6" s="460"/>
      <c r="O6" s="17"/>
      <c r="P6" s="17"/>
      <c r="Q6" s="17"/>
      <c r="R6" s="17"/>
      <c r="S6" s="17"/>
      <c r="T6" s="17"/>
      <c r="U6" s="17"/>
      <c r="V6" s="17"/>
      <c r="Z6" s="19"/>
      <c r="AA6" s="19"/>
      <c r="AB6" s="19"/>
      <c r="AC6" s="19"/>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row>
    <row r="7" spans="1:74" ht="12.75" customHeight="1" x14ac:dyDescent="0.2">
      <c r="A7" s="2"/>
      <c r="B7" s="875" t="s">
        <v>3</v>
      </c>
      <c r="C7" s="876"/>
      <c r="D7" s="876"/>
      <c r="E7" s="876"/>
      <c r="F7" s="876"/>
      <c r="G7" s="876"/>
      <c r="H7" s="876"/>
      <c r="I7" s="876"/>
      <c r="J7" s="876"/>
      <c r="K7" s="877"/>
      <c r="L7" s="2"/>
      <c r="N7" s="460"/>
      <c r="O7" s="17"/>
      <c r="P7" s="17"/>
      <c r="Q7" s="17"/>
      <c r="R7" s="17"/>
      <c r="S7" s="17"/>
      <c r="T7" s="17"/>
      <c r="U7" s="17"/>
      <c r="V7" s="17"/>
      <c r="Z7" s="19"/>
      <c r="AA7" s="19"/>
      <c r="AB7" s="19"/>
      <c r="AC7" s="19"/>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row>
    <row r="8" spans="1:74" ht="12.75" customHeight="1" x14ac:dyDescent="0.2">
      <c r="A8" s="2"/>
      <c r="B8" s="875"/>
      <c r="C8" s="876"/>
      <c r="D8" s="876"/>
      <c r="E8" s="876"/>
      <c r="F8" s="876"/>
      <c r="G8" s="876"/>
      <c r="H8" s="876"/>
      <c r="I8" s="876"/>
      <c r="J8" s="876"/>
      <c r="K8" s="877"/>
      <c r="L8" s="2"/>
      <c r="N8" s="460"/>
      <c r="O8" s="17"/>
      <c r="P8" s="17"/>
      <c r="Q8" s="17"/>
      <c r="R8" s="17"/>
      <c r="S8" s="17"/>
      <c r="T8" s="17"/>
      <c r="U8" s="17"/>
      <c r="V8" s="17"/>
      <c r="Z8" s="19"/>
      <c r="AA8" s="19"/>
      <c r="AB8" s="19"/>
      <c r="AC8" s="19"/>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row>
    <row r="9" spans="1:74" ht="12.75" customHeight="1" x14ac:dyDescent="0.2">
      <c r="A9" s="2"/>
      <c r="B9" s="875"/>
      <c r="C9" s="876"/>
      <c r="D9" s="876"/>
      <c r="E9" s="876"/>
      <c r="F9" s="876"/>
      <c r="G9" s="876"/>
      <c r="H9" s="876"/>
      <c r="I9" s="876"/>
      <c r="J9" s="876"/>
      <c r="K9" s="877"/>
      <c r="L9" s="2"/>
      <c r="N9" s="460"/>
      <c r="O9" s="17"/>
      <c r="P9" s="17"/>
      <c r="Q9" s="17"/>
      <c r="R9" s="17"/>
      <c r="S9" s="17"/>
      <c r="T9" s="17"/>
      <c r="U9" s="17"/>
      <c r="V9" s="17"/>
      <c r="Z9" s="19"/>
      <c r="AA9" s="19"/>
      <c r="AB9" s="19"/>
      <c r="AC9" s="19"/>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row>
    <row r="10" spans="1:74" ht="15" customHeight="1" x14ac:dyDescent="0.2">
      <c r="A10" s="2"/>
      <c r="B10" s="865" t="s">
        <v>4</v>
      </c>
      <c r="C10" s="866"/>
      <c r="D10" s="866"/>
      <c r="E10" s="866"/>
      <c r="F10" s="866"/>
      <c r="G10" s="866"/>
      <c r="H10" s="866"/>
      <c r="I10" s="866"/>
      <c r="J10" s="866"/>
      <c r="K10" s="867"/>
      <c r="L10" s="2"/>
      <c r="N10" s="460"/>
      <c r="O10" s="17"/>
      <c r="P10" s="17"/>
      <c r="Q10" s="17"/>
      <c r="R10" s="17"/>
      <c r="S10" s="17"/>
      <c r="T10" s="17"/>
      <c r="U10" s="17"/>
      <c r="V10" s="17"/>
      <c r="Z10" s="19"/>
      <c r="AA10" s="19"/>
      <c r="AB10" s="19"/>
      <c r="AC10" s="19"/>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row>
    <row r="11" spans="1:74" s="10" customFormat="1" ht="12.75" customHeight="1" x14ac:dyDescent="0.2">
      <c r="A11" s="9"/>
      <c r="B11" s="25" t="s">
        <v>5</v>
      </c>
      <c r="C11" s="20"/>
      <c r="D11" s="20"/>
      <c r="E11" s="20"/>
      <c r="F11" s="26" t="s">
        <v>6</v>
      </c>
      <c r="G11" s="20"/>
      <c r="H11" s="20"/>
      <c r="I11" s="20"/>
      <c r="J11" s="26" t="s">
        <v>7</v>
      </c>
      <c r="K11" s="27"/>
      <c r="L11" s="9"/>
      <c r="M11" s="20"/>
      <c r="N11" s="460"/>
      <c r="O11" s="17"/>
      <c r="P11" s="20"/>
      <c r="Q11" s="20"/>
      <c r="R11" s="20"/>
      <c r="S11" s="20"/>
      <c r="T11" s="20"/>
      <c r="U11" s="20"/>
      <c r="V11" s="20"/>
      <c r="W11" s="22"/>
      <c r="X11" s="22"/>
      <c r="Y11" s="22"/>
      <c r="Z11" s="22"/>
      <c r="AA11" s="22"/>
      <c r="AB11" s="22"/>
      <c r="AC11" s="22"/>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row>
    <row r="12" spans="1:74" ht="16.5" customHeight="1" x14ac:dyDescent="0.2">
      <c r="A12" s="2"/>
      <c r="B12" s="868"/>
      <c r="C12" s="869"/>
      <c r="D12" s="869"/>
      <c r="E12" s="870"/>
      <c r="F12" s="871"/>
      <c r="G12" s="872"/>
      <c r="H12" s="872"/>
      <c r="I12" s="872"/>
      <c r="J12" s="873"/>
      <c r="K12" s="874"/>
      <c r="L12" s="2"/>
      <c r="N12" s="460"/>
      <c r="O12" s="17"/>
      <c r="P12" s="17"/>
      <c r="Q12" s="17"/>
      <c r="R12" s="17"/>
      <c r="S12" s="17"/>
      <c r="T12" s="17"/>
      <c r="U12" s="17"/>
      <c r="V12" s="17"/>
      <c r="Z12" s="19"/>
      <c r="AA12" s="19"/>
      <c r="AB12" s="19"/>
      <c r="AC12" s="19"/>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row>
    <row r="13" spans="1:74" s="10" customFormat="1" ht="12.75" customHeight="1" x14ac:dyDescent="0.2">
      <c r="A13" s="9"/>
      <c r="B13" s="25" t="s">
        <v>8</v>
      </c>
      <c r="C13" s="20"/>
      <c r="D13" s="20"/>
      <c r="E13" s="20"/>
      <c r="F13" s="26" t="s">
        <v>9</v>
      </c>
      <c r="G13" s="20"/>
      <c r="H13" s="20"/>
      <c r="I13" s="26" t="s">
        <v>10</v>
      </c>
      <c r="J13" s="20"/>
      <c r="K13" s="27"/>
      <c r="L13" s="9"/>
      <c r="M13" s="20"/>
      <c r="N13" s="460"/>
      <c r="O13" s="20"/>
      <c r="P13" s="20"/>
      <c r="Q13" s="20"/>
      <c r="R13" s="20"/>
      <c r="S13" s="20"/>
      <c r="T13" s="20"/>
      <c r="U13" s="20"/>
      <c r="V13" s="20"/>
      <c r="W13" s="22"/>
      <c r="X13" s="22"/>
      <c r="Y13" s="22"/>
      <c r="Z13" s="22"/>
      <c r="AA13" s="22"/>
      <c r="AB13" s="22"/>
      <c r="AC13" s="22"/>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row>
    <row r="14" spans="1:74" ht="16.5" customHeight="1" x14ac:dyDescent="0.2">
      <c r="A14" s="2"/>
      <c r="B14" s="878"/>
      <c r="C14" s="879"/>
      <c r="D14" s="879"/>
      <c r="E14" s="880"/>
      <c r="F14" s="881"/>
      <c r="G14" s="882"/>
      <c r="H14" s="883"/>
      <c r="I14" s="884"/>
      <c r="J14" s="885"/>
      <c r="K14" s="886"/>
      <c r="L14" s="2"/>
      <c r="N14" s="460"/>
      <c r="O14" s="17"/>
      <c r="P14" s="17"/>
      <c r="Q14" s="17"/>
      <c r="R14" s="17"/>
      <c r="S14" s="17"/>
      <c r="T14" s="17"/>
      <c r="U14" s="17"/>
      <c r="V14" s="17"/>
      <c r="Z14" s="19"/>
      <c r="AA14" s="19"/>
      <c r="AB14" s="19"/>
      <c r="AC14" s="19"/>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row>
    <row r="15" spans="1:74" s="10" customFormat="1" ht="12.75" customHeight="1" x14ac:dyDescent="0.25">
      <c r="A15" s="9"/>
      <c r="B15" s="25" t="s">
        <v>11</v>
      </c>
      <c r="C15" s="20"/>
      <c r="D15" s="20"/>
      <c r="E15" s="20"/>
      <c r="F15" s="26" t="s">
        <v>12</v>
      </c>
      <c r="G15" s="20"/>
      <c r="H15" s="20"/>
      <c r="I15" s="16"/>
      <c r="J15" s="20"/>
      <c r="K15" s="28"/>
      <c r="L15" s="9"/>
      <c r="M15" s="20"/>
      <c r="N15" s="461"/>
      <c r="O15" s="20"/>
      <c r="P15" s="20"/>
      <c r="Q15" s="20"/>
      <c r="R15" s="20"/>
      <c r="S15" s="20"/>
      <c r="T15" s="20"/>
      <c r="U15" s="20"/>
      <c r="V15" s="20"/>
      <c r="W15" s="22"/>
      <c r="X15" s="22"/>
      <c r="Y15" s="22"/>
      <c r="Z15" s="22"/>
      <c r="AA15" s="22"/>
      <c r="AB15" s="22"/>
      <c r="AC15" s="22"/>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row>
    <row r="16" spans="1:74" ht="16.5" customHeight="1" x14ac:dyDescent="0.25">
      <c r="A16" s="2"/>
      <c r="B16" s="887"/>
      <c r="C16" s="888"/>
      <c r="D16" s="888"/>
      <c r="E16" s="889"/>
      <c r="F16" s="890"/>
      <c r="G16" s="891"/>
      <c r="H16" s="892"/>
      <c r="I16" s="893"/>
      <c r="J16" s="894"/>
      <c r="K16" s="402"/>
      <c r="L16" s="2"/>
      <c r="N16" s="460"/>
      <c r="O16" s="17"/>
      <c r="P16" s="17"/>
      <c r="Q16" s="17"/>
      <c r="R16" s="17"/>
      <c r="S16" s="17"/>
      <c r="T16" s="17"/>
      <c r="U16" s="17"/>
      <c r="V16" s="17"/>
      <c r="Z16" s="19"/>
      <c r="AA16" s="19"/>
      <c r="AB16" s="19"/>
      <c r="AC16" s="19"/>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row>
    <row r="17" spans="1:74" s="10" customFormat="1" ht="12.75" customHeight="1" x14ac:dyDescent="0.25">
      <c r="A17" s="9"/>
      <c r="B17" s="25" t="s">
        <v>13</v>
      </c>
      <c r="C17" s="20"/>
      <c r="D17" s="20"/>
      <c r="E17" s="20"/>
      <c r="F17" s="26" t="s">
        <v>14</v>
      </c>
      <c r="G17" s="20"/>
      <c r="H17" s="20"/>
      <c r="I17" s="26" t="s">
        <v>15</v>
      </c>
      <c r="J17" s="20"/>
      <c r="K17" s="31" t="s">
        <v>16</v>
      </c>
      <c r="L17" s="9"/>
      <c r="M17" s="20"/>
      <c r="N17" s="461"/>
      <c r="O17" s="20"/>
      <c r="P17" s="20"/>
      <c r="Q17" s="20"/>
      <c r="R17" s="20"/>
      <c r="S17" s="20"/>
      <c r="T17" s="20"/>
      <c r="U17" s="20"/>
      <c r="V17" s="20"/>
      <c r="W17" s="22"/>
      <c r="X17" s="22"/>
      <c r="Y17" s="22"/>
      <c r="Z17" s="22"/>
      <c r="AA17" s="22"/>
      <c r="AB17" s="22"/>
      <c r="AC17" s="22"/>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row>
    <row r="18" spans="1:74" ht="16.5" customHeight="1" x14ac:dyDescent="0.2">
      <c r="A18" s="2"/>
      <c r="B18" s="887"/>
      <c r="C18" s="888"/>
      <c r="D18" s="888"/>
      <c r="E18" s="889"/>
      <c r="F18" s="895"/>
      <c r="G18" s="891"/>
      <c r="H18" s="892"/>
      <c r="I18" s="895"/>
      <c r="J18" s="892"/>
      <c r="K18" s="335"/>
      <c r="L18" s="2"/>
      <c r="N18" s="460"/>
      <c r="O18" s="17"/>
      <c r="P18" s="17"/>
      <c r="Q18" s="17"/>
      <c r="R18" s="17"/>
      <c r="S18" s="17"/>
      <c r="T18" s="17"/>
      <c r="U18" s="17"/>
      <c r="V18" s="17"/>
      <c r="Z18" s="19"/>
      <c r="AA18" s="19"/>
      <c r="AB18" s="19"/>
      <c r="AC18" s="19"/>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row>
    <row r="19" spans="1:74" s="10" customFormat="1" ht="12.75" customHeight="1" x14ac:dyDescent="0.25">
      <c r="A19" s="9"/>
      <c r="B19" s="25" t="s">
        <v>17</v>
      </c>
      <c r="C19" s="32"/>
      <c r="D19" s="32"/>
      <c r="E19" s="32"/>
      <c r="F19" s="32" t="s">
        <v>18</v>
      </c>
      <c r="G19" s="20"/>
      <c r="H19" s="33"/>
      <c r="J19" s="33"/>
      <c r="K19" s="34"/>
      <c r="L19" s="9"/>
      <c r="M19" s="20"/>
      <c r="N19" s="461"/>
      <c r="O19" s="20"/>
      <c r="P19" s="20"/>
      <c r="Q19" s="20"/>
      <c r="R19" s="20"/>
      <c r="S19" s="20"/>
      <c r="T19" s="20"/>
      <c r="U19" s="20"/>
      <c r="V19" s="20"/>
      <c r="W19" s="22"/>
      <c r="X19" s="22"/>
      <c r="Y19" s="22"/>
      <c r="Z19" s="22"/>
      <c r="AA19" s="22"/>
      <c r="AB19" s="22"/>
      <c r="AC19" s="22"/>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row>
    <row r="20" spans="1:74" ht="15.75" customHeight="1" x14ac:dyDescent="0.2">
      <c r="A20" s="2"/>
      <c r="B20" s="896"/>
      <c r="C20" s="897"/>
      <c r="D20" s="897"/>
      <c r="E20" s="898"/>
      <c r="F20" s="895"/>
      <c r="G20" s="891"/>
      <c r="H20" s="891"/>
      <c r="I20" s="32"/>
      <c r="J20" s="414"/>
      <c r="K20" s="415"/>
      <c r="L20" s="2"/>
      <c r="N20" s="460"/>
      <c r="O20" s="17"/>
      <c r="P20" s="17"/>
      <c r="Q20" s="17"/>
      <c r="R20" s="17"/>
      <c r="S20" s="17"/>
      <c r="T20" s="17"/>
      <c r="U20" s="17"/>
      <c r="V20" s="17"/>
      <c r="Z20" s="19"/>
      <c r="AA20" s="19"/>
      <c r="AB20" s="19"/>
      <c r="AC20" s="19"/>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row>
    <row r="21" spans="1:74" ht="18.75" customHeight="1" x14ac:dyDescent="0.2">
      <c r="A21" s="2"/>
      <c r="B21" s="35"/>
      <c r="C21" s="36"/>
      <c r="D21" s="37"/>
      <c r="E21" s="38"/>
      <c r="F21" s="39"/>
      <c r="G21" s="40" t="s">
        <v>19</v>
      </c>
      <c r="H21" s="41"/>
      <c r="I21" s="412"/>
      <c r="J21" s="412"/>
      <c r="K21" s="413"/>
      <c r="L21" s="2"/>
      <c r="N21" s="460"/>
      <c r="O21" s="17"/>
      <c r="P21" s="17"/>
      <c r="Q21" s="17"/>
      <c r="R21" s="17"/>
      <c r="S21" s="17"/>
      <c r="T21" s="17"/>
      <c r="U21" s="17"/>
      <c r="V21" s="17"/>
      <c r="Z21" s="19"/>
      <c r="AA21" s="19"/>
      <c r="AB21" s="19"/>
      <c r="AC21" s="19"/>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row>
    <row r="22" spans="1:74" x14ac:dyDescent="0.2">
      <c r="A22" s="2"/>
      <c r="B22" s="42"/>
      <c r="C22" s="36"/>
      <c r="D22" s="43" t="s">
        <v>20</v>
      </c>
      <c r="E22" s="904" t="s">
        <v>21</v>
      </c>
      <c r="F22" s="904"/>
      <c r="G22" s="904"/>
      <c r="H22" s="904"/>
      <c r="I22" s="44"/>
      <c r="J22" s="44"/>
      <c r="K22" s="45"/>
      <c r="L22" s="2"/>
      <c r="N22" s="460"/>
      <c r="O22" s="17"/>
      <c r="P22" s="17"/>
      <c r="Q22" s="17"/>
      <c r="R22" s="17"/>
      <c r="S22" s="17"/>
      <c r="T22" s="17"/>
      <c r="U22" s="17"/>
      <c r="V22" s="17"/>
      <c r="Z22" s="19"/>
      <c r="AA22" s="19"/>
      <c r="AB22" s="19"/>
      <c r="AC22" s="19"/>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row>
    <row r="23" spans="1:74" s="10" customFormat="1" ht="12.75" customHeight="1" x14ac:dyDescent="0.25">
      <c r="A23" s="9"/>
      <c r="B23" s="46" t="s">
        <v>22</v>
      </c>
      <c r="C23" s="47"/>
      <c r="D23" s="47"/>
      <c r="E23" s="47"/>
      <c r="F23" s="61" t="s">
        <v>23</v>
      </c>
      <c r="G23" s="82"/>
      <c r="H23" s="84"/>
      <c r="I23" s="82"/>
      <c r="J23" s="84"/>
      <c r="K23" s="27"/>
      <c r="L23" s="9"/>
      <c r="M23" s="20"/>
      <c r="N23" s="461"/>
      <c r="O23" s="20"/>
      <c r="P23" s="20"/>
      <c r="Q23" s="20"/>
      <c r="R23" s="20"/>
      <c r="S23" s="20"/>
      <c r="T23" s="20"/>
      <c r="U23" s="20"/>
      <c r="V23" s="20"/>
      <c r="W23" s="22"/>
      <c r="X23" s="22"/>
      <c r="Y23" s="22"/>
      <c r="Z23" s="22"/>
      <c r="AA23" s="22"/>
      <c r="AB23" s="22"/>
      <c r="AC23" s="22"/>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row>
    <row r="24" spans="1:74" ht="16.5" customHeight="1" x14ac:dyDescent="0.2">
      <c r="A24" s="2"/>
      <c r="B24" s="899"/>
      <c r="C24" s="900"/>
      <c r="D24" s="900"/>
      <c r="E24" s="901"/>
      <c r="F24" s="902"/>
      <c r="G24" s="903"/>
      <c r="H24" s="422"/>
      <c r="I24" s="418"/>
      <c r="J24" s="419"/>
      <c r="K24" s="420"/>
      <c r="L24" s="2"/>
      <c r="N24" s="460"/>
      <c r="O24" s="17"/>
      <c r="P24" s="17"/>
      <c r="Q24" s="17"/>
      <c r="R24" s="17"/>
      <c r="S24" s="17"/>
      <c r="T24" s="17"/>
      <c r="U24" s="17"/>
      <c r="V24" s="17"/>
      <c r="Z24" s="19"/>
      <c r="AA24" s="19"/>
      <c r="AB24" s="19"/>
      <c r="AC24" s="19"/>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row>
    <row r="25" spans="1:74" s="10" customFormat="1" ht="12.75" customHeight="1" x14ac:dyDescent="0.25">
      <c r="A25" s="9"/>
      <c r="B25" s="46" t="s">
        <v>24</v>
      </c>
      <c r="C25" s="47"/>
      <c r="D25" s="47"/>
      <c r="E25" s="47"/>
      <c r="F25" s="61" t="s">
        <v>25</v>
      </c>
      <c r="G25" s="85"/>
      <c r="H25" s="61"/>
      <c r="I25" s="61" t="s">
        <v>26</v>
      </c>
      <c r="K25" s="83"/>
      <c r="L25" s="9"/>
      <c r="M25" s="20"/>
      <c r="N25" s="21"/>
      <c r="O25" s="22"/>
      <c r="P25" s="22"/>
      <c r="Q25" s="22"/>
      <c r="R25" s="22"/>
      <c r="S25" s="22"/>
      <c r="T25" s="22"/>
      <c r="U25" s="22"/>
      <c r="V25" s="22"/>
      <c r="W25" s="22"/>
      <c r="X25" s="22"/>
      <c r="Y25" s="22"/>
      <c r="Z25" s="22"/>
      <c r="AA25" s="22"/>
      <c r="AB25" s="22"/>
      <c r="AC25" s="22"/>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row>
    <row r="26" spans="1:74" ht="16.5" customHeight="1" x14ac:dyDescent="0.2">
      <c r="A26" s="2"/>
      <c r="B26" s="899"/>
      <c r="C26" s="900"/>
      <c r="D26" s="900"/>
      <c r="E26" s="901"/>
      <c r="F26" s="905"/>
      <c r="G26" s="906"/>
      <c r="H26" s="118"/>
      <c r="I26" s="909"/>
      <c r="J26" s="910"/>
      <c r="K26" s="911"/>
      <c r="L26" s="2"/>
      <c r="N26" s="18"/>
      <c r="Z26" s="19"/>
      <c r="AA26" s="19"/>
      <c r="AB26" s="19"/>
      <c r="AC26" s="19"/>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row>
    <row r="27" spans="1:74" ht="15" x14ac:dyDescent="0.2">
      <c r="A27" s="2"/>
      <c r="B27" s="865" t="s">
        <v>27</v>
      </c>
      <c r="C27" s="866"/>
      <c r="D27" s="866"/>
      <c r="E27" s="866"/>
      <c r="F27" s="866"/>
      <c r="G27" s="866"/>
      <c r="H27" s="866"/>
      <c r="I27" s="866"/>
      <c r="J27" s="866"/>
      <c r="K27" s="867"/>
      <c r="L27" s="2"/>
      <c r="N27" s="18"/>
      <c r="Z27" s="19"/>
      <c r="AA27" s="19"/>
      <c r="AB27" s="19"/>
      <c r="AC27" s="19"/>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row>
    <row r="28" spans="1:74" x14ac:dyDescent="0.2">
      <c r="A28" s="2"/>
      <c r="B28" s="29"/>
      <c r="C28" s="17"/>
      <c r="D28" s="17"/>
      <c r="E28" s="17"/>
      <c r="F28" s="17"/>
      <c r="G28" s="17"/>
      <c r="H28" s="17"/>
      <c r="I28" s="17"/>
      <c r="J28" s="17"/>
      <c r="K28" s="30"/>
      <c r="L28" s="2"/>
      <c r="N28" s="18"/>
      <c r="R28" s="18"/>
      <c r="Z28" s="19"/>
      <c r="AA28" s="19"/>
      <c r="AB28" s="19"/>
      <c r="AC28" s="19"/>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row>
    <row r="29" spans="1:74" x14ac:dyDescent="0.2">
      <c r="A29" s="2"/>
      <c r="B29" s="48"/>
      <c r="C29" s="49"/>
      <c r="D29" s="49"/>
      <c r="E29" s="49"/>
      <c r="F29" s="49"/>
      <c r="G29" s="49"/>
      <c r="H29" s="49"/>
      <c r="I29" s="49"/>
      <c r="J29" s="49"/>
      <c r="K29" s="50"/>
      <c r="L29" s="2"/>
      <c r="N29" s="18"/>
      <c r="R29" s="18"/>
      <c r="Z29" s="19"/>
      <c r="AA29" s="19"/>
      <c r="AB29" s="19"/>
      <c r="AC29" s="19"/>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row>
    <row r="30" spans="1:74" s="10" customFormat="1" ht="12.75" customHeight="1" x14ac:dyDescent="0.2">
      <c r="A30" s="9"/>
      <c r="B30" s="25" t="s">
        <v>28</v>
      </c>
      <c r="C30" s="20"/>
      <c r="D30" s="20"/>
      <c r="E30" s="20"/>
      <c r="F30" s="26" t="s">
        <v>29</v>
      </c>
      <c r="G30" s="20"/>
      <c r="H30" s="20"/>
      <c r="I30" s="20"/>
      <c r="J30" s="20"/>
      <c r="K30" s="27"/>
      <c r="L30" s="9"/>
      <c r="M30" s="20"/>
      <c r="N30" s="18"/>
      <c r="O30" s="19"/>
      <c r="P30" s="19"/>
      <c r="Q30" s="19"/>
      <c r="R30" s="19"/>
      <c r="S30" s="19"/>
      <c r="T30" s="19"/>
      <c r="U30" s="19"/>
      <c r="V30" s="22"/>
      <c r="W30" s="22"/>
      <c r="X30" s="22"/>
      <c r="Y30" s="22"/>
      <c r="Z30" s="22"/>
      <c r="AA30" s="22"/>
      <c r="AB30" s="22"/>
      <c r="AC30" s="22"/>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row>
    <row r="31" spans="1:74" ht="16.5" customHeight="1" x14ac:dyDescent="0.2">
      <c r="A31" s="2"/>
      <c r="B31" s="907"/>
      <c r="C31" s="891"/>
      <c r="D31" s="891"/>
      <c r="E31" s="892"/>
      <c r="F31" s="895"/>
      <c r="G31" s="891"/>
      <c r="H31" s="891"/>
      <c r="I31" s="891"/>
      <c r="J31" s="891"/>
      <c r="K31" s="908"/>
      <c r="L31" s="2"/>
      <c r="N31" s="22"/>
      <c r="Q31" s="22"/>
      <c r="S31" s="22"/>
      <c r="T31" s="22"/>
      <c r="U31" s="22"/>
      <c r="Z31" s="19"/>
      <c r="AA31" s="19"/>
      <c r="AB31" s="19"/>
      <c r="AC31" s="19"/>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row>
    <row r="32" spans="1:74" s="10" customFormat="1" ht="12.75" customHeight="1" x14ac:dyDescent="0.2">
      <c r="A32" s="9"/>
      <c r="B32" s="25" t="s">
        <v>30</v>
      </c>
      <c r="C32" s="20"/>
      <c r="D32" s="20"/>
      <c r="E32" s="20"/>
      <c r="F32" s="26" t="s">
        <v>14</v>
      </c>
      <c r="G32" s="20"/>
      <c r="H32" s="20"/>
      <c r="I32" s="26" t="s">
        <v>31</v>
      </c>
      <c r="J32" s="20"/>
      <c r="K32" s="31" t="s">
        <v>16</v>
      </c>
      <c r="L32" s="9"/>
      <c r="M32" s="20"/>
      <c r="N32" s="19"/>
      <c r="O32" s="19"/>
      <c r="P32" s="19"/>
      <c r="Q32" s="19"/>
      <c r="R32" s="19"/>
      <c r="S32" s="19"/>
      <c r="T32" s="19"/>
      <c r="U32" s="19"/>
      <c r="V32" s="22"/>
      <c r="W32" s="22"/>
      <c r="X32" s="22"/>
      <c r="Y32" s="22"/>
      <c r="Z32" s="22"/>
      <c r="AA32" s="22"/>
      <c r="AB32" s="22"/>
      <c r="AC32" s="22"/>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row>
    <row r="33" spans="1:74" ht="16.5" customHeight="1" x14ac:dyDescent="0.2">
      <c r="A33" s="2"/>
      <c r="B33" s="907"/>
      <c r="C33" s="891"/>
      <c r="D33" s="891"/>
      <c r="E33" s="892"/>
      <c r="F33" s="895"/>
      <c r="G33" s="891"/>
      <c r="H33" s="892"/>
      <c r="I33" s="895"/>
      <c r="J33" s="892"/>
      <c r="K33" s="51"/>
      <c r="L33" s="2"/>
      <c r="N33" s="22"/>
      <c r="Q33" s="22"/>
      <c r="R33" s="22"/>
      <c r="S33" s="22"/>
      <c r="T33" s="22"/>
      <c r="U33" s="22"/>
      <c r="Z33" s="19"/>
      <c r="AA33" s="19"/>
      <c r="AB33" s="19"/>
      <c r="AC33" s="19"/>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row>
    <row r="34" spans="1:74" s="10" customFormat="1" ht="12.75" customHeight="1" x14ac:dyDescent="0.2">
      <c r="A34" s="9"/>
      <c r="B34" s="25" t="s">
        <v>32</v>
      </c>
      <c r="C34" s="20"/>
      <c r="D34" s="20"/>
      <c r="E34" s="20"/>
      <c r="F34" s="26" t="s">
        <v>12</v>
      </c>
      <c r="G34" s="20"/>
      <c r="H34" s="20"/>
      <c r="I34" s="20"/>
      <c r="J34" s="20"/>
      <c r="K34" s="27"/>
      <c r="L34" s="9"/>
      <c r="M34" s="20"/>
      <c r="N34" s="19"/>
      <c r="O34" s="23"/>
      <c r="P34" s="19"/>
      <c r="Q34" s="19"/>
      <c r="R34" s="19"/>
      <c r="S34" s="19"/>
      <c r="T34" s="19"/>
      <c r="U34" s="19"/>
      <c r="V34" s="22"/>
      <c r="W34" s="22"/>
      <c r="X34" s="22"/>
      <c r="Y34" s="22"/>
      <c r="Z34" s="22"/>
      <c r="AA34" s="22"/>
      <c r="AB34" s="22"/>
      <c r="AC34" s="22"/>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row>
    <row r="35" spans="1:74" ht="16.5" customHeight="1" x14ac:dyDescent="0.2">
      <c r="A35" s="2"/>
      <c r="B35" s="915"/>
      <c r="C35" s="916"/>
      <c r="D35" s="916"/>
      <c r="E35" s="917"/>
      <c r="F35" s="895"/>
      <c r="G35" s="891"/>
      <c r="H35" s="891"/>
      <c r="I35" s="891"/>
      <c r="J35" s="891"/>
      <c r="K35" s="908"/>
      <c r="L35" s="2"/>
      <c r="N35" s="22"/>
      <c r="O35" s="23"/>
      <c r="P35" s="22"/>
      <c r="Q35" s="22"/>
      <c r="R35" s="22"/>
      <c r="S35" s="22"/>
      <c r="T35" s="22"/>
      <c r="U35" s="22"/>
      <c r="Z35" s="19"/>
      <c r="AA35" s="19"/>
      <c r="AB35" s="19"/>
      <c r="AC35" s="19"/>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row>
    <row r="36" spans="1:74" s="10" customFormat="1" ht="12.75" customHeight="1" x14ac:dyDescent="0.2">
      <c r="A36" s="9"/>
      <c r="B36" s="25" t="s">
        <v>33</v>
      </c>
      <c r="C36" s="20"/>
      <c r="D36" s="20"/>
      <c r="E36" s="20"/>
      <c r="F36" s="26" t="s">
        <v>34</v>
      </c>
      <c r="G36" s="20"/>
      <c r="H36" s="20"/>
      <c r="I36" s="20"/>
      <c r="J36" s="20"/>
      <c r="K36" s="27"/>
      <c r="L36" s="9"/>
      <c r="M36" s="20"/>
      <c r="N36" s="19"/>
      <c r="O36" s="23"/>
      <c r="P36" s="19"/>
      <c r="Q36" s="19"/>
      <c r="R36" s="19"/>
      <c r="S36" s="19"/>
      <c r="T36" s="19"/>
      <c r="U36" s="19"/>
      <c r="V36" s="22"/>
      <c r="W36" s="22"/>
      <c r="X36" s="22"/>
      <c r="Y36" s="22"/>
      <c r="Z36" s="22"/>
      <c r="AA36" s="22"/>
      <c r="AB36" s="22"/>
      <c r="AC36" s="22"/>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row>
    <row r="37" spans="1:74" ht="16.5" customHeight="1" x14ac:dyDescent="0.2">
      <c r="A37" s="2"/>
      <c r="B37" s="896"/>
      <c r="C37" s="897"/>
      <c r="D37" s="897"/>
      <c r="E37" s="898"/>
      <c r="F37" s="895"/>
      <c r="G37" s="891"/>
      <c r="H37" s="891"/>
      <c r="I37" s="891"/>
      <c r="J37" s="891"/>
      <c r="K37" s="908"/>
      <c r="L37" s="2"/>
      <c r="N37" s="22"/>
      <c r="O37" s="22"/>
      <c r="P37" s="22"/>
      <c r="Q37" s="22"/>
      <c r="R37" s="22"/>
      <c r="S37" s="22"/>
      <c r="T37" s="22"/>
      <c r="U37" s="22"/>
      <c r="Z37" s="19"/>
      <c r="AA37" s="19"/>
      <c r="AB37" s="19"/>
      <c r="AC37" s="19"/>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row>
    <row r="38" spans="1:74" x14ac:dyDescent="0.2">
      <c r="A38" s="2"/>
      <c r="B38" s="42"/>
      <c r="C38" s="17"/>
      <c r="D38" s="17"/>
      <c r="E38" s="17"/>
      <c r="F38" s="17"/>
      <c r="G38" s="17"/>
      <c r="H38" s="17"/>
      <c r="I38" s="17"/>
      <c r="J38" s="17"/>
      <c r="K38" s="30"/>
      <c r="L38" s="2"/>
      <c r="Z38" s="19"/>
      <c r="AA38" s="19"/>
      <c r="AB38" s="19"/>
      <c r="AC38" s="19"/>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row>
    <row r="39" spans="1:74" ht="15" x14ac:dyDescent="0.2">
      <c r="A39" s="2"/>
      <c r="B39" s="865" t="s">
        <v>35</v>
      </c>
      <c r="C39" s="866"/>
      <c r="D39" s="866"/>
      <c r="E39" s="866"/>
      <c r="F39" s="866"/>
      <c r="G39" s="866"/>
      <c r="H39" s="866"/>
      <c r="I39" s="866"/>
      <c r="J39" s="866"/>
      <c r="K39" s="867"/>
      <c r="L39" s="2"/>
      <c r="O39" s="22"/>
      <c r="Z39" s="19"/>
      <c r="AA39" s="19"/>
      <c r="AB39" s="19"/>
      <c r="AC39" s="19"/>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row>
    <row r="40" spans="1:74" s="10" customFormat="1" ht="12.75" customHeight="1" x14ac:dyDescent="0.2">
      <c r="A40" s="9"/>
      <c r="B40" s="25" t="s">
        <v>36</v>
      </c>
      <c r="C40" s="20"/>
      <c r="D40" s="20"/>
      <c r="E40" s="20"/>
      <c r="F40" s="26" t="s">
        <v>37</v>
      </c>
      <c r="G40" s="20"/>
      <c r="H40" s="20"/>
      <c r="I40" s="20"/>
      <c r="J40" s="20"/>
      <c r="K40" s="27"/>
      <c r="L40" s="9"/>
      <c r="M40" s="20"/>
      <c r="N40" s="22"/>
      <c r="O40" s="19"/>
      <c r="P40" s="19"/>
      <c r="Q40" s="19"/>
      <c r="R40" s="19"/>
      <c r="S40" s="19"/>
      <c r="T40" s="19"/>
      <c r="U40" s="19"/>
      <c r="V40" s="22"/>
      <c r="W40" s="22"/>
      <c r="X40" s="22"/>
      <c r="Y40" s="22"/>
      <c r="Z40" s="22"/>
      <c r="AA40" s="22"/>
      <c r="AB40" s="22"/>
      <c r="AC40" s="22"/>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row>
    <row r="41" spans="1:74" ht="16.5" customHeight="1" x14ac:dyDescent="0.2">
      <c r="A41" s="2"/>
      <c r="B41" s="924"/>
      <c r="C41" s="925"/>
      <c r="D41" s="925"/>
      <c r="E41" s="926"/>
      <c r="F41" s="895"/>
      <c r="G41" s="891"/>
      <c r="H41" s="891"/>
      <c r="I41" s="891"/>
      <c r="J41" s="891"/>
      <c r="K41" s="908"/>
      <c r="L41" s="2"/>
      <c r="P41" s="22"/>
      <c r="Q41" s="22"/>
      <c r="R41" s="22"/>
      <c r="S41" s="22"/>
      <c r="T41" s="22"/>
      <c r="U41" s="22"/>
      <c r="Z41" s="19"/>
      <c r="AA41" s="19"/>
      <c r="AB41" s="19"/>
      <c r="AC41" s="19"/>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row>
    <row r="42" spans="1:74" s="10" customFormat="1" ht="12.75" customHeight="1" x14ac:dyDescent="0.2">
      <c r="A42" s="9"/>
      <c r="B42" s="25" t="s">
        <v>38</v>
      </c>
      <c r="C42" s="20"/>
      <c r="D42" s="20"/>
      <c r="E42" s="20"/>
      <c r="F42" s="26" t="s">
        <v>14</v>
      </c>
      <c r="G42" s="20"/>
      <c r="H42" s="20"/>
      <c r="I42" s="26" t="s">
        <v>15</v>
      </c>
      <c r="J42" s="20"/>
      <c r="K42" s="31" t="s">
        <v>16</v>
      </c>
      <c r="L42" s="9"/>
      <c r="M42" s="20"/>
      <c r="N42" s="24"/>
      <c r="O42" s="22"/>
      <c r="P42" s="19"/>
      <c r="Q42" s="19"/>
      <c r="R42" s="19"/>
      <c r="S42" s="19"/>
      <c r="T42" s="19"/>
      <c r="U42" s="19"/>
      <c r="V42" s="22"/>
      <c r="W42" s="22"/>
      <c r="X42" s="22"/>
      <c r="Y42" s="22"/>
      <c r="Z42" s="22"/>
      <c r="AA42" s="22"/>
      <c r="AB42" s="22"/>
      <c r="AC42" s="22"/>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row>
    <row r="43" spans="1:74" ht="16.5" customHeight="1" x14ac:dyDescent="0.2">
      <c r="A43" s="2"/>
      <c r="B43" s="924"/>
      <c r="C43" s="925"/>
      <c r="D43" s="925"/>
      <c r="E43" s="926"/>
      <c r="F43" s="895"/>
      <c r="G43" s="891"/>
      <c r="H43" s="892"/>
      <c r="I43" s="895"/>
      <c r="J43" s="892"/>
      <c r="K43" s="51"/>
      <c r="L43" s="2"/>
      <c r="O43" s="22"/>
      <c r="P43" s="22"/>
      <c r="Q43" s="22"/>
      <c r="R43" s="22"/>
      <c r="S43" s="22"/>
      <c r="T43" s="22"/>
      <c r="U43" s="22"/>
      <c r="Z43" s="19"/>
      <c r="AA43" s="19"/>
      <c r="AB43" s="19"/>
      <c r="AC43" s="19"/>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row>
    <row r="44" spans="1:74" s="10" customFormat="1" ht="12.75" customHeight="1" x14ac:dyDescent="0.2">
      <c r="A44" s="9"/>
      <c r="B44" s="25" t="s">
        <v>32</v>
      </c>
      <c r="C44" s="20"/>
      <c r="D44" s="20"/>
      <c r="E44" s="20"/>
      <c r="F44" s="26" t="s">
        <v>12</v>
      </c>
      <c r="G44" s="20"/>
      <c r="H44" s="20"/>
      <c r="I44" s="20"/>
      <c r="J44" s="20"/>
      <c r="K44" s="27"/>
      <c r="L44" s="9"/>
      <c r="M44" s="20"/>
      <c r="N44" s="19"/>
      <c r="O44" s="19"/>
      <c r="P44" s="19"/>
      <c r="Q44" s="19"/>
      <c r="R44" s="19"/>
      <c r="S44" s="19"/>
      <c r="T44" s="19"/>
      <c r="U44" s="19"/>
      <c r="V44" s="22"/>
      <c r="W44" s="22"/>
      <c r="X44" s="22"/>
      <c r="Y44" s="22"/>
      <c r="Z44" s="22"/>
      <c r="AA44" s="22"/>
      <c r="AB44" s="22"/>
      <c r="AC44" s="22"/>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row>
    <row r="45" spans="1:74" ht="16.5" customHeight="1" x14ac:dyDescent="0.2">
      <c r="A45" s="2"/>
      <c r="B45" s="915"/>
      <c r="C45" s="916"/>
      <c r="D45" s="916"/>
      <c r="E45" s="917"/>
      <c r="F45" s="895"/>
      <c r="G45" s="891"/>
      <c r="H45" s="891"/>
      <c r="I45" s="891"/>
      <c r="J45" s="891"/>
      <c r="K45" s="908"/>
      <c r="L45" s="2"/>
      <c r="O45" s="22"/>
      <c r="P45" s="22"/>
      <c r="Q45" s="22"/>
      <c r="R45" s="22"/>
      <c r="S45" s="22"/>
      <c r="T45" s="22"/>
      <c r="U45" s="22"/>
      <c r="Z45" s="19"/>
      <c r="AA45" s="19"/>
      <c r="AB45" s="19"/>
      <c r="AC45" s="19"/>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row>
    <row r="46" spans="1:74" s="10" customFormat="1" ht="12.75" customHeight="1" x14ac:dyDescent="0.2">
      <c r="A46" s="9"/>
      <c r="B46" s="25" t="s">
        <v>33</v>
      </c>
      <c r="C46" s="20"/>
      <c r="D46" s="20"/>
      <c r="E46" s="20"/>
      <c r="F46" s="26" t="s">
        <v>34</v>
      </c>
      <c r="G46" s="20"/>
      <c r="H46" s="20"/>
      <c r="I46" s="20"/>
      <c r="J46" s="20"/>
      <c r="K46" s="27"/>
      <c r="L46" s="9"/>
      <c r="M46" s="20"/>
      <c r="N46" s="19"/>
      <c r="O46" s="19"/>
      <c r="P46" s="19"/>
      <c r="Q46" s="19"/>
      <c r="R46" s="19"/>
      <c r="S46" s="19"/>
      <c r="T46" s="19"/>
      <c r="U46" s="19"/>
      <c r="V46" s="22"/>
      <c r="W46" s="22"/>
      <c r="X46" s="22"/>
      <c r="Y46" s="22"/>
      <c r="Z46" s="22"/>
      <c r="AA46" s="22"/>
      <c r="AB46" s="22"/>
      <c r="AC46" s="22"/>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row>
    <row r="47" spans="1:74" ht="16.5" customHeight="1" x14ac:dyDescent="0.2">
      <c r="A47" s="2"/>
      <c r="B47" s="896"/>
      <c r="C47" s="897"/>
      <c r="D47" s="897"/>
      <c r="E47" s="898"/>
      <c r="F47" s="895"/>
      <c r="G47" s="891"/>
      <c r="H47" s="891"/>
      <c r="I47" s="891"/>
      <c r="J47" s="891"/>
      <c r="K47" s="908"/>
      <c r="L47" s="2"/>
      <c r="O47" s="22"/>
      <c r="P47" s="22"/>
      <c r="Q47" s="22"/>
      <c r="R47" s="22"/>
      <c r="S47" s="22"/>
      <c r="T47" s="22"/>
      <c r="U47" s="22"/>
      <c r="Z47" s="19"/>
      <c r="AA47" s="19"/>
      <c r="AB47" s="19"/>
      <c r="AC47" s="19"/>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row>
    <row r="48" spans="1:74" ht="12.75" customHeight="1" x14ac:dyDescent="0.2">
      <c r="A48" s="2"/>
      <c r="B48" s="29"/>
      <c r="C48" s="17"/>
      <c r="D48" s="17"/>
      <c r="E48" s="17"/>
      <c r="F48" s="52"/>
      <c r="G48" s="52"/>
      <c r="H48" s="52"/>
      <c r="I48" s="52"/>
      <c r="J48" s="52"/>
      <c r="K48" s="53"/>
      <c r="L48" s="2"/>
      <c r="Z48" s="19"/>
      <c r="AA48" s="19"/>
      <c r="AB48" s="19"/>
      <c r="AC48" s="19"/>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row>
    <row r="49" spans="1:74" ht="15" x14ac:dyDescent="0.2">
      <c r="A49" s="2"/>
      <c r="B49" s="865" t="s">
        <v>39</v>
      </c>
      <c r="C49" s="866"/>
      <c r="D49" s="866"/>
      <c r="E49" s="866"/>
      <c r="F49" s="866"/>
      <c r="G49" s="866"/>
      <c r="H49" s="866"/>
      <c r="I49" s="866"/>
      <c r="J49" s="866"/>
      <c r="K49" s="867"/>
      <c r="L49" s="2"/>
      <c r="O49" s="22"/>
      <c r="Z49" s="19"/>
      <c r="AA49" s="19"/>
      <c r="AB49" s="19"/>
      <c r="AC49" s="19"/>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row>
    <row r="50" spans="1:74" s="10" customFormat="1" ht="12.75" customHeight="1" x14ac:dyDescent="0.2">
      <c r="A50" s="9"/>
      <c r="B50" s="25" t="s">
        <v>40</v>
      </c>
      <c r="C50" s="20"/>
      <c r="D50" s="20"/>
      <c r="E50" s="20"/>
      <c r="F50" s="20"/>
      <c r="G50" s="20"/>
      <c r="H50" s="20"/>
      <c r="I50" s="20"/>
      <c r="J50" s="20"/>
      <c r="K50" s="27"/>
      <c r="L50" s="9"/>
      <c r="M50" s="17"/>
      <c r="N50" s="19"/>
      <c r="O50" s="19"/>
      <c r="P50" s="19"/>
      <c r="Q50" s="19"/>
      <c r="R50" s="19"/>
      <c r="S50" s="19"/>
      <c r="T50" s="19"/>
      <c r="U50" s="19"/>
      <c r="V50" s="22"/>
      <c r="W50" s="22"/>
      <c r="X50" s="22"/>
      <c r="Y50" s="22"/>
      <c r="Z50" s="22"/>
      <c r="AA50" s="22"/>
      <c r="AB50" s="22"/>
      <c r="AC50" s="22"/>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row>
    <row r="51" spans="1:74" ht="16.5" customHeight="1" x14ac:dyDescent="0.2">
      <c r="A51" s="2"/>
      <c r="B51" s="918"/>
      <c r="C51" s="919"/>
      <c r="D51" s="919"/>
      <c r="E51" s="920"/>
      <c r="F51" s="54"/>
      <c r="G51" s="54"/>
      <c r="H51" s="54"/>
      <c r="I51" s="54"/>
      <c r="J51" s="54"/>
      <c r="K51" s="55"/>
      <c r="L51" s="2"/>
      <c r="P51" s="22"/>
      <c r="Q51" s="22"/>
      <c r="R51" s="22"/>
      <c r="S51" s="22"/>
      <c r="T51" s="22"/>
      <c r="U51" s="22"/>
      <c r="Z51" s="19"/>
      <c r="AA51" s="19"/>
      <c r="AB51" s="19"/>
      <c r="AC51" s="19"/>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row>
    <row r="52" spans="1:74" ht="15" x14ac:dyDescent="0.2">
      <c r="A52" s="2"/>
      <c r="B52" s="865" t="s">
        <v>41</v>
      </c>
      <c r="C52" s="866"/>
      <c r="D52" s="866"/>
      <c r="E52" s="866"/>
      <c r="F52" s="866"/>
      <c r="G52" s="866"/>
      <c r="H52" s="866"/>
      <c r="I52" s="866"/>
      <c r="J52" s="866"/>
      <c r="K52" s="867"/>
      <c r="L52" s="2"/>
      <c r="Z52" s="19"/>
      <c r="AA52" s="19"/>
      <c r="AB52" s="19"/>
      <c r="AC52" s="19"/>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row>
    <row r="53" spans="1:74" ht="17.25" x14ac:dyDescent="0.2">
      <c r="A53" s="2"/>
      <c r="B53" s="56"/>
      <c r="C53" s="17"/>
      <c r="D53" s="17"/>
      <c r="E53" s="17"/>
      <c r="F53" s="17"/>
      <c r="G53" s="17"/>
      <c r="H53" s="17"/>
      <c r="I53" s="17"/>
      <c r="J53" s="17"/>
      <c r="K53" s="30"/>
      <c r="L53" s="2"/>
      <c r="Z53" s="19"/>
      <c r="AA53" s="19"/>
      <c r="AB53" s="19"/>
      <c r="AC53" s="19"/>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row>
    <row r="54" spans="1:74" x14ac:dyDescent="0.2">
      <c r="A54" s="2"/>
      <c r="B54" s="57"/>
      <c r="C54" s="17"/>
      <c r="D54" s="17"/>
      <c r="E54" s="17"/>
      <c r="F54" s="17"/>
      <c r="G54" s="17"/>
      <c r="H54" s="17"/>
      <c r="I54" s="17"/>
      <c r="J54" s="17"/>
      <c r="K54" s="30"/>
      <c r="L54" s="2"/>
      <c r="Z54" s="19"/>
      <c r="AA54" s="19"/>
      <c r="AB54" s="19"/>
      <c r="AC54" s="19"/>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row>
    <row r="55" spans="1:74" ht="7.5" customHeight="1" x14ac:dyDescent="0.2">
      <c r="A55" s="2"/>
      <c r="B55" s="29"/>
      <c r="C55" s="17"/>
      <c r="D55" s="17"/>
      <c r="E55" s="17"/>
      <c r="F55" s="17"/>
      <c r="G55" s="17"/>
      <c r="H55" s="17"/>
      <c r="I55" s="17"/>
      <c r="J55" s="17"/>
      <c r="K55" s="30"/>
      <c r="L55" s="2"/>
      <c r="Z55" s="19"/>
      <c r="AA55" s="19"/>
      <c r="AB55" s="19"/>
      <c r="AC55" s="19"/>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row>
    <row r="56" spans="1:74" s="10" customFormat="1" ht="9" customHeight="1" x14ac:dyDescent="0.2">
      <c r="A56" s="9"/>
      <c r="B56" s="25" t="s">
        <v>42</v>
      </c>
      <c r="C56" s="20"/>
      <c r="D56" s="20"/>
      <c r="E56" s="20"/>
      <c r="F56" s="20"/>
      <c r="G56" s="20"/>
      <c r="H56" s="20"/>
      <c r="I56" s="20"/>
      <c r="J56" s="20"/>
      <c r="K56" s="27"/>
      <c r="L56" s="9"/>
      <c r="M56" s="20"/>
      <c r="N56" s="22"/>
      <c r="O56" s="19"/>
      <c r="P56" s="19"/>
      <c r="Q56" s="19"/>
      <c r="R56" s="19"/>
      <c r="S56" s="19"/>
      <c r="T56" s="19"/>
      <c r="U56" s="19"/>
      <c r="V56" s="22"/>
      <c r="W56" s="22"/>
      <c r="X56" s="22"/>
      <c r="Y56" s="22"/>
      <c r="Z56" s="22"/>
      <c r="AA56" s="22"/>
      <c r="AB56" s="22"/>
      <c r="AC56" s="22"/>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row>
    <row r="57" spans="1:74" ht="122.25" customHeight="1" x14ac:dyDescent="0.25">
      <c r="A57" s="2"/>
      <c r="B57" s="921"/>
      <c r="C57" s="922"/>
      <c r="D57" s="922"/>
      <c r="E57" s="922"/>
      <c r="F57" s="922"/>
      <c r="G57" s="922"/>
      <c r="H57" s="922"/>
      <c r="I57" s="922"/>
      <c r="J57" s="922"/>
      <c r="K57" s="923"/>
      <c r="L57" s="2"/>
      <c r="P57" s="22"/>
      <c r="Q57" s="22"/>
      <c r="R57" s="22"/>
      <c r="S57" s="22"/>
      <c r="T57" s="22"/>
      <c r="U57" s="22"/>
      <c r="Z57" s="19"/>
      <c r="AA57" s="19"/>
      <c r="AB57" s="19"/>
      <c r="AC57" s="19"/>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row>
    <row r="58" spans="1:74" s="10" customFormat="1" ht="9" customHeight="1" x14ac:dyDescent="0.2">
      <c r="A58" s="9"/>
      <c r="B58" s="25" t="s">
        <v>43</v>
      </c>
      <c r="C58" s="20"/>
      <c r="D58" s="20"/>
      <c r="E58" s="20"/>
      <c r="F58" s="20"/>
      <c r="G58" s="20"/>
      <c r="H58" s="20"/>
      <c r="I58" s="20"/>
      <c r="J58" s="20"/>
      <c r="K58" s="27"/>
      <c r="L58" s="9"/>
      <c r="M58" s="20"/>
      <c r="N58" s="22"/>
      <c r="O58" s="19"/>
      <c r="P58" s="19"/>
      <c r="Q58" s="19"/>
      <c r="R58" s="19"/>
      <c r="S58" s="19"/>
      <c r="T58" s="19"/>
      <c r="U58" s="19"/>
      <c r="V58" s="22"/>
      <c r="W58" s="22"/>
      <c r="X58" s="22"/>
      <c r="Y58" s="22"/>
      <c r="Z58" s="22"/>
      <c r="AA58" s="22"/>
      <c r="AB58" s="22"/>
      <c r="AC58" s="22"/>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row>
    <row r="59" spans="1:74" ht="20.25" customHeight="1" x14ac:dyDescent="0.2">
      <c r="A59" s="2"/>
      <c r="B59" s="907"/>
      <c r="C59" s="891"/>
      <c r="D59" s="891"/>
      <c r="E59" s="891"/>
      <c r="F59" s="891"/>
      <c r="G59" s="891"/>
      <c r="H59" s="891"/>
      <c r="I59" s="891"/>
      <c r="J59" s="891"/>
      <c r="K59" s="908"/>
      <c r="L59" s="2"/>
      <c r="O59" s="22"/>
      <c r="P59" s="22"/>
      <c r="Q59" s="22"/>
      <c r="R59" s="22"/>
      <c r="S59" s="22"/>
      <c r="T59" s="22"/>
      <c r="U59" s="22"/>
      <c r="Z59" s="19"/>
      <c r="AA59" s="19"/>
      <c r="AB59" s="19"/>
      <c r="AC59" s="19"/>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row>
    <row r="60" spans="1:74" s="10" customFormat="1" ht="9" customHeight="1" x14ac:dyDescent="0.2">
      <c r="A60" s="9"/>
      <c r="B60" s="25" t="s">
        <v>44</v>
      </c>
      <c r="C60" s="20"/>
      <c r="D60" s="20"/>
      <c r="E60" s="20"/>
      <c r="F60" s="20"/>
      <c r="G60" s="20"/>
      <c r="H60" s="20"/>
      <c r="I60" s="20"/>
      <c r="J60" s="20"/>
      <c r="K60" s="27"/>
      <c r="L60" s="9"/>
      <c r="M60" s="20"/>
      <c r="N60" s="22"/>
      <c r="O60" s="19"/>
      <c r="P60" s="19"/>
      <c r="Q60" s="19"/>
      <c r="R60" s="19"/>
      <c r="S60" s="19"/>
      <c r="T60" s="19"/>
      <c r="U60" s="19"/>
      <c r="V60" s="22"/>
      <c r="W60" s="22"/>
      <c r="X60" s="22"/>
      <c r="Y60" s="22"/>
      <c r="Z60" s="22"/>
      <c r="AA60" s="22"/>
      <c r="AB60" s="22"/>
      <c r="AC60" s="22"/>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row>
    <row r="61" spans="1:74" ht="20.25" customHeight="1" x14ac:dyDescent="0.2">
      <c r="A61" s="2"/>
      <c r="B61" s="907"/>
      <c r="C61" s="891"/>
      <c r="D61" s="891"/>
      <c r="E61" s="891"/>
      <c r="F61" s="891"/>
      <c r="G61" s="891"/>
      <c r="H61" s="891"/>
      <c r="I61" s="891"/>
      <c r="J61" s="891"/>
      <c r="K61" s="908"/>
      <c r="L61" s="2"/>
      <c r="O61" s="22"/>
      <c r="P61" s="22"/>
      <c r="Q61" s="22"/>
      <c r="R61" s="22"/>
      <c r="S61" s="22"/>
      <c r="T61" s="22"/>
      <c r="U61" s="22"/>
      <c r="Z61" s="19"/>
      <c r="AA61" s="19"/>
      <c r="AB61" s="19"/>
      <c r="AC61" s="19"/>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row>
    <row r="62" spans="1:74" s="10" customFormat="1" ht="9" customHeight="1" x14ac:dyDescent="0.2">
      <c r="A62" s="9"/>
      <c r="B62" s="25" t="s">
        <v>45</v>
      </c>
      <c r="C62" s="20"/>
      <c r="D62" s="20"/>
      <c r="E62" s="20"/>
      <c r="F62" s="20"/>
      <c r="G62" s="20"/>
      <c r="H62" s="20"/>
      <c r="I62" s="20"/>
      <c r="J62" s="20"/>
      <c r="K62" s="27"/>
      <c r="L62" s="9"/>
      <c r="M62" s="20"/>
      <c r="N62" s="22"/>
      <c r="O62" s="19"/>
      <c r="P62" s="19"/>
      <c r="Q62" s="19"/>
      <c r="R62" s="19"/>
      <c r="S62" s="19"/>
      <c r="T62" s="19"/>
      <c r="U62" s="19"/>
      <c r="V62" s="22"/>
      <c r="W62" s="22"/>
      <c r="X62" s="22"/>
      <c r="Y62" s="22"/>
      <c r="Z62" s="22"/>
      <c r="AA62" s="22"/>
      <c r="AB62" s="22"/>
      <c r="AC62" s="22"/>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row>
    <row r="63" spans="1:74" ht="20.25" customHeight="1" x14ac:dyDescent="0.2">
      <c r="A63" s="2"/>
      <c r="B63" s="907"/>
      <c r="C63" s="891"/>
      <c r="D63" s="891"/>
      <c r="E63" s="891"/>
      <c r="F63" s="891"/>
      <c r="G63" s="891"/>
      <c r="H63" s="891"/>
      <c r="I63" s="891"/>
      <c r="J63" s="891"/>
      <c r="K63" s="908"/>
      <c r="L63" s="2"/>
      <c r="O63" s="22"/>
      <c r="P63" s="22"/>
      <c r="Q63" s="22"/>
      <c r="R63" s="22"/>
      <c r="S63" s="22"/>
      <c r="T63" s="22"/>
      <c r="U63" s="22"/>
      <c r="Z63" s="19"/>
      <c r="AA63" s="19"/>
      <c r="AB63" s="19"/>
      <c r="AC63" s="19"/>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row>
    <row r="64" spans="1:74" s="10" customFormat="1" ht="9" customHeight="1" x14ac:dyDescent="0.2">
      <c r="A64" s="9"/>
      <c r="B64" s="25" t="s">
        <v>46</v>
      </c>
      <c r="C64" s="20"/>
      <c r="D64" s="20"/>
      <c r="E64" s="20"/>
      <c r="F64" s="20"/>
      <c r="G64" s="20"/>
      <c r="H64" s="20"/>
      <c r="I64" s="20"/>
      <c r="J64" s="20"/>
      <c r="K64" s="27"/>
      <c r="L64" s="9"/>
      <c r="M64" s="20"/>
      <c r="N64" s="22"/>
      <c r="O64" s="19"/>
      <c r="P64" s="19"/>
      <c r="Q64" s="19"/>
      <c r="R64" s="19"/>
      <c r="S64" s="19"/>
      <c r="T64" s="19"/>
      <c r="U64" s="19"/>
      <c r="V64" s="22"/>
      <c r="W64" s="22"/>
      <c r="X64" s="22"/>
      <c r="Y64" s="22"/>
      <c r="Z64" s="22"/>
      <c r="AA64" s="22"/>
      <c r="AB64" s="22"/>
      <c r="AC64" s="22"/>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row>
    <row r="65" spans="1:74" ht="20.25" customHeight="1" x14ac:dyDescent="0.2">
      <c r="A65" s="2"/>
      <c r="B65" s="912"/>
      <c r="C65" s="913"/>
      <c r="D65" s="913"/>
      <c r="E65" s="913"/>
      <c r="F65" s="913"/>
      <c r="G65" s="913"/>
      <c r="H65" s="913"/>
      <c r="I65" s="913"/>
      <c r="J65" s="913"/>
      <c r="K65" s="914"/>
      <c r="L65" s="2"/>
      <c r="O65" s="22"/>
      <c r="P65" s="22"/>
      <c r="Q65" s="22"/>
      <c r="R65" s="22"/>
      <c r="S65" s="22"/>
      <c r="T65" s="22"/>
      <c r="U65" s="22"/>
      <c r="Z65" s="19"/>
      <c r="AA65" s="19"/>
      <c r="AB65" s="19"/>
      <c r="AC65" s="19"/>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row>
    <row r="66" spans="1:74" ht="21" customHeight="1" thickBot="1" x14ac:dyDescent="0.25">
      <c r="A66" s="2"/>
      <c r="B66" s="58"/>
      <c r="C66" s="59"/>
      <c r="D66" s="59"/>
      <c r="E66" s="59"/>
      <c r="F66" s="59"/>
      <c r="G66" s="59"/>
      <c r="H66" s="59"/>
      <c r="I66" s="59"/>
      <c r="J66" s="59"/>
      <c r="K66" s="60" t="s">
        <v>47</v>
      </c>
      <c r="L66" s="2"/>
      <c r="Z66" s="19"/>
      <c r="AA66" s="19"/>
      <c r="AB66" s="19"/>
      <c r="AC66" s="19"/>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row>
    <row r="67" spans="1:74" x14ac:dyDescent="0.2">
      <c r="A67" s="2"/>
      <c r="B67" s="11"/>
      <c r="C67" s="12"/>
      <c r="D67" s="12"/>
      <c r="E67" s="12"/>
      <c r="F67" s="12"/>
      <c r="G67" s="12"/>
      <c r="H67" s="12"/>
      <c r="I67" s="12"/>
      <c r="J67" s="12"/>
      <c r="K67" s="12"/>
      <c r="L67" s="2"/>
      <c r="O67" s="22"/>
      <c r="Z67" s="19"/>
      <c r="AA67" s="19"/>
      <c r="AB67" s="19"/>
      <c r="AC67" s="19"/>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row>
    <row r="68" spans="1:74" s="17" customFormat="1" x14ac:dyDescent="0.2">
      <c r="N68" s="19"/>
      <c r="O68" s="19"/>
      <c r="P68" s="19"/>
      <c r="Q68" s="19"/>
      <c r="R68" s="19"/>
      <c r="S68" s="19"/>
      <c r="T68" s="19"/>
      <c r="U68" s="19"/>
      <c r="V68" s="19"/>
      <c r="W68" s="19"/>
      <c r="X68" s="19"/>
      <c r="Y68" s="19"/>
      <c r="Z68" s="19"/>
      <c r="AA68" s="19"/>
      <c r="AB68" s="19"/>
      <c r="AC68" s="19"/>
    </row>
    <row r="69" spans="1:74" s="17" customFormat="1" x14ac:dyDescent="0.2">
      <c r="N69" s="19"/>
      <c r="O69" s="19"/>
      <c r="P69" s="19"/>
      <c r="Q69" s="19"/>
      <c r="R69" s="19"/>
      <c r="S69" s="19"/>
      <c r="T69" s="19"/>
      <c r="U69" s="19"/>
      <c r="V69" s="19"/>
      <c r="W69" s="19"/>
      <c r="X69" s="19"/>
      <c r="Y69" s="19"/>
      <c r="Z69" s="19"/>
      <c r="AA69" s="19"/>
      <c r="AB69" s="19"/>
      <c r="AC69" s="19"/>
    </row>
    <row r="70" spans="1:74" s="17" customFormat="1" x14ac:dyDescent="0.2">
      <c r="N70" s="19"/>
      <c r="O70" s="19"/>
      <c r="P70" s="19"/>
      <c r="Q70" s="19"/>
      <c r="R70" s="19"/>
      <c r="S70" s="19"/>
      <c r="T70" s="19"/>
      <c r="U70" s="19"/>
      <c r="V70" s="19"/>
      <c r="W70" s="19"/>
      <c r="X70" s="19"/>
      <c r="Y70" s="19"/>
      <c r="Z70" s="19"/>
      <c r="AA70" s="19"/>
      <c r="AB70" s="19"/>
      <c r="AC70" s="19"/>
    </row>
    <row r="71" spans="1:74" s="17" customFormat="1" x14ac:dyDescent="0.2">
      <c r="N71" s="19"/>
      <c r="O71" s="19"/>
      <c r="P71" s="19"/>
      <c r="Q71" s="19"/>
      <c r="R71" s="19"/>
      <c r="S71" s="19"/>
      <c r="T71" s="19"/>
      <c r="U71" s="19"/>
      <c r="V71" s="19"/>
      <c r="W71" s="19"/>
      <c r="X71" s="19"/>
      <c r="Y71" s="19"/>
      <c r="Z71" s="19"/>
      <c r="AA71" s="19"/>
      <c r="AB71" s="19"/>
      <c r="AC71" s="19"/>
    </row>
    <row r="72" spans="1:74" s="17" customFormat="1" ht="15" customHeight="1" x14ac:dyDescent="0.2">
      <c r="N72" s="19"/>
      <c r="O72" s="19"/>
      <c r="P72" s="19"/>
      <c r="Q72" s="19"/>
      <c r="R72" s="19"/>
      <c r="S72" s="19"/>
      <c r="T72" s="19"/>
      <c r="U72" s="19"/>
      <c r="V72" s="19"/>
      <c r="W72" s="19"/>
      <c r="X72" s="19"/>
      <c r="Y72" s="19"/>
      <c r="Z72" s="19"/>
      <c r="AA72" s="19"/>
      <c r="AB72" s="19"/>
      <c r="AC72" s="19"/>
    </row>
    <row r="73" spans="1:74" s="17" customFormat="1" x14ac:dyDescent="0.2">
      <c r="N73" s="19"/>
      <c r="O73" s="19"/>
      <c r="P73" s="19"/>
      <c r="Q73" s="19"/>
      <c r="R73" s="19"/>
      <c r="S73" s="19"/>
      <c r="T73" s="19"/>
      <c r="U73" s="19"/>
      <c r="V73" s="19"/>
      <c r="W73" s="19"/>
      <c r="X73" s="19"/>
      <c r="Y73" s="19"/>
      <c r="Z73" s="19"/>
      <c r="AA73" s="19"/>
      <c r="AB73" s="19"/>
      <c r="AC73" s="19"/>
    </row>
    <row r="74" spans="1:74" s="17" customFormat="1" x14ac:dyDescent="0.2">
      <c r="N74" s="19"/>
      <c r="O74" s="19"/>
      <c r="P74" s="19"/>
      <c r="Q74" s="19"/>
      <c r="R74" s="19"/>
      <c r="S74" s="19"/>
      <c r="T74" s="19"/>
      <c r="U74" s="19"/>
      <c r="V74" s="19"/>
      <c r="W74" s="19"/>
      <c r="X74" s="19"/>
      <c r="Y74" s="19"/>
      <c r="Z74" s="19"/>
      <c r="AA74" s="19"/>
      <c r="AB74" s="19"/>
      <c r="AC74" s="19"/>
    </row>
    <row r="75" spans="1:74" s="17" customFormat="1" x14ac:dyDescent="0.2">
      <c r="N75" s="19"/>
      <c r="O75" s="19"/>
      <c r="P75" s="19"/>
      <c r="Q75" s="19"/>
      <c r="R75" s="19"/>
      <c r="S75" s="19"/>
      <c r="T75" s="19"/>
      <c r="U75" s="19"/>
      <c r="V75" s="19"/>
      <c r="W75" s="19"/>
      <c r="X75" s="19"/>
      <c r="Y75" s="19"/>
      <c r="Z75" s="19"/>
      <c r="AA75" s="19"/>
      <c r="AB75" s="19"/>
      <c r="AC75" s="19"/>
    </row>
    <row r="76" spans="1:74" s="17" customFormat="1" x14ac:dyDescent="0.2">
      <c r="N76" s="19"/>
      <c r="O76" s="19"/>
      <c r="P76" s="19"/>
      <c r="Q76" s="19"/>
      <c r="R76" s="19"/>
      <c r="S76" s="19"/>
      <c r="T76" s="19"/>
      <c r="U76" s="19"/>
      <c r="V76" s="19"/>
      <c r="W76" s="19"/>
      <c r="X76" s="19"/>
      <c r="Y76" s="19"/>
      <c r="Z76" s="19"/>
      <c r="AA76" s="19"/>
      <c r="AB76" s="19"/>
      <c r="AC76" s="19"/>
    </row>
    <row r="77" spans="1:74" s="17" customFormat="1" x14ac:dyDescent="0.2">
      <c r="N77" s="19"/>
      <c r="O77" s="19"/>
      <c r="P77" s="19"/>
      <c r="Q77" s="19"/>
      <c r="R77" s="19"/>
      <c r="S77" s="19"/>
      <c r="T77" s="19"/>
      <c r="U77" s="19"/>
      <c r="V77" s="19"/>
      <c r="W77" s="19"/>
      <c r="X77" s="19"/>
      <c r="Y77" s="19"/>
      <c r="Z77" s="19"/>
      <c r="AA77" s="19"/>
      <c r="AB77" s="19"/>
      <c r="AC77" s="19"/>
    </row>
    <row r="78" spans="1:74" s="17" customFormat="1" x14ac:dyDescent="0.2">
      <c r="N78" s="19"/>
      <c r="O78" s="19"/>
      <c r="P78" s="19"/>
      <c r="Q78" s="19"/>
      <c r="R78" s="19"/>
      <c r="S78" s="19"/>
      <c r="T78" s="19"/>
      <c r="U78" s="19"/>
      <c r="V78" s="19"/>
      <c r="W78" s="19"/>
      <c r="X78" s="19"/>
      <c r="Y78" s="19"/>
      <c r="Z78" s="19"/>
      <c r="AA78" s="19"/>
      <c r="AB78" s="19"/>
      <c r="AC78" s="19"/>
    </row>
    <row r="79" spans="1:74" s="17" customFormat="1" x14ac:dyDescent="0.2">
      <c r="N79" s="19"/>
      <c r="O79" s="19"/>
      <c r="P79" s="19"/>
      <c r="Q79" s="19"/>
      <c r="R79" s="19"/>
      <c r="S79" s="19"/>
      <c r="T79" s="19"/>
      <c r="U79" s="19"/>
      <c r="V79" s="19"/>
      <c r="W79" s="19"/>
      <c r="X79" s="19"/>
      <c r="Y79" s="19"/>
      <c r="Z79" s="19"/>
      <c r="AA79" s="19"/>
      <c r="AB79" s="19"/>
      <c r="AC79" s="19"/>
    </row>
    <row r="80" spans="1:74" s="17" customFormat="1" x14ac:dyDescent="0.2">
      <c r="N80" s="19"/>
      <c r="O80" s="19"/>
      <c r="P80" s="19"/>
      <c r="Q80" s="19"/>
      <c r="R80" s="19"/>
      <c r="S80" s="19"/>
      <c r="T80" s="19"/>
      <c r="U80" s="19"/>
      <c r="V80" s="19"/>
      <c r="W80" s="19"/>
      <c r="X80" s="19"/>
      <c r="Y80" s="19"/>
      <c r="Z80" s="19"/>
      <c r="AA80" s="19"/>
      <c r="AB80" s="19"/>
      <c r="AC80" s="19"/>
    </row>
    <row r="81" spans="14:29" s="17" customFormat="1" x14ac:dyDescent="0.2">
      <c r="N81" s="19"/>
      <c r="O81" s="19"/>
      <c r="P81" s="19"/>
      <c r="Q81" s="19"/>
      <c r="R81" s="19"/>
      <c r="S81" s="19"/>
      <c r="T81" s="19"/>
      <c r="U81" s="19"/>
      <c r="V81" s="19"/>
      <c r="W81" s="19"/>
      <c r="X81" s="19"/>
      <c r="Y81" s="19"/>
      <c r="Z81" s="19"/>
      <c r="AA81" s="19"/>
      <c r="AB81" s="19"/>
      <c r="AC81" s="19"/>
    </row>
    <row r="82" spans="14:29" s="17" customFormat="1" x14ac:dyDescent="0.2">
      <c r="N82" s="19"/>
      <c r="O82" s="19"/>
      <c r="P82" s="19"/>
      <c r="Q82" s="19"/>
      <c r="R82" s="19"/>
      <c r="S82" s="19"/>
      <c r="T82" s="19"/>
      <c r="U82" s="19"/>
      <c r="V82" s="19"/>
      <c r="W82" s="19"/>
      <c r="X82" s="19"/>
      <c r="Y82" s="19"/>
      <c r="Z82" s="19"/>
      <c r="AA82" s="19"/>
      <c r="AB82" s="19"/>
      <c r="AC82" s="19"/>
    </row>
    <row r="83" spans="14:29" s="17" customFormat="1" x14ac:dyDescent="0.2">
      <c r="N83" s="19"/>
      <c r="O83" s="19"/>
      <c r="P83" s="19"/>
      <c r="Q83" s="19"/>
      <c r="R83" s="19"/>
      <c r="S83" s="19"/>
      <c r="T83" s="19"/>
      <c r="U83" s="19"/>
      <c r="V83" s="19"/>
      <c r="W83" s="19"/>
      <c r="X83" s="19"/>
      <c r="Y83" s="19"/>
      <c r="Z83" s="19"/>
      <c r="AA83" s="19"/>
      <c r="AB83" s="19"/>
      <c r="AC83" s="19"/>
    </row>
    <row r="84" spans="14:29" s="17" customFormat="1" x14ac:dyDescent="0.2">
      <c r="N84" s="19"/>
      <c r="O84" s="19"/>
      <c r="P84" s="19"/>
      <c r="Q84" s="19"/>
      <c r="R84" s="19"/>
      <c r="S84" s="19"/>
      <c r="T84" s="19"/>
      <c r="U84" s="19"/>
      <c r="V84" s="19"/>
      <c r="W84" s="19"/>
      <c r="X84" s="19"/>
      <c r="Y84" s="19"/>
      <c r="Z84" s="19"/>
      <c r="AA84" s="19"/>
      <c r="AB84" s="19"/>
      <c r="AC84" s="19"/>
    </row>
    <row r="85" spans="14:29" s="17" customFormat="1" x14ac:dyDescent="0.2">
      <c r="N85" s="19"/>
      <c r="O85" s="19"/>
      <c r="P85" s="19"/>
      <c r="Q85" s="19"/>
      <c r="R85" s="19"/>
      <c r="S85" s="19"/>
      <c r="T85" s="19"/>
      <c r="U85" s="19"/>
      <c r="V85" s="19"/>
      <c r="W85" s="19"/>
      <c r="X85" s="19"/>
      <c r="Y85" s="19"/>
      <c r="Z85" s="19"/>
      <c r="AA85" s="19"/>
      <c r="AB85" s="19"/>
      <c r="AC85" s="19"/>
    </row>
    <row r="86" spans="14:29" s="17" customFormat="1" x14ac:dyDescent="0.2">
      <c r="N86" s="19"/>
      <c r="O86" s="19"/>
      <c r="P86" s="19"/>
      <c r="Q86" s="19"/>
      <c r="R86" s="19"/>
      <c r="S86" s="19"/>
      <c r="T86" s="19"/>
      <c r="U86" s="19"/>
      <c r="V86" s="19"/>
      <c r="W86" s="19"/>
      <c r="X86" s="19"/>
      <c r="Y86" s="19"/>
      <c r="Z86" s="19"/>
      <c r="AA86" s="19"/>
      <c r="AB86" s="19"/>
      <c r="AC86" s="19"/>
    </row>
    <row r="87" spans="14:29" s="17" customFormat="1" x14ac:dyDescent="0.2">
      <c r="N87" s="19"/>
      <c r="O87" s="19"/>
      <c r="P87" s="19"/>
      <c r="Q87" s="19"/>
      <c r="R87" s="19"/>
      <c r="S87" s="19"/>
      <c r="T87" s="19"/>
      <c r="U87" s="19"/>
      <c r="V87" s="19"/>
      <c r="W87" s="19"/>
      <c r="X87" s="19"/>
      <c r="Y87" s="19"/>
      <c r="Z87" s="19"/>
      <c r="AA87" s="19"/>
      <c r="AB87" s="19"/>
      <c r="AC87" s="19"/>
    </row>
    <row r="88" spans="14:29" s="17" customFormat="1" x14ac:dyDescent="0.2">
      <c r="N88" s="19"/>
      <c r="O88" s="19"/>
      <c r="P88" s="19"/>
      <c r="Q88" s="19"/>
      <c r="R88" s="19"/>
      <c r="S88" s="19"/>
      <c r="T88" s="19"/>
      <c r="U88" s="19"/>
      <c r="V88" s="19"/>
      <c r="W88" s="19"/>
      <c r="X88" s="19"/>
      <c r="Y88" s="19"/>
      <c r="Z88" s="19"/>
      <c r="AA88" s="19"/>
      <c r="AB88" s="19"/>
      <c r="AC88" s="19"/>
    </row>
    <row r="89" spans="14:29" s="17" customFormat="1" x14ac:dyDescent="0.2">
      <c r="N89" s="19"/>
      <c r="O89" s="19"/>
      <c r="P89" s="19"/>
      <c r="Q89" s="19"/>
      <c r="R89" s="19"/>
      <c r="S89" s="19"/>
      <c r="T89" s="19"/>
      <c r="U89" s="19"/>
      <c r="V89" s="19"/>
      <c r="W89" s="19"/>
      <c r="X89" s="19"/>
      <c r="Y89" s="19"/>
      <c r="Z89" s="19"/>
      <c r="AA89" s="19"/>
      <c r="AB89" s="19"/>
      <c r="AC89" s="19"/>
    </row>
    <row r="90" spans="14:29" s="17" customFormat="1" x14ac:dyDescent="0.2">
      <c r="N90" s="19"/>
      <c r="O90" s="19"/>
      <c r="P90" s="19"/>
      <c r="Q90" s="19"/>
      <c r="R90" s="19"/>
      <c r="S90" s="19"/>
      <c r="T90" s="19"/>
      <c r="U90" s="19"/>
      <c r="V90" s="19"/>
      <c r="W90" s="19"/>
      <c r="X90" s="19"/>
      <c r="Y90" s="19"/>
      <c r="Z90" s="19"/>
      <c r="AA90" s="19"/>
      <c r="AB90" s="19"/>
      <c r="AC90" s="19"/>
    </row>
    <row r="91" spans="14:29" s="17" customFormat="1" x14ac:dyDescent="0.2">
      <c r="N91" s="19"/>
      <c r="O91" s="19"/>
      <c r="P91" s="19"/>
      <c r="Q91" s="19"/>
      <c r="R91" s="19"/>
      <c r="S91" s="19"/>
      <c r="T91" s="19"/>
      <c r="U91" s="19"/>
      <c r="V91" s="19"/>
      <c r="W91" s="19"/>
      <c r="X91" s="19"/>
      <c r="Y91" s="19"/>
      <c r="Z91" s="19"/>
      <c r="AA91" s="19"/>
      <c r="AB91" s="19"/>
      <c r="AC91" s="19"/>
    </row>
    <row r="92" spans="14:29" s="17" customFormat="1" x14ac:dyDescent="0.2">
      <c r="N92" s="19"/>
      <c r="O92" s="19"/>
      <c r="P92" s="19"/>
      <c r="Q92" s="19"/>
      <c r="R92" s="19"/>
      <c r="S92" s="19"/>
      <c r="T92" s="19"/>
      <c r="U92" s="19"/>
      <c r="V92" s="19"/>
      <c r="W92" s="19"/>
      <c r="X92" s="19"/>
      <c r="Y92" s="19"/>
      <c r="Z92" s="19"/>
      <c r="AA92" s="19"/>
      <c r="AB92" s="19"/>
      <c r="AC92" s="19"/>
    </row>
    <row r="93" spans="14:29" s="17" customFormat="1" x14ac:dyDescent="0.2">
      <c r="N93" s="19"/>
      <c r="O93" s="19"/>
      <c r="P93" s="19"/>
      <c r="Q93" s="19"/>
      <c r="R93" s="19"/>
      <c r="S93" s="19"/>
      <c r="T93" s="19"/>
      <c r="U93" s="19"/>
      <c r="V93" s="19"/>
      <c r="W93" s="19"/>
      <c r="X93" s="19"/>
      <c r="Y93" s="19"/>
      <c r="Z93" s="19"/>
      <c r="AA93" s="19"/>
      <c r="AB93" s="19"/>
      <c r="AC93" s="19"/>
    </row>
    <row r="94" spans="14:29" s="17" customFormat="1" x14ac:dyDescent="0.2">
      <c r="N94" s="19"/>
      <c r="O94" s="19"/>
      <c r="P94" s="19"/>
      <c r="Q94" s="19"/>
      <c r="R94" s="19"/>
      <c r="S94" s="19"/>
      <c r="T94" s="19"/>
      <c r="U94" s="19"/>
      <c r="V94" s="19"/>
      <c r="W94" s="19"/>
      <c r="X94" s="19"/>
      <c r="Y94" s="19"/>
      <c r="Z94" s="19"/>
      <c r="AA94" s="19"/>
      <c r="AB94" s="19"/>
      <c r="AC94" s="19"/>
    </row>
    <row r="95" spans="14:29" s="17" customFormat="1" x14ac:dyDescent="0.2">
      <c r="N95" s="19"/>
      <c r="O95" s="19"/>
      <c r="P95" s="19"/>
      <c r="Q95" s="19"/>
      <c r="R95" s="19"/>
      <c r="S95" s="19"/>
      <c r="T95" s="19"/>
      <c r="U95" s="19"/>
      <c r="V95" s="19"/>
      <c r="W95" s="19"/>
      <c r="X95" s="19"/>
      <c r="Y95" s="19"/>
      <c r="Z95" s="19"/>
      <c r="AA95" s="19"/>
      <c r="AB95" s="19"/>
      <c r="AC95" s="19"/>
    </row>
    <row r="96" spans="14:29" s="17" customFormat="1" x14ac:dyDescent="0.2">
      <c r="N96" s="19"/>
      <c r="O96" s="19"/>
      <c r="P96" s="19"/>
      <c r="Q96" s="19"/>
      <c r="R96" s="19"/>
      <c r="S96" s="19"/>
      <c r="T96" s="19"/>
      <c r="U96" s="19"/>
      <c r="V96" s="19"/>
      <c r="W96" s="19"/>
      <c r="X96" s="19"/>
      <c r="Y96" s="19"/>
      <c r="Z96" s="19"/>
      <c r="AA96" s="19"/>
      <c r="AB96" s="19"/>
      <c r="AC96" s="19"/>
    </row>
    <row r="97" spans="14:29" s="17" customFormat="1" x14ac:dyDescent="0.2">
      <c r="N97" s="19"/>
      <c r="O97" s="19"/>
      <c r="P97" s="19"/>
      <c r="Q97" s="19"/>
      <c r="R97" s="19"/>
      <c r="S97" s="19"/>
      <c r="T97" s="19"/>
      <c r="U97" s="19"/>
      <c r="V97" s="19"/>
      <c r="W97" s="19"/>
      <c r="X97" s="19"/>
      <c r="Y97" s="19"/>
      <c r="Z97" s="19"/>
      <c r="AA97" s="19"/>
      <c r="AB97" s="19"/>
      <c r="AC97" s="19"/>
    </row>
    <row r="98" spans="14:29" s="17" customFormat="1" x14ac:dyDescent="0.2">
      <c r="N98" s="19"/>
      <c r="O98" s="19"/>
      <c r="P98" s="19"/>
      <c r="Q98" s="19"/>
      <c r="R98" s="19"/>
      <c r="S98" s="19"/>
      <c r="T98" s="19"/>
      <c r="U98" s="19"/>
      <c r="V98" s="19"/>
      <c r="W98" s="19"/>
      <c r="X98" s="19"/>
      <c r="Y98" s="19"/>
      <c r="Z98" s="19"/>
      <c r="AA98" s="19"/>
      <c r="AB98" s="19"/>
      <c r="AC98" s="19"/>
    </row>
    <row r="99" spans="14:29" s="17" customFormat="1" x14ac:dyDescent="0.2">
      <c r="N99" s="19"/>
      <c r="O99" s="19"/>
      <c r="P99" s="19"/>
      <c r="Q99" s="19"/>
      <c r="R99" s="19"/>
      <c r="S99" s="19"/>
      <c r="T99" s="19"/>
      <c r="U99" s="19"/>
      <c r="V99" s="19"/>
      <c r="W99" s="19"/>
      <c r="X99" s="19"/>
      <c r="Y99" s="19"/>
      <c r="Z99" s="19"/>
      <c r="AA99" s="19"/>
      <c r="AB99" s="19"/>
      <c r="AC99" s="19"/>
    </row>
    <row r="100" spans="14:29" s="17" customFormat="1" x14ac:dyDescent="0.2">
      <c r="N100" s="19"/>
      <c r="O100" s="19"/>
      <c r="P100" s="19"/>
      <c r="Q100" s="19"/>
      <c r="R100" s="19"/>
      <c r="S100" s="19"/>
      <c r="T100" s="19"/>
      <c r="U100" s="19"/>
      <c r="V100" s="19"/>
      <c r="W100" s="19"/>
      <c r="X100" s="19"/>
      <c r="Y100" s="19"/>
      <c r="Z100" s="19"/>
      <c r="AA100" s="19"/>
      <c r="AB100" s="19"/>
      <c r="AC100" s="19"/>
    </row>
    <row r="101" spans="14:29" s="17" customFormat="1" x14ac:dyDescent="0.2">
      <c r="N101" s="19"/>
      <c r="O101" s="19"/>
      <c r="P101" s="19"/>
      <c r="Q101" s="19"/>
      <c r="R101" s="19"/>
      <c r="S101" s="19"/>
      <c r="T101" s="19"/>
      <c r="U101" s="19"/>
      <c r="V101" s="19"/>
      <c r="W101" s="19"/>
      <c r="X101" s="19"/>
      <c r="Y101" s="19"/>
      <c r="Z101" s="19"/>
      <c r="AA101" s="19"/>
      <c r="AB101" s="19"/>
      <c r="AC101" s="19"/>
    </row>
    <row r="102" spans="14:29" s="17" customFormat="1" x14ac:dyDescent="0.2">
      <c r="N102" s="19"/>
      <c r="O102" s="19"/>
      <c r="P102" s="19"/>
      <c r="Q102" s="19"/>
      <c r="R102" s="19"/>
      <c r="S102" s="19"/>
      <c r="T102" s="19"/>
      <c r="U102" s="19"/>
      <c r="V102" s="19"/>
      <c r="W102" s="19"/>
      <c r="X102" s="19"/>
      <c r="Y102" s="19"/>
      <c r="Z102" s="19"/>
      <c r="AA102" s="19"/>
      <c r="AB102" s="19"/>
      <c r="AC102" s="19"/>
    </row>
    <row r="103" spans="14:29" s="17" customFormat="1" x14ac:dyDescent="0.2">
      <c r="N103" s="19"/>
      <c r="O103" s="19"/>
      <c r="P103" s="19"/>
      <c r="Q103" s="19"/>
      <c r="R103" s="19"/>
      <c r="S103" s="19"/>
      <c r="T103" s="19"/>
      <c r="U103" s="19"/>
      <c r="V103" s="19"/>
      <c r="W103" s="19"/>
      <c r="X103" s="19"/>
      <c r="Y103" s="19"/>
      <c r="Z103" s="19"/>
      <c r="AA103" s="19"/>
      <c r="AB103" s="19"/>
      <c r="AC103" s="19"/>
    </row>
    <row r="104" spans="14:29" s="17" customFormat="1" x14ac:dyDescent="0.2">
      <c r="N104" s="19"/>
      <c r="O104" s="19"/>
      <c r="P104" s="19"/>
      <c r="Q104" s="19"/>
      <c r="R104" s="19"/>
      <c r="S104" s="19"/>
      <c r="T104" s="19"/>
      <c r="U104" s="19"/>
      <c r="V104" s="19"/>
      <c r="W104" s="19"/>
      <c r="X104" s="19"/>
      <c r="Y104" s="19"/>
      <c r="Z104" s="19"/>
      <c r="AA104" s="19"/>
      <c r="AB104" s="19"/>
      <c r="AC104" s="19"/>
    </row>
    <row r="105" spans="14:29" s="17" customFormat="1" x14ac:dyDescent="0.2">
      <c r="N105" s="19"/>
      <c r="O105" s="19"/>
      <c r="P105" s="19"/>
      <c r="Q105" s="19"/>
      <c r="R105" s="19"/>
      <c r="S105" s="19"/>
      <c r="T105" s="19"/>
      <c r="U105" s="19"/>
      <c r="V105" s="19"/>
      <c r="W105" s="19"/>
      <c r="X105" s="19"/>
      <c r="Y105" s="19"/>
      <c r="Z105" s="19"/>
      <c r="AA105" s="19"/>
      <c r="AB105" s="19"/>
      <c r="AC105" s="19"/>
    </row>
    <row r="106" spans="14:29" s="17" customFormat="1" x14ac:dyDescent="0.2">
      <c r="N106" s="19"/>
      <c r="O106" s="19"/>
      <c r="P106" s="19"/>
      <c r="Q106" s="19"/>
      <c r="R106" s="19"/>
      <c r="S106" s="19"/>
      <c r="T106" s="19"/>
      <c r="U106" s="19"/>
      <c r="V106" s="19"/>
      <c r="W106" s="19"/>
      <c r="X106" s="19"/>
      <c r="Y106" s="19"/>
      <c r="Z106" s="19"/>
      <c r="AA106" s="19"/>
      <c r="AB106" s="19"/>
      <c r="AC106" s="19"/>
    </row>
    <row r="107" spans="14:29" s="17" customFormat="1" x14ac:dyDescent="0.2">
      <c r="N107" s="19"/>
      <c r="O107" s="19"/>
      <c r="P107" s="19"/>
      <c r="Q107" s="19"/>
      <c r="R107" s="19"/>
      <c r="S107" s="19"/>
      <c r="T107" s="19"/>
      <c r="U107" s="19"/>
      <c r="V107" s="19"/>
      <c r="W107" s="19"/>
      <c r="X107" s="19"/>
      <c r="Y107" s="19"/>
      <c r="Z107" s="19"/>
      <c r="AA107" s="19"/>
      <c r="AB107" s="19"/>
      <c r="AC107" s="19"/>
    </row>
    <row r="108" spans="14:29" s="17" customFormat="1" x14ac:dyDescent="0.2">
      <c r="N108" s="19"/>
      <c r="O108" s="19"/>
      <c r="P108" s="19"/>
      <c r="Q108" s="19"/>
      <c r="R108" s="19"/>
      <c r="S108" s="19"/>
      <c r="T108" s="19"/>
      <c r="U108" s="19"/>
      <c r="V108" s="19"/>
      <c r="W108" s="19"/>
      <c r="X108" s="19"/>
      <c r="Y108" s="19"/>
      <c r="Z108" s="19"/>
      <c r="AA108" s="19"/>
      <c r="AB108" s="19"/>
      <c r="AC108" s="19"/>
    </row>
    <row r="109" spans="14:29" s="17" customFormat="1" x14ac:dyDescent="0.2">
      <c r="N109" s="19"/>
      <c r="O109" s="19"/>
      <c r="P109" s="19"/>
      <c r="Q109" s="19"/>
      <c r="R109" s="19"/>
      <c r="S109" s="19"/>
      <c r="T109" s="19"/>
      <c r="U109" s="19"/>
      <c r="V109" s="19"/>
      <c r="W109" s="19"/>
      <c r="X109" s="19"/>
      <c r="Y109" s="19"/>
      <c r="Z109" s="19"/>
      <c r="AA109" s="19"/>
      <c r="AB109" s="19"/>
      <c r="AC109" s="19"/>
    </row>
    <row r="110" spans="14:29" s="17" customFormat="1" x14ac:dyDescent="0.2">
      <c r="N110" s="19"/>
      <c r="O110" s="19"/>
      <c r="P110" s="19"/>
      <c r="Q110" s="19"/>
      <c r="R110" s="19"/>
      <c r="S110" s="19"/>
      <c r="T110" s="19"/>
      <c r="U110" s="19"/>
      <c r="V110" s="19"/>
      <c r="W110" s="19"/>
      <c r="X110" s="19"/>
      <c r="Y110" s="19"/>
      <c r="Z110" s="19"/>
      <c r="AA110" s="19"/>
      <c r="AB110" s="19"/>
      <c r="AC110" s="19"/>
    </row>
    <row r="111" spans="14:29" s="17" customFormat="1" x14ac:dyDescent="0.2">
      <c r="N111" s="19"/>
      <c r="O111" s="19"/>
      <c r="P111" s="19"/>
      <c r="Q111" s="19"/>
      <c r="R111" s="19"/>
      <c r="S111" s="19"/>
      <c r="T111" s="19"/>
      <c r="U111" s="19"/>
      <c r="V111" s="19"/>
      <c r="W111" s="19"/>
      <c r="X111" s="19"/>
      <c r="Y111" s="19"/>
      <c r="Z111" s="19"/>
      <c r="AA111" s="19"/>
      <c r="AB111" s="19"/>
      <c r="AC111" s="19"/>
    </row>
    <row r="112" spans="14:29" s="17" customFormat="1" x14ac:dyDescent="0.2">
      <c r="N112" s="19"/>
      <c r="O112" s="19"/>
      <c r="P112" s="19"/>
      <c r="Q112" s="19"/>
      <c r="R112" s="19"/>
      <c r="S112" s="19"/>
      <c r="T112" s="19"/>
      <c r="U112" s="19"/>
      <c r="V112" s="19"/>
      <c r="W112" s="19"/>
      <c r="X112" s="19"/>
      <c r="Y112" s="19"/>
      <c r="Z112" s="19"/>
      <c r="AA112" s="19"/>
      <c r="AB112" s="19"/>
      <c r="AC112" s="19"/>
    </row>
    <row r="113" spans="14:29" s="17" customFormat="1" x14ac:dyDescent="0.2">
      <c r="N113" s="19"/>
      <c r="O113" s="19"/>
      <c r="P113" s="19"/>
      <c r="Q113" s="19"/>
      <c r="R113" s="19"/>
      <c r="S113" s="19"/>
      <c r="T113" s="19"/>
      <c r="U113" s="19"/>
      <c r="V113" s="19"/>
      <c r="W113" s="19"/>
      <c r="X113" s="19"/>
      <c r="Y113" s="19"/>
      <c r="Z113" s="19"/>
      <c r="AA113" s="19"/>
      <c r="AB113" s="19"/>
      <c r="AC113" s="19"/>
    </row>
    <row r="114" spans="14:29" s="17" customFormat="1" x14ac:dyDescent="0.2">
      <c r="N114" s="19"/>
      <c r="O114" s="19"/>
      <c r="P114" s="19"/>
      <c r="Q114" s="19"/>
      <c r="R114" s="19"/>
      <c r="S114" s="19"/>
      <c r="T114" s="19"/>
      <c r="U114" s="19"/>
      <c r="V114" s="19"/>
      <c r="W114" s="19"/>
      <c r="X114" s="19"/>
      <c r="Y114" s="19"/>
      <c r="Z114" s="19"/>
      <c r="AA114" s="19"/>
      <c r="AB114" s="19"/>
      <c r="AC114" s="19"/>
    </row>
    <row r="115" spans="14:29" s="17" customFormat="1" x14ac:dyDescent="0.2">
      <c r="N115" s="19"/>
      <c r="O115" s="19"/>
      <c r="P115" s="19"/>
      <c r="Q115" s="19"/>
      <c r="R115" s="19"/>
      <c r="S115" s="19"/>
      <c r="T115" s="19"/>
      <c r="U115" s="19"/>
      <c r="V115" s="19"/>
      <c r="W115" s="19"/>
      <c r="X115" s="19"/>
      <c r="Y115" s="19"/>
      <c r="Z115" s="19"/>
      <c r="AA115" s="19"/>
      <c r="AB115" s="19"/>
      <c r="AC115" s="19"/>
    </row>
    <row r="116" spans="14:29" s="17" customFormat="1" x14ac:dyDescent="0.2">
      <c r="N116" s="19"/>
      <c r="O116" s="19"/>
      <c r="P116" s="19"/>
      <c r="Q116" s="19"/>
      <c r="R116" s="19"/>
      <c r="S116" s="19"/>
      <c r="T116" s="19"/>
      <c r="U116" s="19"/>
      <c r="V116" s="19"/>
      <c r="W116" s="19"/>
      <c r="X116" s="19"/>
      <c r="Y116" s="19"/>
      <c r="Z116" s="19"/>
      <c r="AA116" s="19"/>
      <c r="AB116" s="19"/>
      <c r="AC116" s="19"/>
    </row>
    <row r="117" spans="14:29" s="17" customFormat="1" x14ac:dyDescent="0.2">
      <c r="N117" s="19"/>
      <c r="O117" s="19"/>
      <c r="P117" s="19"/>
      <c r="Q117" s="19"/>
      <c r="R117" s="19"/>
      <c r="S117" s="19"/>
      <c r="T117" s="19"/>
      <c r="U117" s="19"/>
      <c r="V117" s="19"/>
      <c r="W117" s="19"/>
      <c r="X117" s="19"/>
      <c r="Y117" s="19"/>
      <c r="Z117" s="19"/>
      <c r="AA117" s="19"/>
      <c r="AB117" s="19"/>
      <c r="AC117" s="19"/>
    </row>
    <row r="118" spans="14:29" s="17" customFormat="1" x14ac:dyDescent="0.2">
      <c r="N118" s="19"/>
      <c r="O118" s="19"/>
      <c r="P118" s="19"/>
      <c r="Q118" s="19"/>
      <c r="R118" s="19"/>
      <c r="S118" s="19"/>
      <c r="T118" s="19"/>
      <c r="U118" s="19"/>
      <c r="V118" s="19"/>
      <c r="W118" s="19"/>
      <c r="X118" s="19"/>
      <c r="Y118" s="19"/>
      <c r="Z118" s="19"/>
      <c r="AA118" s="19"/>
      <c r="AB118" s="19"/>
      <c r="AC118" s="19"/>
    </row>
    <row r="119" spans="14:29" s="17" customFormat="1" x14ac:dyDescent="0.2">
      <c r="N119" s="19"/>
      <c r="O119" s="19"/>
      <c r="P119" s="19"/>
      <c r="Q119" s="19"/>
      <c r="R119" s="19"/>
      <c r="S119" s="19"/>
      <c r="T119" s="19"/>
      <c r="U119" s="19"/>
      <c r="V119" s="19"/>
      <c r="W119" s="19"/>
      <c r="X119" s="19"/>
      <c r="Y119" s="19"/>
      <c r="Z119" s="19"/>
      <c r="AA119" s="19"/>
      <c r="AB119" s="19"/>
      <c r="AC119" s="19"/>
    </row>
    <row r="120" spans="14:29" s="17" customFormat="1" x14ac:dyDescent="0.2">
      <c r="N120" s="19"/>
      <c r="O120" s="19"/>
      <c r="P120" s="19"/>
      <c r="Q120" s="19"/>
      <c r="R120" s="19"/>
      <c r="S120" s="19"/>
      <c r="T120" s="19"/>
      <c r="U120" s="19"/>
      <c r="V120" s="19"/>
      <c r="W120" s="19"/>
      <c r="X120" s="19"/>
      <c r="Y120" s="19"/>
      <c r="Z120" s="19"/>
      <c r="AA120" s="19"/>
      <c r="AB120" s="19"/>
      <c r="AC120" s="19"/>
    </row>
    <row r="121" spans="14:29" s="17" customFormat="1" x14ac:dyDescent="0.2">
      <c r="N121" s="19"/>
      <c r="O121" s="19"/>
      <c r="P121" s="19"/>
      <c r="Q121" s="19"/>
      <c r="R121" s="19"/>
      <c r="S121" s="19"/>
      <c r="T121" s="19"/>
      <c r="U121" s="19"/>
      <c r="V121" s="19"/>
      <c r="W121" s="19"/>
      <c r="X121" s="19"/>
      <c r="Y121" s="19"/>
      <c r="Z121" s="19"/>
      <c r="AA121" s="19"/>
      <c r="AB121" s="19"/>
      <c r="AC121" s="19"/>
    </row>
    <row r="122" spans="14:29" s="17" customFormat="1" x14ac:dyDescent="0.2">
      <c r="N122" s="19"/>
      <c r="O122" s="19"/>
      <c r="P122" s="19"/>
      <c r="Q122" s="19"/>
      <c r="R122" s="19"/>
      <c r="S122" s="19"/>
      <c r="T122" s="19"/>
      <c r="U122" s="19"/>
      <c r="V122" s="19"/>
      <c r="W122" s="19"/>
      <c r="X122" s="19"/>
      <c r="Y122" s="19"/>
      <c r="Z122" s="19"/>
      <c r="AA122" s="19"/>
      <c r="AB122" s="19"/>
      <c r="AC122" s="19"/>
    </row>
    <row r="123" spans="14:29" s="17" customFormat="1" x14ac:dyDescent="0.2">
      <c r="N123" s="19"/>
      <c r="O123" s="19"/>
      <c r="P123" s="19"/>
      <c r="Q123" s="19"/>
      <c r="R123" s="19"/>
      <c r="S123" s="19"/>
      <c r="T123" s="19"/>
      <c r="U123" s="19"/>
      <c r="V123" s="19"/>
      <c r="W123" s="19"/>
      <c r="X123" s="19"/>
      <c r="Y123" s="19"/>
      <c r="Z123" s="19"/>
      <c r="AA123" s="19"/>
      <c r="AB123" s="19"/>
      <c r="AC123" s="19"/>
    </row>
    <row r="124" spans="14:29" s="17" customFormat="1" x14ac:dyDescent="0.2">
      <c r="N124" s="19"/>
      <c r="O124" s="19"/>
      <c r="P124" s="19"/>
      <c r="Q124" s="19"/>
      <c r="R124" s="19"/>
      <c r="S124" s="19"/>
      <c r="T124" s="19"/>
      <c r="U124" s="19"/>
      <c r="V124" s="19"/>
      <c r="W124" s="19"/>
      <c r="X124" s="19"/>
      <c r="Y124" s="19"/>
      <c r="Z124" s="19"/>
      <c r="AA124" s="19"/>
      <c r="AB124" s="19"/>
      <c r="AC124" s="19"/>
    </row>
    <row r="125" spans="14:29" s="17" customFormat="1" x14ac:dyDescent="0.2">
      <c r="N125" s="19"/>
      <c r="O125" s="19"/>
      <c r="P125" s="19"/>
      <c r="Q125" s="19"/>
      <c r="R125" s="19"/>
      <c r="S125" s="19"/>
      <c r="T125" s="19"/>
      <c r="U125" s="19"/>
      <c r="V125" s="19"/>
      <c r="W125" s="19"/>
      <c r="X125" s="19"/>
      <c r="Y125" s="19"/>
      <c r="Z125" s="19"/>
      <c r="AA125" s="19"/>
      <c r="AB125" s="19"/>
      <c r="AC125" s="19"/>
    </row>
    <row r="126" spans="14:29" s="17" customFormat="1" x14ac:dyDescent="0.2">
      <c r="N126" s="19"/>
      <c r="O126" s="19"/>
      <c r="P126" s="19"/>
      <c r="Q126" s="19"/>
      <c r="R126" s="19"/>
      <c r="S126" s="19"/>
      <c r="T126" s="19"/>
      <c r="U126" s="19"/>
      <c r="V126" s="19"/>
      <c r="W126" s="19"/>
      <c r="X126" s="19"/>
      <c r="Y126" s="19"/>
      <c r="Z126" s="19"/>
      <c r="AA126" s="19"/>
      <c r="AB126" s="19"/>
      <c r="AC126" s="19"/>
    </row>
    <row r="127" spans="14:29" s="17" customFormat="1" x14ac:dyDescent="0.2">
      <c r="N127" s="19"/>
      <c r="O127" s="19"/>
      <c r="P127" s="19"/>
      <c r="Q127" s="19"/>
      <c r="R127" s="19"/>
      <c r="S127" s="19"/>
      <c r="T127" s="19"/>
      <c r="U127" s="19"/>
      <c r="V127" s="19"/>
      <c r="W127" s="19"/>
      <c r="X127" s="19"/>
      <c r="Y127" s="19"/>
      <c r="Z127" s="19"/>
      <c r="AA127" s="19"/>
      <c r="AB127" s="19"/>
      <c r="AC127" s="19"/>
    </row>
    <row r="128" spans="14:29" s="17" customFormat="1" x14ac:dyDescent="0.2">
      <c r="N128" s="19"/>
      <c r="O128" s="19"/>
      <c r="P128" s="19"/>
      <c r="Q128" s="19"/>
      <c r="R128" s="19"/>
      <c r="S128" s="19"/>
      <c r="T128" s="19"/>
      <c r="U128" s="19"/>
      <c r="V128" s="19"/>
      <c r="W128" s="19"/>
      <c r="X128" s="19"/>
      <c r="Y128" s="19"/>
      <c r="Z128" s="19"/>
      <c r="AA128" s="19"/>
      <c r="AB128" s="19"/>
      <c r="AC128" s="19"/>
    </row>
    <row r="129" spans="14:29" s="17" customFormat="1" x14ac:dyDescent="0.2">
      <c r="N129" s="19"/>
      <c r="O129" s="19"/>
      <c r="P129" s="19"/>
      <c r="Q129" s="19"/>
      <c r="R129" s="19"/>
      <c r="S129" s="19"/>
      <c r="T129" s="19"/>
      <c r="U129" s="19"/>
      <c r="V129" s="19"/>
      <c r="W129" s="19"/>
      <c r="X129" s="19"/>
      <c r="Y129" s="19"/>
      <c r="Z129" s="19"/>
      <c r="AA129" s="19"/>
      <c r="AB129" s="19"/>
      <c r="AC129" s="19"/>
    </row>
    <row r="130" spans="14:29" s="17" customFormat="1" x14ac:dyDescent="0.2">
      <c r="N130" s="19"/>
      <c r="O130" s="19"/>
      <c r="P130" s="19"/>
      <c r="Q130" s="19"/>
      <c r="R130" s="19"/>
      <c r="S130" s="19"/>
      <c r="T130" s="19"/>
      <c r="U130" s="19"/>
      <c r="V130" s="19"/>
      <c r="W130" s="19"/>
      <c r="X130" s="19"/>
      <c r="Y130" s="19"/>
      <c r="Z130" s="19"/>
      <c r="AA130" s="19"/>
      <c r="AB130" s="19"/>
      <c r="AC130" s="19"/>
    </row>
    <row r="131" spans="14:29" s="17" customFormat="1" x14ac:dyDescent="0.2">
      <c r="N131" s="19"/>
      <c r="O131" s="19"/>
      <c r="P131" s="19"/>
      <c r="Q131" s="19"/>
      <c r="R131" s="19"/>
      <c r="S131" s="19"/>
      <c r="T131" s="19"/>
      <c r="U131" s="19"/>
      <c r="V131" s="19"/>
      <c r="W131" s="19"/>
      <c r="X131" s="19"/>
      <c r="Y131" s="19"/>
      <c r="Z131" s="19"/>
      <c r="AA131" s="19"/>
      <c r="AB131" s="19"/>
      <c r="AC131" s="19"/>
    </row>
    <row r="132" spans="14:29" s="17" customFormat="1" x14ac:dyDescent="0.2">
      <c r="N132" s="19"/>
      <c r="O132" s="19"/>
      <c r="P132" s="19"/>
      <c r="Q132" s="19"/>
      <c r="R132" s="19"/>
      <c r="S132" s="19"/>
      <c r="T132" s="19"/>
      <c r="U132" s="19"/>
      <c r="V132" s="19"/>
      <c r="W132" s="19"/>
      <c r="X132" s="19"/>
      <c r="Y132" s="19"/>
      <c r="Z132" s="19"/>
      <c r="AA132" s="19"/>
      <c r="AB132" s="19"/>
      <c r="AC132" s="19"/>
    </row>
    <row r="133" spans="14:29" s="17" customFormat="1" x14ac:dyDescent="0.2">
      <c r="N133" s="19"/>
      <c r="O133" s="19"/>
      <c r="P133" s="19"/>
      <c r="Q133" s="19"/>
      <c r="R133" s="19"/>
      <c r="S133" s="19"/>
      <c r="T133" s="19"/>
      <c r="U133" s="19"/>
      <c r="V133" s="19"/>
      <c r="W133" s="19"/>
      <c r="X133" s="19"/>
      <c r="Y133" s="19"/>
      <c r="Z133" s="19"/>
      <c r="AA133" s="19"/>
      <c r="AB133" s="19"/>
      <c r="AC133" s="19"/>
    </row>
    <row r="134" spans="14:29" s="17" customFormat="1" x14ac:dyDescent="0.2">
      <c r="N134" s="19"/>
      <c r="O134" s="19"/>
      <c r="P134" s="19"/>
      <c r="Q134" s="19"/>
      <c r="R134" s="19"/>
      <c r="S134" s="19"/>
      <c r="T134" s="19"/>
      <c r="U134" s="19"/>
      <c r="V134" s="19"/>
      <c r="W134" s="19"/>
      <c r="X134" s="19"/>
      <c r="Y134" s="19"/>
      <c r="Z134" s="19"/>
      <c r="AA134" s="19"/>
      <c r="AB134" s="19"/>
      <c r="AC134" s="19"/>
    </row>
    <row r="135" spans="14:29" s="17" customFormat="1" x14ac:dyDescent="0.2">
      <c r="N135" s="19"/>
      <c r="O135" s="19"/>
      <c r="P135" s="19"/>
      <c r="Q135" s="19"/>
      <c r="R135" s="19"/>
      <c r="S135" s="19"/>
      <c r="T135" s="19"/>
      <c r="U135" s="19"/>
      <c r="V135" s="19"/>
      <c r="W135" s="19"/>
      <c r="X135" s="19"/>
      <c r="Y135" s="19"/>
      <c r="Z135" s="19"/>
      <c r="AA135" s="19"/>
      <c r="AB135" s="19"/>
      <c r="AC135" s="19"/>
    </row>
    <row r="136" spans="14:29" s="17" customFormat="1" x14ac:dyDescent="0.2">
      <c r="N136" s="19"/>
      <c r="O136" s="19"/>
      <c r="P136" s="19"/>
      <c r="Q136" s="19"/>
      <c r="R136" s="19"/>
      <c r="S136" s="19"/>
      <c r="T136" s="19"/>
      <c r="U136" s="19"/>
      <c r="V136" s="19"/>
      <c r="W136" s="19"/>
      <c r="X136" s="19"/>
      <c r="Y136" s="19"/>
      <c r="Z136" s="19"/>
      <c r="AA136" s="19"/>
      <c r="AB136" s="19"/>
      <c r="AC136" s="19"/>
    </row>
    <row r="137" spans="14:29" s="17" customFormat="1" x14ac:dyDescent="0.2">
      <c r="N137" s="19"/>
      <c r="O137" s="19"/>
      <c r="P137" s="19"/>
      <c r="Q137" s="19"/>
      <c r="R137" s="19"/>
      <c r="S137" s="19"/>
      <c r="T137" s="19"/>
      <c r="U137" s="19"/>
      <c r="V137" s="19"/>
      <c r="W137" s="19"/>
      <c r="X137" s="19"/>
      <c r="Y137" s="19"/>
      <c r="Z137" s="19"/>
      <c r="AA137" s="19"/>
      <c r="AB137" s="19"/>
      <c r="AC137" s="19"/>
    </row>
    <row r="138" spans="14:29" s="17" customFormat="1" x14ac:dyDescent="0.2">
      <c r="N138" s="19"/>
      <c r="O138" s="19"/>
      <c r="P138" s="19"/>
      <c r="Q138" s="19"/>
      <c r="R138" s="19"/>
      <c r="S138" s="19"/>
      <c r="T138" s="19"/>
      <c r="U138" s="19"/>
      <c r="V138" s="19"/>
      <c r="W138" s="19"/>
      <c r="X138" s="19"/>
      <c r="Y138" s="19"/>
      <c r="Z138" s="19"/>
      <c r="AA138" s="19"/>
      <c r="AB138" s="19"/>
      <c r="AC138" s="19"/>
    </row>
    <row r="139" spans="14:29" s="17" customFormat="1" x14ac:dyDescent="0.2">
      <c r="N139" s="19"/>
      <c r="O139" s="19"/>
      <c r="P139" s="19"/>
      <c r="Q139" s="19"/>
      <c r="R139" s="19"/>
      <c r="S139" s="19"/>
      <c r="T139" s="19"/>
      <c r="U139" s="19"/>
      <c r="V139" s="19"/>
      <c r="W139" s="19"/>
      <c r="X139" s="19"/>
      <c r="Y139" s="19"/>
      <c r="Z139" s="19"/>
      <c r="AA139" s="19"/>
      <c r="AB139" s="19"/>
      <c r="AC139" s="19"/>
    </row>
    <row r="140" spans="14:29" s="17" customFormat="1" x14ac:dyDescent="0.2">
      <c r="N140" s="19"/>
      <c r="O140" s="19"/>
      <c r="P140" s="19"/>
      <c r="Q140" s="19"/>
      <c r="R140" s="19"/>
      <c r="S140" s="19"/>
      <c r="T140" s="19"/>
      <c r="U140" s="19"/>
      <c r="V140" s="19"/>
      <c r="W140" s="19"/>
      <c r="X140" s="19"/>
      <c r="Y140" s="19"/>
      <c r="Z140" s="19"/>
      <c r="AA140" s="19"/>
      <c r="AB140" s="19"/>
      <c r="AC140" s="19"/>
    </row>
    <row r="141" spans="14:29" s="17" customFormat="1" x14ac:dyDescent="0.2">
      <c r="N141" s="19"/>
      <c r="O141" s="19"/>
      <c r="P141" s="19"/>
      <c r="Q141" s="19"/>
      <c r="R141" s="19"/>
      <c r="S141" s="19"/>
      <c r="T141" s="19"/>
      <c r="U141" s="19"/>
      <c r="V141" s="19"/>
      <c r="W141" s="19"/>
      <c r="X141" s="19"/>
      <c r="Y141" s="19"/>
      <c r="Z141" s="19"/>
      <c r="AA141" s="19"/>
      <c r="AB141" s="19"/>
      <c r="AC141" s="19"/>
    </row>
    <row r="142" spans="14:29" s="17" customFormat="1" x14ac:dyDescent="0.2">
      <c r="N142" s="19"/>
      <c r="O142" s="19"/>
      <c r="P142" s="19"/>
      <c r="Q142" s="19"/>
      <c r="R142" s="19"/>
      <c r="S142" s="19"/>
      <c r="T142" s="19"/>
      <c r="U142" s="19"/>
      <c r="V142" s="19"/>
      <c r="W142" s="19"/>
      <c r="X142" s="19"/>
      <c r="Y142" s="19"/>
      <c r="Z142" s="19"/>
      <c r="AA142" s="19"/>
      <c r="AB142" s="19"/>
      <c r="AC142" s="19"/>
    </row>
    <row r="143" spans="14:29" s="17" customFormat="1" x14ac:dyDescent="0.2">
      <c r="N143" s="19"/>
      <c r="O143" s="19"/>
      <c r="P143" s="19"/>
      <c r="Q143" s="19"/>
      <c r="R143" s="19"/>
      <c r="S143" s="19"/>
      <c r="T143" s="19"/>
      <c r="U143" s="19"/>
      <c r="V143" s="19"/>
      <c r="W143" s="19"/>
      <c r="X143" s="19"/>
      <c r="Y143" s="19"/>
      <c r="Z143" s="19"/>
      <c r="AA143" s="19"/>
      <c r="AB143" s="19"/>
      <c r="AC143" s="19"/>
    </row>
    <row r="144" spans="14:29" s="17" customFormat="1" x14ac:dyDescent="0.2">
      <c r="N144" s="19"/>
      <c r="O144" s="19"/>
      <c r="P144" s="19"/>
      <c r="Q144" s="19"/>
      <c r="R144" s="19"/>
      <c r="S144" s="19"/>
      <c r="T144" s="19"/>
      <c r="U144" s="19"/>
      <c r="V144" s="19"/>
      <c r="W144" s="19"/>
      <c r="X144" s="19"/>
      <c r="Y144" s="19"/>
      <c r="Z144" s="19"/>
      <c r="AA144" s="19"/>
      <c r="AB144" s="19"/>
      <c r="AC144" s="19"/>
    </row>
    <row r="145" spans="14:29" s="17" customFormat="1" x14ac:dyDescent="0.2">
      <c r="N145" s="19"/>
      <c r="O145" s="19"/>
      <c r="P145" s="19"/>
      <c r="Q145" s="19"/>
      <c r="R145" s="19"/>
      <c r="S145" s="19"/>
      <c r="T145" s="19"/>
      <c r="U145" s="19"/>
      <c r="V145" s="19"/>
      <c r="W145" s="19"/>
      <c r="X145" s="19"/>
      <c r="Y145" s="19"/>
      <c r="Z145" s="19"/>
      <c r="AA145" s="19"/>
      <c r="AB145" s="19"/>
      <c r="AC145" s="19"/>
    </row>
    <row r="146" spans="14:29" s="17" customFormat="1" x14ac:dyDescent="0.2">
      <c r="N146" s="19"/>
      <c r="O146" s="19"/>
      <c r="P146" s="19"/>
      <c r="Q146" s="19"/>
      <c r="R146" s="19"/>
      <c r="S146" s="19"/>
      <c r="T146" s="19"/>
      <c r="U146" s="19"/>
      <c r="V146" s="19"/>
      <c r="W146" s="19"/>
      <c r="X146" s="19"/>
      <c r="Y146" s="19"/>
      <c r="Z146" s="19"/>
      <c r="AA146" s="19"/>
      <c r="AB146" s="19"/>
      <c r="AC146" s="19"/>
    </row>
    <row r="147" spans="14:29" s="17" customFormat="1" x14ac:dyDescent="0.2">
      <c r="N147" s="19"/>
      <c r="O147" s="19"/>
      <c r="P147" s="19"/>
      <c r="Q147" s="19"/>
      <c r="R147" s="19"/>
      <c r="S147" s="19"/>
      <c r="T147" s="19"/>
      <c r="U147" s="19"/>
      <c r="V147" s="19"/>
      <c r="W147" s="19"/>
      <c r="X147" s="19"/>
      <c r="Y147" s="19"/>
      <c r="Z147" s="19"/>
      <c r="AA147" s="19"/>
      <c r="AB147" s="19"/>
      <c r="AC147" s="19"/>
    </row>
    <row r="148" spans="14:29" s="17" customFormat="1" x14ac:dyDescent="0.2">
      <c r="N148" s="19"/>
      <c r="O148" s="19"/>
      <c r="P148" s="19"/>
      <c r="Q148" s="19"/>
      <c r="R148" s="19"/>
      <c r="S148" s="19"/>
      <c r="T148" s="19"/>
      <c r="U148" s="19"/>
      <c r="V148" s="19"/>
      <c r="W148" s="19"/>
      <c r="X148" s="19"/>
      <c r="Y148" s="19"/>
      <c r="Z148" s="19"/>
      <c r="AA148" s="19"/>
      <c r="AB148" s="19"/>
      <c r="AC148" s="19"/>
    </row>
    <row r="149" spans="14:29" s="17" customFormat="1" x14ac:dyDescent="0.2">
      <c r="N149" s="19"/>
      <c r="O149" s="19"/>
      <c r="P149" s="19"/>
      <c r="Q149" s="19"/>
      <c r="R149" s="19"/>
      <c r="S149" s="19"/>
      <c r="T149" s="19"/>
      <c r="U149" s="19"/>
      <c r="V149" s="19"/>
      <c r="W149" s="19"/>
      <c r="X149" s="19"/>
      <c r="Y149" s="19"/>
      <c r="Z149" s="19"/>
      <c r="AA149" s="19"/>
      <c r="AB149" s="19"/>
      <c r="AC149" s="19"/>
    </row>
    <row r="150" spans="14:29" s="17" customFormat="1" x14ac:dyDescent="0.2">
      <c r="N150" s="19"/>
      <c r="O150" s="19"/>
      <c r="P150" s="19"/>
      <c r="Q150" s="19"/>
      <c r="R150" s="19"/>
      <c r="S150" s="19"/>
      <c r="T150" s="19"/>
      <c r="U150" s="19"/>
      <c r="V150" s="19"/>
      <c r="W150" s="19"/>
      <c r="X150" s="19"/>
      <c r="Y150" s="19"/>
      <c r="Z150" s="19"/>
      <c r="AA150" s="19"/>
      <c r="AB150" s="19"/>
      <c r="AC150" s="19"/>
    </row>
    <row r="151" spans="14:29" s="17" customFormat="1" x14ac:dyDescent="0.2">
      <c r="N151" s="19"/>
      <c r="O151" s="19"/>
      <c r="P151" s="19"/>
      <c r="Q151" s="19"/>
      <c r="R151" s="19"/>
      <c r="S151" s="19"/>
      <c r="T151" s="19"/>
      <c r="U151" s="19"/>
      <c r="V151" s="19"/>
      <c r="W151" s="19"/>
      <c r="X151" s="19"/>
      <c r="Y151" s="19"/>
      <c r="Z151" s="19"/>
      <c r="AA151" s="19"/>
      <c r="AB151" s="19"/>
      <c r="AC151" s="19"/>
    </row>
    <row r="152" spans="14:29" s="17" customFormat="1" x14ac:dyDescent="0.2">
      <c r="N152" s="19"/>
      <c r="O152" s="19"/>
      <c r="P152" s="19"/>
      <c r="Q152" s="19"/>
      <c r="R152" s="19"/>
      <c r="S152" s="19"/>
      <c r="T152" s="19"/>
      <c r="U152" s="19"/>
      <c r="V152" s="19"/>
      <c r="W152" s="19"/>
      <c r="X152" s="19"/>
      <c r="Y152" s="19"/>
      <c r="Z152" s="19"/>
      <c r="AA152" s="19"/>
      <c r="AB152" s="19"/>
      <c r="AC152" s="19"/>
    </row>
    <row r="153" spans="14:29" s="17" customFormat="1" x14ac:dyDescent="0.2">
      <c r="N153" s="19"/>
      <c r="O153" s="19"/>
      <c r="P153" s="19"/>
      <c r="Q153" s="19"/>
      <c r="R153" s="19"/>
      <c r="S153" s="19"/>
      <c r="T153" s="19"/>
      <c r="U153" s="19"/>
      <c r="V153" s="19"/>
      <c r="W153" s="19"/>
      <c r="X153" s="19"/>
      <c r="Y153" s="19"/>
      <c r="Z153" s="19"/>
      <c r="AA153" s="19"/>
      <c r="AB153" s="19"/>
      <c r="AC153" s="19"/>
    </row>
    <row r="154" spans="14:29" s="17" customFormat="1" x14ac:dyDescent="0.2">
      <c r="N154" s="19"/>
      <c r="O154" s="19"/>
      <c r="P154" s="19"/>
      <c r="Q154" s="19"/>
      <c r="R154" s="19"/>
      <c r="S154" s="19"/>
      <c r="T154" s="19"/>
      <c r="U154" s="19"/>
      <c r="V154" s="19"/>
      <c r="W154" s="19"/>
      <c r="X154" s="19"/>
      <c r="Y154" s="19"/>
      <c r="Z154" s="19"/>
      <c r="AA154" s="19"/>
      <c r="AB154" s="19"/>
      <c r="AC154" s="19"/>
    </row>
    <row r="155" spans="14:29" s="17" customFormat="1" x14ac:dyDescent="0.2">
      <c r="N155" s="19"/>
      <c r="O155" s="19"/>
      <c r="P155" s="19"/>
      <c r="Q155" s="19"/>
      <c r="R155" s="19"/>
      <c r="S155" s="19"/>
      <c r="T155" s="19"/>
      <c r="U155" s="19"/>
      <c r="V155" s="19"/>
      <c r="W155" s="19"/>
      <c r="X155" s="19"/>
      <c r="Y155" s="19"/>
      <c r="Z155" s="19"/>
      <c r="AA155" s="19"/>
      <c r="AB155" s="19"/>
      <c r="AC155" s="19"/>
    </row>
    <row r="156" spans="14:29" s="17" customFormat="1" x14ac:dyDescent="0.2">
      <c r="N156" s="19"/>
      <c r="O156" s="19"/>
      <c r="P156" s="19"/>
      <c r="Q156" s="19"/>
      <c r="R156" s="19"/>
      <c r="S156" s="19"/>
      <c r="T156" s="19"/>
      <c r="U156" s="19"/>
      <c r="V156" s="19"/>
      <c r="W156" s="19"/>
      <c r="X156" s="19"/>
      <c r="Y156" s="19"/>
      <c r="Z156" s="19"/>
      <c r="AA156" s="19"/>
      <c r="AB156" s="19"/>
      <c r="AC156" s="19"/>
    </row>
    <row r="157" spans="14:29" s="17" customFormat="1" x14ac:dyDescent="0.2">
      <c r="N157" s="19"/>
      <c r="O157" s="19"/>
      <c r="P157" s="19"/>
      <c r="Q157" s="19"/>
      <c r="R157" s="19"/>
      <c r="S157" s="19"/>
      <c r="T157" s="19"/>
      <c r="U157" s="19"/>
      <c r="V157" s="19"/>
      <c r="W157" s="19"/>
      <c r="X157" s="19"/>
      <c r="Y157" s="19"/>
      <c r="Z157" s="19"/>
      <c r="AA157" s="19"/>
      <c r="AB157" s="19"/>
      <c r="AC157" s="19"/>
    </row>
    <row r="158" spans="14:29" s="17" customFormat="1" x14ac:dyDescent="0.2">
      <c r="N158" s="19"/>
      <c r="O158" s="19"/>
      <c r="P158" s="19"/>
      <c r="Q158" s="19"/>
      <c r="R158" s="19"/>
      <c r="S158" s="19"/>
      <c r="T158" s="19"/>
      <c r="U158" s="19"/>
      <c r="V158" s="19"/>
      <c r="W158" s="19"/>
      <c r="X158" s="19"/>
      <c r="Y158" s="19"/>
      <c r="Z158" s="19"/>
      <c r="AA158" s="19"/>
      <c r="AB158" s="19"/>
      <c r="AC158" s="19"/>
    </row>
    <row r="159" spans="14:29" s="17" customFormat="1" x14ac:dyDescent="0.2">
      <c r="N159" s="19"/>
      <c r="O159" s="19"/>
      <c r="P159" s="19"/>
      <c r="Q159" s="19"/>
      <c r="R159" s="19"/>
      <c r="S159" s="19"/>
      <c r="T159" s="19"/>
      <c r="U159" s="19"/>
      <c r="V159" s="19"/>
      <c r="W159" s="19"/>
      <c r="X159" s="19"/>
      <c r="Y159" s="19"/>
      <c r="Z159" s="19"/>
      <c r="AA159" s="19"/>
      <c r="AB159" s="19"/>
      <c r="AC159" s="19"/>
    </row>
    <row r="160" spans="14:29" s="17" customFormat="1" x14ac:dyDescent="0.2">
      <c r="N160" s="19"/>
      <c r="O160" s="19"/>
      <c r="P160" s="19"/>
      <c r="Q160" s="19"/>
      <c r="R160" s="19"/>
      <c r="S160" s="19"/>
      <c r="T160" s="19"/>
      <c r="U160" s="19"/>
      <c r="V160" s="19"/>
      <c r="W160" s="19"/>
      <c r="X160" s="19"/>
      <c r="Y160" s="19"/>
      <c r="Z160" s="19"/>
      <c r="AA160" s="19"/>
      <c r="AB160" s="19"/>
      <c r="AC160" s="19"/>
    </row>
    <row r="161" spans="14:29" s="17" customFormat="1" x14ac:dyDescent="0.2">
      <c r="N161" s="19"/>
      <c r="O161" s="19"/>
      <c r="P161" s="19"/>
      <c r="Q161" s="19"/>
      <c r="R161" s="19"/>
      <c r="S161" s="19"/>
      <c r="T161" s="19"/>
      <c r="U161" s="19"/>
      <c r="V161" s="19"/>
      <c r="W161" s="19"/>
      <c r="X161" s="19"/>
      <c r="Y161" s="19"/>
      <c r="Z161" s="19"/>
      <c r="AA161" s="19"/>
      <c r="AB161" s="19"/>
      <c r="AC161" s="19"/>
    </row>
    <row r="162" spans="14:29" s="17" customFormat="1" x14ac:dyDescent="0.2">
      <c r="N162" s="19"/>
      <c r="O162" s="19"/>
      <c r="P162" s="19"/>
      <c r="Q162" s="19"/>
      <c r="R162" s="19"/>
      <c r="S162" s="19"/>
      <c r="T162" s="19"/>
      <c r="U162" s="19"/>
      <c r="V162" s="19"/>
      <c r="W162" s="19"/>
      <c r="X162" s="19"/>
      <c r="Y162" s="19"/>
      <c r="Z162" s="19"/>
      <c r="AA162" s="19"/>
      <c r="AB162" s="19"/>
      <c r="AC162" s="19"/>
    </row>
    <row r="163" spans="14:29" s="17" customFormat="1" x14ac:dyDescent="0.2">
      <c r="N163" s="19"/>
      <c r="O163" s="19"/>
      <c r="P163" s="19"/>
      <c r="Q163" s="19"/>
      <c r="R163" s="19"/>
      <c r="S163" s="19"/>
      <c r="T163" s="19"/>
      <c r="U163" s="19"/>
      <c r="V163" s="19"/>
      <c r="W163" s="19"/>
      <c r="X163" s="19"/>
      <c r="Y163" s="19"/>
      <c r="Z163" s="19"/>
      <c r="AA163" s="19"/>
      <c r="AB163" s="19"/>
      <c r="AC163" s="19"/>
    </row>
    <row r="164" spans="14:29" s="17" customFormat="1" x14ac:dyDescent="0.2">
      <c r="N164" s="19"/>
      <c r="O164" s="19"/>
      <c r="P164" s="19"/>
      <c r="Q164" s="19"/>
      <c r="R164" s="19"/>
      <c r="S164" s="19"/>
      <c r="T164" s="19"/>
      <c r="U164" s="19"/>
      <c r="V164" s="19"/>
      <c r="W164" s="19"/>
      <c r="X164" s="19"/>
      <c r="Y164" s="19"/>
      <c r="Z164" s="19"/>
      <c r="AA164" s="19"/>
      <c r="AB164" s="19"/>
      <c r="AC164" s="19"/>
    </row>
    <row r="165" spans="14:29" s="17" customFormat="1" x14ac:dyDescent="0.2">
      <c r="N165" s="19"/>
      <c r="O165" s="19"/>
      <c r="P165" s="19"/>
      <c r="Q165" s="19"/>
      <c r="R165" s="19"/>
      <c r="S165" s="19"/>
      <c r="T165" s="19"/>
      <c r="U165" s="19"/>
      <c r="V165" s="19"/>
      <c r="W165" s="19"/>
      <c r="X165" s="19"/>
      <c r="Y165" s="19"/>
      <c r="Z165" s="19"/>
      <c r="AA165" s="19"/>
      <c r="AB165" s="19"/>
      <c r="AC165" s="19"/>
    </row>
    <row r="166" spans="14:29" s="17" customFormat="1" x14ac:dyDescent="0.2">
      <c r="N166" s="19"/>
      <c r="O166" s="19"/>
      <c r="P166" s="19"/>
      <c r="Q166" s="19"/>
      <c r="R166" s="19"/>
      <c r="S166" s="19"/>
      <c r="T166" s="19"/>
      <c r="U166" s="19"/>
      <c r="V166" s="19"/>
      <c r="W166" s="19"/>
      <c r="X166" s="19"/>
      <c r="Y166" s="19"/>
      <c r="Z166" s="19"/>
      <c r="AA166" s="19"/>
      <c r="AB166" s="19"/>
      <c r="AC166" s="19"/>
    </row>
    <row r="167" spans="14:29" s="17" customFormat="1" x14ac:dyDescent="0.2">
      <c r="N167" s="19"/>
      <c r="O167" s="19"/>
      <c r="P167" s="19"/>
      <c r="Q167" s="19"/>
      <c r="R167" s="19"/>
      <c r="S167" s="19"/>
      <c r="T167" s="19"/>
      <c r="U167" s="19"/>
      <c r="V167" s="19"/>
      <c r="W167" s="19"/>
      <c r="X167" s="19"/>
      <c r="Y167" s="19"/>
      <c r="Z167" s="19"/>
      <c r="AA167" s="19"/>
      <c r="AB167" s="19"/>
      <c r="AC167" s="19"/>
    </row>
    <row r="168" spans="14:29" s="17" customFormat="1" x14ac:dyDescent="0.2">
      <c r="N168" s="19"/>
      <c r="O168" s="19"/>
      <c r="P168" s="19"/>
      <c r="Q168" s="19"/>
      <c r="R168" s="19"/>
      <c r="S168" s="19"/>
      <c r="T168" s="19"/>
      <c r="U168" s="19"/>
      <c r="V168" s="19"/>
      <c r="W168" s="19"/>
      <c r="X168" s="19"/>
      <c r="Y168" s="19"/>
      <c r="Z168" s="19"/>
      <c r="AA168" s="19"/>
      <c r="AB168" s="19"/>
      <c r="AC168" s="19"/>
    </row>
    <row r="169" spans="14:29" s="17" customFormat="1" x14ac:dyDescent="0.2">
      <c r="N169" s="19"/>
      <c r="O169" s="19"/>
      <c r="P169" s="19"/>
      <c r="Q169" s="19"/>
      <c r="R169" s="19"/>
      <c r="S169" s="19"/>
      <c r="T169" s="19"/>
      <c r="U169" s="19"/>
      <c r="V169" s="19"/>
      <c r="W169" s="19"/>
      <c r="X169" s="19"/>
      <c r="Y169" s="19"/>
      <c r="Z169" s="19"/>
      <c r="AA169" s="19"/>
      <c r="AB169" s="19"/>
      <c r="AC169" s="19"/>
    </row>
    <row r="170" spans="14:29" s="17" customFormat="1" x14ac:dyDescent="0.2">
      <c r="N170" s="19"/>
      <c r="O170" s="19"/>
      <c r="P170" s="19"/>
      <c r="Q170" s="19"/>
      <c r="R170" s="19"/>
      <c r="S170" s="19"/>
      <c r="T170" s="19"/>
      <c r="U170" s="19"/>
      <c r="V170" s="19"/>
      <c r="W170" s="19"/>
      <c r="X170" s="19"/>
      <c r="Y170" s="19"/>
      <c r="Z170" s="19"/>
      <c r="AA170" s="19"/>
      <c r="AB170" s="19"/>
      <c r="AC170" s="19"/>
    </row>
    <row r="171" spans="14:29" s="17" customFormat="1" x14ac:dyDescent="0.2">
      <c r="N171" s="19"/>
      <c r="O171" s="19"/>
      <c r="P171" s="19"/>
      <c r="Q171" s="19"/>
      <c r="R171" s="19"/>
      <c r="S171" s="19"/>
      <c r="T171" s="19"/>
      <c r="U171" s="19"/>
      <c r="V171" s="19"/>
      <c r="W171" s="19"/>
      <c r="X171" s="19"/>
      <c r="Y171" s="19"/>
      <c r="Z171" s="19"/>
      <c r="AA171" s="19"/>
      <c r="AB171" s="19"/>
      <c r="AC171" s="19"/>
    </row>
    <row r="172" spans="14:29" s="17" customFormat="1" x14ac:dyDescent="0.2">
      <c r="N172" s="19"/>
      <c r="O172" s="19"/>
      <c r="P172" s="19"/>
      <c r="Q172" s="19"/>
      <c r="R172" s="19"/>
      <c r="S172" s="19"/>
      <c r="T172" s="19"/>
      <c r="U172" s="19"/>
      <c r="V172" s="19"/>
      <c r="W172" s="19"/>
      <c r="X172" s="19"/>
      <c r="Y172" s="19"/>
      <c r="Z172" s="19"/>
      <c r="AA172" s="19"/>
      <c r="AB172" s="19"/>
      <c r="AC172" s="19"/>
    </row>
    <row r="173" spans="14:29" s="17" customFormat="1" x14ac:dyDescent="0.2">
      <c r="N173" s="19"/>
      <c r="O173" s="19"/>
      <c r="P173" s="19"/>
      <c r="Q173" s="19"/>
      <c r="R173" s="19"/>
      <c r="S173" s="19"/>
      <c r="T173" s="19"/>
      <c r="U173" s="19"/>
      <c r="V173" s="19"/>
      <c r="W173" s="19"/>
      <c r="X173" s="19"/>
      <c r="Y173" s="19"/>
      <c r="Z173" s="19"/>
      <c r="AA173" s="19"/>
      <c r="AB173" s="19"/>
      <c r="AC173" s="19"/>
    </row>
    <row r="174" spans="14:29" s="17" customFormat="1" x14ac:dyDescent="0.2">
      <c r="N174" s="19"/>
      <c r="O174" s="19"/>
      <c r="P174" s="19"/>
      <c r="Q174" s="19"/>
      <c r="R174" s="19"/>
      <c r="S174" s="19"/>
      <c r="T174" s="19"/>
      <c r="U174" s="19"/>
      <c r="V174" s="19"/>
      <c r="W174" s="19"/>
      <c r="X174" s="19"/>
      <c r="Y174" s="19"/>
      <c r="Z174" s="19"/>
      <c r="AA174" s="19"/>
      <c r="AB174" s="19"/>
      <c r="AC174" s="19"/>
    </row>
    <row r="175" spans="14:29" s="17" customFormat="1" x14ac:dyDescent="0.2">
      <c r="N175" s="19"/>
      <c r="O175" s="19"/>
      <c r="P175" s="19"/>
      <c r="Q175" s="19"/>
      <c r="R175" s="19"/>
      <c r="S175" s="19"/>
      <c r="T175" s="19"/>
      <c r="U175" s="19"/>
      <c r="V175" s="19"/>
      <c r="W175" s="19"/>
      <c r="X175" s="19"/>
      <c r="Y175" s="19"/>
      <c r="Z175" s="19"/>
      <c r="AA175" s="19"/>
      <c r="AB175" s="19"/>
      <c r="AC175" s="19"/>
    </row>
    <row r="176" spans="14:29" s="17" customFormat="1" x14ac:dyDescent="0.2">
      <c r="N176" s="19"/>
      <c r="O176" s="19"/>
      <c r="P176" s="19"/>
      <c r="Q176" s="19"/>
      <c r="R176" s="19"/>
      <c r="S176" s="19"/>
      <c r="T176" s="19"/>
      <c r="U176" s="19"/>
      <c r="V176" s="19"/>
      <c r="W176" s="19"/>
      <c r="X176" s="19"/>
      <c r="Y176" s="19"/>
      <c r="Z176" s="19"/>
      <c r="AA176" s="19"/>
      <c r="AB176" s="19"/>
      <c r="AC176" s="19"/>
    </row>
    <row r="177" spans="14:29" s="17" customFormat="1" x14ac:dyDescent="0.2">
      <c r="N177" s="19"/>
      <c r="O177" s="19"/>
      <c r="P177" s="19"/>
      <c r="Q177" s="19"/>
      <c r="R177" s="19"/>
      <c r="S177" s="19"/>
      <c r="T177" s="19"/>
      <c r="U177" s="19"/>
      <c r="V177" s="19"/>
      <c r="W177" s="19"/>
      <c r="X177" s="19"/>
      <c r="Y177" s="19"/>
      <c r="Z177" s="19"/>
      <c r="AA177" s="19"/>
      <c r="AB177" s="19"/>
      <c r="AC177" s="19"/>
    </row>
    <row r="178" spans="14:29" s="17" customFormat="1" x14ac:dyDescent="0.2">
      <c r="N178" s="19"/>
      <c r="O178" s="19"/>
      <c r="P178" s="19"/>
      <c r="Q178" s="19"/>
      <c r="R178" s="19"/>
      <c r="S178" s="19"/>
      <c r="T178" s="19"/>
      <c r="U178" s="19"/>
      <c r="V178" s="19"/>
      <c r="W178" s="19"/>
      <c r="X178" s="19"/>
      <c r="Y178" s="19"/>
      <c r="Z178" s="19"/>
      <c r="AA178" s="19"/>
      <c r="AB178" s="19"/>
      <c r="AC178" s="19"/>
    </row>
    <row r="179" spans="14:29" s="17" customFormat="1" x14ac:dyDescent="0.2">
      <c r="N179" s="19"/>
      <c r="O179" s="19"/>
      <c r="P179" s="19"/>
      <c r="Q179" s="19"/>
      <c r="R179" s="19"/>
      <c r="S179" s="19"/>
      <c r="T179" s="19"/>
      <c r="U179" s="19"/>
      <c r="V179" s="19"/>
      <c r="W179" s="19"/>
      <c r="X179" s="19"/>
      <c r="Y179" s="19"/>
      <c r="Z179" s="19"/>
      <c r="AA179" s="19"/>
      <c r="AB179" s="19"/>
      <c r="AC179" s="19"/>
    </row>
    <row r="180" spans="14:29" s="17" customFormat="1" x14ac:dyDescent="0.2">
      <c r="N180" s="19"/>
      <c r="O180" s="19"/>
      <c r="P180" s="19"/>
      <c r="Q180" s="19"/>
      <c r="R180" s="19"/>
      <c r="S180" s="19"/>
      <c r="T180" s="19"/>
      <c r="U180" s="19"/>
      <c r="V180" s="19"/>
      <c r="W180" s="19"/>
      <c r="X180" s="19"/>
      <c r="Y180" s="19"/>
      <c r="Z180" s="19"/>
      <c r="AA180" s="19"/>
      <c r="AB180" s="19"/>
      <c r="AC180" s="19"/>
    </row>
    <row r="181" spans="14:29" s="17" customFormat="1" x14ac:dyDescent="0.2">
      <c r="N181" s="19"/>
      <c r="O181" s="19"/>
      <c r="P181" s="19"/>
      <c r="Q181" s="19"/>
      <c r="R181" s="19"/>
      <c r="S181" s="19"/>
      <c r="T181" s="19"/>
      <c r="U181" s="19"/>
      <c r="V181" s="19"/>
      <c r="W181" s="19"/>
      <c r="X181" s="19"/>
      <c r="Y181" s="19"/>
      <c r="Z181" s="19"/>
      <c r="AA181" s="19"/>
      <c r="AB181" s="19"/>
      <c r="AC181" s="19"/>
    </row>
    <row r="182" spans="14:29" s="17" customFormat="1" x14ac:dyDescent="0.2">
      <c r="N182" s="19"/>
      <c r="O182" s="19"/>
      <c r="P182" s="19"/>
      <c r="Q182" s="19"/>
      <c r="R182" s="19"/>
      <c r="S182" s="19"/>
      <c r="T182" s="19"/>
      <c r="U182" s="19"/>
      <c r="V182" s="19"/>
      <c r="W182" s="19"/>
      <c r="X182" s="19"/>
      <c r="Y182" s="19"/>
      <c r="Z182" s="19"/>
      <c r="AA182" s="19"/>
      <c r="AB182" s="19"/>
      <c r="AC182" s="19"/>
    </row>
    <row r="183" spans="14:29" s="17" customFormat="1" x14ac:dyDescent="0.2">
      <c r="N183" s="19"/>
      <c r="O183" s="19"/>
      <c r="P183" s="19"/>
      <c r="Q183" s="19"/>
      <c r="R183" s="19"/>
      <c r="S183" s="19"/>
      <c r="T183" s="19"/>
      <c r="U183" s="19"/>
      <c r="V183" s="19"/>
      <c r="W183" s="19"/>
      <c r="X183" s="19"/>
      <c r="Y183" s="19"/>
      <c r="Z183" s="19"/>
      <c r="AA183" s="19"/>
      <c r="AB183" s="19"/>
      <c r="AC183" s="19"/>
    </row>
    <row r="184" spans="14:29" s="17" customFormat="1" x14ac:dyDescent="0.2">
      <c r="N184" s="19"/>
      <c r="O184" s="19"/>
      <c r="P184" s="19"/>
      <c r="Q184" s="19"/>
      <c r="R184" s="19"/>
      <c r="S184" s="19"/>
      <c r="T184" s="19"/>
      <c r="U184" s="19"/>
      <c r="V184" s="19"/>
      <c r="W184" s="19"/>
      <c r="X184" s="19"/>
      <c r="Y184" s="19"/>
      <c r="Z184" s="19"/>
      <c r="AA184" s="19"/>
      <c r="AB184" s="19"/>
      <c r="AC184" s="19"/>
    </row>
    <row r="185" spans="14:29" s="17" customFormat="1" x14ac:dyDescent="0.2">
      <c r="N185" s="19"/>
      <c r="O185" s="19"/>
      <c r="P185" s="19"/>
      <c r="Q185" s="19"/>
      <c r="R185" s="19"/>
      <c r="S185" s="19"/>
      <c r="T185" s="19"/>
      <c r="U185" s="19"/>
      <c r="V185" s="19"/>
      <c r="W185" s="19"/>
      <c r="X185" s="19"/>
      <c r="Y185" s="19"/>
      <c r="Z185" s="19"/>
      <c r="AA185" s="19"/>
      <c r="AB185" s="19"/>
      <c r="AC185" s="19"/>
    </row>
    <row r="186" spans="14:29" s="17" customFormat="1" x14ac:dyDescent="0.2">
      <c r="N186" s="19"/>
      <c r="O186" s="19"/>
      <c r="P186" s="19"/>
      <c r="Q186" s="19"/>
      <c r="R186" s="19"/>
      <c r="S186" s="19"/>
      <c r="T186" s="19"/>
      <c r="U186" s="19"/>
      <c r="V186" s="19"/>
      <c r="W186" s="19"/>
      <c r="X186" s="19"/>
      <c r="Y186" s="19"/>
      <c r="Z186" s="19"/>
      <c r="AA186" s="19"/>
      <c r="AB186" s="19"/>
      <c r="AC186" s="19"/>
    </row>
    <row r="187" spans="14:29" s="17" customFormat="1" x14ac:dyDescent="0.2">
      <c r="N187" s="19"/>
      <c r="O187" s="19"/>
      <c r="P187" s="19"/>
      <c r="Q187" s="19"/>
      <c r="R187" s="19"/>
      <c r="S187" s="19"/>
      <c r="T187" s="19"/>
      <c r="U187" s="19"/>
      <c r="V187" s="19"/>
      <c r="W187" s="19"/>
      <c r="X187" s="19"/>
      <c r="Y187" s="19"/>
      <c r="Z187" s="19"/>
      <c r="AA187" s="19"/>
      <c r="AB187" s="19"/>
      <c r="AC187" s="19"/>
    </row>
    <row r="188" spans="14:29" s="17" customFormat="1" x14ac:dyDescent="0.2">
      <c r="N188" s="19"/>
      <c r="O188" s="19"/>
      <c r="P188" s="19"/>
      <c r="Q188" s="19"/>
      <c r="R188" s="19"/>
      <c r="S188" s="19"/>
      <c r="T188" s="19"/>
      <c r="U188" s="19"/>
      <c r="V188" s="19"/>
      <c r="W188" s="19"/>
      <c r="X188" s="19"/>
      <c r="Y188" s="19"/>
      <c r="Z188" s="19"/>
      <c r="AA188" s="19"/>
      <c r="AB188" s="19"/>
      <c r="AC188" s="19"/>
    </row>
    <row r="189" spans="14:29" s="17" customFormat="1" x14ac:dyDescent="0.2">
      <c r="N189" s="19"/>
      <c r="O189" s="19"/>
      <c r="P189" s="19"/>
      <c r="Q189" s="19"/>
      <c r="R189" s="19"/>
      <c r="S189" s="19"/>
      <c r="T189" s="19"/>
      <c r="U189" s="19"/>
      <c r="V189" s="19"/>
      <c r="W189" s="19"/>
      <c r="X189" s="19"/>
      <c r="Y189" s="19"/>
      <c r="Z189" s="19"/>
      <c r="AA189" s="19"/>
      <c r="AB189" s="19"/>
      <c r="AC189" s="19"/>
    </row>
    <row r="190" spans="14:29" s="17" customFormat="1" x14ac:dyDescent="0.2">
      <c r="N190" s="19"/>
      <c r="O190" s="19"/>
      <c r="P190" s="19"/>
      <c r="Q190" s="19"/>
      <c r="R190" s="19"/>
      <c r="S190" s="19"/>
      <c r="T190" s="19"/>
      <c r="U190" s="19"/>
      <c r="V190" s="19"/>
      <c r="W190" s="19"/>
      <c r="X190" s="19"/>
      <c r="Y190" s="19"/>
      <c r="Z190" s="19"/>
      <c r="AA190" s="19"/>
      <c r="AB190" s="19"/>
      <c r="AC190" s="19"/>
    </row>
    <row r="191" spans="14:29" s="17" customFormat="1" x14ac:dyDescent="0.2">
      <c r="N191" s="19"/>
      <c r="O191" s="19"/>
      <c r="P191" s="19"/>
      <c r="Q191" s="19"/>
      <c r="R191" s="19"/>
      <c r="S191" s="19"/>
      <c r="T191" s="19"/>
      <c r="U191" s="19"/>
      <c r="V191" s="19"/>
      <c r="W191" s="19"/>
      <c r="X191" s="19"/>
      <c r="Y191" s="19"/>
      <c r="Z191" s="19"/>
      <c r="AA191" s="19"/>
      <c r="AB191" s="19"/>
      <c r="AC191" s="19"/>
    </row>
    <row r="192" spans="14:29" s="17" customFormat="1" x14ac:dyDescent="0.2">
      <c r="N192" s="19"/>
      <c r="O192" s="19"/>
      <c r="P192" s="19"/>
      <c r="Q192" s="19"/>
      <c r="R192" s="19"/>
      <c r="S192" s="19"/>
      <c r="T192" s="19"/>
      <c r="U192" s="19"/>
      <c r="V192" s="19"/>
      <c r="W192" s="19"/>
      <c r="X192" s="19"/>
      <c r="Y192" s="19"/>
      <c r="Z192" s="19"/>
      <c r="AA192" s="19"/>
      <c r="AB192" s="19"/>
      <c r="AC192" s="19"/>
    </row>
    <row r="193" spans="14:29" s="17" customFormat="1" x14ac:dyDescent="0.2">
      <c r="N193" s="19"/>
      <c r="O193" s="19"/>
      <c r="P193" s="19"/>
      <c r="Q193" s="19"/>
      <c r="R193" s="19"/>
      <c r="S193" s="19"/>
      <c r="T193" s="19"/>
      <c r="U193" s="19"/>
      <c r="V193" s="19"/>
      <c r="W193" s="19"/>
      <c r="X193" s="19"/>
      <c r="Y193" s="19"/>
      <c r="Z193" s="19"/>
      <c r="AA193" s="19"/>
      <c r="AB193" s="19"/>
      <c r="AC193" s="19"/>
    </row>
    <row r="194" spans="14:29" s="17" customFormat="1" x14ac:dyDescent="0.2">
      <c r="N194" s="19"/>
      <c r="O194" s="19"/>
      <c r="P194" s="19"/>
      <c r="Q194" s="19"/>
      <c r="R194" s="19"/>
      <c r="S194" s="19"/>
      <c r="T194" s="19"/>
      <c r="U194" s="19"/>
      <c r="V194" s="19"/>
      <c r="W194" s="19"/>
      <c r="X194" s="19"/>
      <c r="Y194" s="19"/>
      <c r="Z194" s="19"/>
      <c r="AA194" s="19"/>
      <c r="AB194" s="19"/>
      <c r="AC194" s="19"/>
    </row>
    <row r="195" spans="14:29" s="17" customFormat="1" x14ac:dyDescent="0.2">
      <c r="N195" s="19"/>
      <c r="O195" s="19"/>
      <c r="P195" s="19"/>
      <c r="Q195" s="19"/>
      <c r="R195" s="19"/>
      <c r="S195" s="19"/>
      <c r="T195" s="19"/>
      <c r="U195" s="19"/>
      <c r="V195" s="19"/>
      <c r="W195" s="19"/>
      <c r="X195" s="19"/>
      <c r="Y195" s="19"/>
      <c r="Z195" s="19"/>
      <c r="AA195" s="19"/>
      <c r="AB195" s="19"/>
      <c r="AC195" s="19"/>
    </row>
    <row r="196" spans="14:29" s="17" customFormat="1" x14ac:dyDescent="0.2">
      <c r="N196" s="19"/>
      <c r="O196" s="19"/>
      <c r="P196" s="19"/>
      <c r="Q196" s="19"/>
      <c r="R196" s="19"/>
      <c r="S196" s="19"/>
      <c r="T196" s="19"/>
      <c r="U196" s="19"/>
      <c r="V196" s="19"/>
      <c r="W196" s="19"/>
      <c r="X196" s="19"/>
      <c r="Y196" s="19"/>
      <c r="Z196" s="19"/>
      <c r="AA196" s="19"/>
      <c r="AB196" s="19"/>
      <c r="AC196" s="19"/>
    </row>
    <row r="197" spans="14:29" s="17" customFormat="1" x14ac:dyDescent="0.2">
      <c r="N197" s="19"/>
      <c r="O197" s="19"/>
      <c r="P197" s="19"/>
      <c r="Q197" s="19"/>
      <c r="R197" s="19"/>
      <c r="S197" s="19"/>
      <c r="T197" s="19"/>
      <c r="U197" s="19"/>
      <c r="V197" s="19"/>
      <c r="W197" s="19"/>
      <c r="X197" s="19"/>
      <c r="Y197" s="19"/>
      <c r="Z197" s="19"/>
      <c r="AA197" s="19"/>
      <c r="AB197" s="19"/>
      <c r="AC197" s="19"/>
    </row>
    <row r="198" spans="14:29" s="17" customFormat="1" x14ac:dyDescent="0.2">
      <c r="N198" s="19"/>
      <c r="O198" s="19"/>
      <c r="P198" s="19"/>
      <c r="Q198" s="19"/>
      <c r="R198" s="19"/>
      <c r="S198" s="19"/>
      <c r="T198" s="19"/>
      <c r="U198" s="19"/>
      <c r="V198" s="19"/>
      <c r="W198" s="19"/>
      <c r="X198" s="19"/>
      <c r="Y198" s="19"/>
      <c r="Z198" s="19"/>
      <c r="AA198" s="19"/>
      <c r="AB198" s="19"/>
      <c r="AC198" s="19"/>
    </row>
    <row r="199" spans="14:29" s="17" customFormat="1" x14ac:dyDescent="0.2">
      <c r="N199" s="19"/>
      <c r="O199" s="19"/>
      <c r="P199" s="19"/>
      <c r="Q199" s="19"/>
      <c r="R199" s="19"/>
      <c r="S199" s="19"/>
      <c r="T199" s="19"/>
      <c r="U199" s="19"/>
      <c r="V199" s="19"/>
      <c r="W199" s="19"/>
      <c r="X199" s="19"/>
      <c r="Y199" s="19"/>
      <c r="Z199" s="19"/>
      <c r="AA199" s="19"/>
      <c r="AB199" s="19"/>
      <c r="AC199" s="19"/>
    </row>
    <row r="200" spans="14:29" s="17" customFormat="1" x14ac:dyDescent="0.2">
      <c r="N200" s="19"/>
      <c r="O200" s="19"/>
      <c r="P200" s="19"/>
      <c r="Q200" s="19"/>
      <c r="R200" s="19"/>
      <c r="S200" s="19"/>
      <c r="T200" s="19"/>
      <c r="U200" s="19"/>
      <c r="V200" s="19"/>
      <c r="W200" s="19"/>
      <c r="X200" s="19"/>
      <c r="Y200" s="19"/>
      <c r="Z200" s="19"/>
      <c r="AA200" s="19"/>
      <c r="AB200" s="19"/>
      <c r="AC200" s="19"/>
    </row>
    <row r="201" spans="14:29" s="17" customFormat="1" x14ac:dyDescent="0.2">
      <c r="N201" s="19"/>
      <c r="O201" s="19"/>
      <c r="P201" s="19"/>
      <c r="Q201" s="19"/>
      <c r="R201" s="19"/>
      <c r="S201" s="19"/>
      <c r="T201" s="19"/>
      <c r="U201" s="19"/>
      <c r="V201" s="19"/>
      <c r="W201" s="19"/>
      <c r="X201" s="19"/>
      <c r="Y201" s="19"/>
      <c r="Z201" s="19"/>
      <c r="AA201" s="19"/>
      <c r="AB201" s="19"/>
      <c r="AC201" s="19"/>
    </row>
    <row r="202" spans="14:29" s="17" customFormat="1" x14ac:dyDescent="0.2">
      <c r="N202" s="19"/>
      <c r="O202" s="19"/>
      <c r="P202" s="19"/>
      <c r="Q202" s="19"/>
      <c r="R202" s="19"/>
      <c r="S202" s="19"/>
      <c r="T202" s="19"/>
      <c r="U202" s="19"/>
      <c r="V202" s="19"/>
      <c r="W202" s="19"/>
      <c r="X202" s="19"/>
      <c r="Y202" s="19"/>
      <c r="Z202" s="19"/>
      <c r="AA202" s="19"/>
      <c r="AB202" s="19"/>
      <c r="AC202" s="19"/>
    </row>
    <row r="203" spans="14:29" s="17" customFormat="1" x14ac:dyDescent="0.2">
      <c r="N203" s="19"/>
      <c r="O203" s="19"/>
      <c r="P203" s="19"/>
      <c r="Q203" s="19"/>
      <c r="R203" s="19"/>
      <c r="S203" s="19"/>
      <c r="T203" s="19"/>
      <c r="U203" s="19"/>
      <c r="V203" s="19"/>
      <c r="W203" s="19"/>
      <c r="X203" s="19"/>
      <c r="Y203" s="19"/>
      <c r="Z203" s="19"/>
      <c r="AA203" s="19"/>
      <c r="AB203" s="19"/>
      <c r="AC203" s="19"/>
    </row>
    <row r="204" spans="14:29" s="17" customFormat="1" x14ac:dyDescent="0.2">
      <c r="N204" s="19"/>
      <c r="O204" s="19"/>
      <c r="P204" s="19"/>
      <c r="Q204" s="19"/>
      <c r="R204" s="19"/>
      <c r="S204" s="19"/>
      <c r="T204" s="19"/>
      <c r="U204" s="19"/>
      <c r="V204" s="19"/>
      <c r="W204" s="19"/>
      <c r="X204" s="19"/>
      <c r="Y204" s="19"/>
      <c r="Z204" s="19"/>
      <c r="AA204" s="19"/>
      <c r="AB204" s="19"/>
      <c r="AC204" s="19"/>
    </row>
    <row r="205" spans="14:29" s="17" customFormat="1" x14ac:dyDescent="0.2">
      <c r="N205" s="19"/>
      <c r="O205" s="19"/>
      <c r="P205" s="19"/>
      <c r="Q205" s="19"/>
      <c r="R205" s="19"/>
      <c r="S205" s="19"/>
      <c r="T205" s="19"/>
      <c r="U205" s="19"/>
      <c r="V205" s="19"/>
      <c r="W205" s="19"/>
      <c r="X205" s="19"/>
      <c r="Y205" s="19"/>
      <c r="Z205" s="19"/>
      <c r="AA205" s="19"/>
      <c r="AB205" s="19"/>
      <c r="AC205" s="19"/>
    </row>
    <row r="206" spans="14:29" s="17" customFormat="1" x14ac:dyDescent="0.2">
      <c r="N206" s="19"/>
      <c r="O206" s="19"/>
      <c r="P206" s="19"/>
      <c r="Q206" s="19"/>
      <c r="R206" s="19"/>
      <c r="S206" s="19"/>
      <c r="T206" s="19"/>
      <c r="U206" s="19"/>
      <c r="V206" s="19"/>
      <c r="W206" s="19"/>
      <c r="X206" s="19"/>
      <c r="Y206" s="19"/>
      <c r="Z206" s="19"/>
      <c r="AA206" s="19"/>
      <c r="AB206" s="19"/>
      <c r="AC206" s="19"/>
    </row>
    <row r="207" spans="14:29" s="17" customFormat="1" x14ac:dyDescent="0.2">
      <c r="N207" s="19"/>
      <c r="O207" s="19"/>
      <c r="P207" s="19"/>
      <c r="Q207" s="19"/>
      <c r="R207" s="19"/>
      <c r="S207" s="19"/>
      <c r="T207" s="19"/>
      <c r="U207" s="19"/>
      <c r="V207" s="19"/>
      <c r="W207" s="19"/>
      <c r="X207" s="19"/>
      <c r="Y207" s="19"/>
      <c r="Z207" s="19"/>
      <c r="AA207" s="19"/>
      <c r="AB207" s="19"/>
      <c r="AC207" s="19"/>
    </row>
    <row r="208" spans="14:29" s="17" customFormat="1" x14ac:dyDescent="0.2">
      <c r="N208" s="19"/>
      <c r="O208" s="19"/>
      <c r="P208" s="19"/>
      <c r="Q208" s="19"/>
      <c r="R208" s="19"/>
      <c r="S208" s="19"/>
      <c r="T208" s="19"/>
      <c r="U208" s="19"/>
      <c r="V208" s="19"/>
      <c r="W208" s="19"/>
      <c r="X208" s="19"/>
      <c r="Y208" s="19"/>
      <c r="Z208" s="19"/>
      <c r="AA208" s="19"/>
      <c r="AB208" s="19"/>
      <c r="AC208" s="19"/>
    </row>
    <row r="209" spans="14:29" s="17" customFormat="1" x14ac:dyDescent="0.2">
      <c r="N209" s="19"/>
      <c r="O209" s="19"/>
      <c r="P209" s="19"/>
      <c r="Q209" s="19"/>
      <c r="R209" s="19"/>
      <c r="S209" s="19"/>
      <c r="T209" s="19"/>
      <c r="U209" s="19"/>
      <c r="V209" s="19"/>
      <c r="W209" s="19"/>
      <c r="X209" s="19"/>
      <c r="Y209" s="19"/>
      <c r="Z209" s="19"/>
      <c r="AA209" s="19"/>
      <c r="AB209" s="19"/>
      <c r="AC209" s="19"/>
    </row>
    <row r="210" spans="14:29" s="17" customFormat="1" x14ac:dyDescent="0.2">
      <c r="N210" s="19"/>
      <c r="O210" s="19"/>
      <c r="P210" s="19"/>
      <c r="Q210" s="19"/>
      <c r="R210" s="19"/>
      <c r="S210" s="19"/>
      <c r="T210" s="19"/>
      <c r="U210" s="19"/>
      <c r="V210" s="19"/>
      <c r="W210" s="19"/>
      <c r="X210" s="19"/>
      <c r="Y210" s="19"/>
      <c r="Z210" s="19"/>
      <c r="AA210" s="19"/>
      <c r="AB210" s="19"/>
      <c r="AC210" s="19"/>
    </row>
    <row r="211" spans="14:29" s="17" customFormat="1" x14ac:dyDescent="0.2">
      <c r="N211" s="19"/>
      <c r="O211" s="19"/>
      <c r="P211" s="19"/>
      <c r="Q211" s="19"/>
      <c r="R211" s="19"/>
      <c r="S211" s="19"/>
      <c r="T211" s="19"/>
      <c r="U211" s="19"/>
      <c r="V211" s="19"/>
      <c r="W211" s="19"/>
      <c r="X211" s="19"/>
      <c r="Y211" s="19"/>
      <c r="Z211" s="19"/>
      <c r="AA211" s="19"/>
      <c r="AB211" s="19"/>
      <c r="AC211" s="19"/>
    </row>
    <row r="212" spans="14:29" s="17" customFormat="1" x14ac:dyDescent="0.2">
      <c r="N212" s="19"/>
      <c r="O212" s="19"/>
      <c r="P212" s="19"/>
      <c r="Q212" s="19"/>
      <c r="R212" s="19"/>
      <c r="S212" s="19"/>
      <c r="T212" s="19"/>
      <c r="U212" s="19"/>
      <c r="V212" s="19"/>
      <c r="W212" s="19"/>
      <c r="X212" s="19"/>
      <c r="Y212" s="19"/>
      <c r="Z212" s="19"/>
      <c r="AA212" s="19"/>
      <c r="AB212" s="19"/>
      <c r="AC212" s="19"/>
    </row>
    <row r="213" spans="14:29" s="17" customFormat="1" x14ac:dyDescent="0.2">
      <c r="N213" s="19"/>
      <c r="O213" s="19"/>
      <c r="P213" s="19"/>
      <c r="Q213" s="19"/>
      <c r="R213" s="19"/>
      <c r="S213" s="19"/>
      <c r="T213" s="19"/>
      <c r="U213" s="19"/>
      <c r="V213" s="19"/>
      <c r="W213" s="19"/>
      <c r="X213" s="19"/>
      <c r="Y213" s="19"/>
      <c r="Z213" s="19"/>
      <c r="AA213" s="19"/>
      <c r="AB213" s="19"/>
      <c r="AC213" s="19"/>
    </row>
    <row r="214" spans="14:29" s="17" customFormat="1" x14ac:dyDescent="0.2">
      <c r="N214" s="19"/>
      <c r="O214" s="19"/>
      <c r="P214" s="19"/>
      <c r="Q214" s="19"/>
      <c r="R214" s="19"/>
      <c r="S214" s="19"/>
      <c r="T214" s="19"/>
      <c r="U214" s="19"/>
      <c r="V214" s="19"/>
      <c r="W214" s="19"/>
      <c r="X214" s="19"/>
      <c r="Y214" s="19"/>
      <c r="Z214" s="19"/>
      <c r="AA214" s="19"/>
      <c r="AB214" s="19"/>
      <c r="AC214" s="19"/>
    </row>
    <row r="215" spans="14:29" s="17" customFormat="1" x14ac:dyDescent="0.2">
      <c r="N215" s="19"/>
      <c r="O215" s="19"/>
      <c r="P215" s="19"/>
      <c r="Q215" s="19"/>
      <c r="R215" s="19"/>
      <c r="S215" s="19"/>
      <c r="T215" s="19"/>
      <c r="U215" s="19"/>
      <c r="V215" s="19"/>
      <c r="W215" s="19"/>
      <c r="X215" s="19"/>
      <c r="Y215" s="19"/>
      <c r="Z215" s="19"/>
      <c r="AA215" s="19"/>
      <c r="AB215" s="19"/>
      <c r="AC215" s="19"/>
    </row>
    <row r="216" spans="14:29" s="17" customFormat="1" x14ac:dyDescent="0.2">
      <c r="N216" s="19"/>
      <c r="O216" s="19"/>
      <c r="P216" s="19"/>
      <c r="Q216" s="19"/>
      <c r="R216" s="19"/>
      <c r="S216" s="19"/>
      <c r="T216" s="19"/>
      <c r="U216" s="19"/>
      <c r="V216" s="19"/>
      <c r="W216" s="19"/>
      <c r="X216" s="19"/>
      <c r="Y216" s="19"/>
      <c r="Z216" s="19"/>
      <c r="AA216" s="19"/>
      <c r="AB216" s="19"/>
      <c r="AC216" s="19"/>
    </row>
    <row r="217" spans="14:29" s="17" customFormat="1" x14ac:dyDescent="0.2">
      <c r="N217" s="19"/>
      <c r="O217" s="19"/>
      <c r="P217" s="19"/>
      <c r="Q217" s="19"/>
      <c r="R217" s="19"/>
      <c r="S217" s="19"/>
      <c r="T217" s="19"/>
      <c r="U217" s="19"/>
      <c r="V217" s="19"/>
      <c r="W217" s="19"/>
      <c r="X217" s="19"/>
      <c r="Y217" s="19"/>
      <c r="Z217" s="19"/>
      <c r="AA217" s="19"/>
      <c r="AB217" s="19"/>
      <c r="AC217" s="19"/>
    </row>
    <row r="218" spans="14:29" s="17" customFormat="1" x14ac:dyDescent="0.2">
      <c r="N218" s="19"/>
      <c r="O218" s="19"/>
      <c r="P218" s="19"/>
      <c r="Q218" s="19"/>
      <c r="R218" s="19"/>
      <c r="S218" s="19"/>
      <c r="T218" s="19"/>
      <c r="U218" s="19"/>
      <c r="V218" s="19"/>
      <c r="W218" s="19"/>
      <c r="X218" s="19"/>
      <c r="Y218" s="19"/>
      <c r="Z218" s="19"/>
      <c r="AA218" s="19"/>
      <c r="AB218" s="19"/>
      <c r="AC218" s="19"/>
    </row>
    <row r="219" spans="14:29" s="17" customFormat="1" x14ac:dyDescent="0.2">
      <c r="N219" s="19"/>
      <c r="O219" s="19"/>
      <c r="P219" s="19"/>
      <c r="Q219" s="19"/>
      <c r="R219" s="19"/>
      <c r="S219" s="19"/>
      <c r="T219" s="19"/>
      <c r="U219" s="19"/>
      <c r="V219" s="19"/>
      <c r="W219" s="19"/>
      <c r="X219" s="19"/>
      <c r="Y219" s="19"/>
      <c r="Z219" s="19"/>
      <c r="AA219" s="19"/>
      <c r="AB219" s="19"/>
      <c r="AC219" s="19"/>
    </row>
    <row r="220" spans="14:29" s="17" customFormat="1" x14ac:dyDescent="0.2">
      <c r="N220" s="19"/>
      <c r="O220" s="19"/>
      <c r="P220" s="19"/>
      <c r="Q220" s="19"/>
      <c r="R220" s="19"/>
      <c r="S220" s="19"/>
      <c r="T220" s="19"/>
      <c r="U220" s="19"/>
      <c r="V220" s="19"/>
      <c r="W220" s="19"/>
      <c r="X220" s="19"/>
      <c r="Y220" s="19"/>
      <c r="Z220" s="19"/>
      <c r="AA220" s="19"/>
      <c r="AB220" s="19"/>
      <c r="AC220" s="19"/>
    </row>
    <row r="221" spans="14:29" s="17" customFormat="1" x14ac:dyDescent="0.2">
      <c r="N221" s="19"/>
      <c r="O221" s="19"/>
      <c r="P221" s="19"/>
      <c r="Q221" s="19"/>
      <c r="R221" s="19"/>
      <c r="S221" s="19"/>
      <c r="T221" s="19"/>
      <c r="U221" s="19"/>
      <c r="V221" s="19"/>
      <c r="W221" s="19"/>
      <c r="X221" s="19"/>
      <c r="Y221" s="19"/>
      <c r="Z221" s="19"/>
      <c r="AA221" s="19"/>
      <c r="AB221" s="19"/>
      <c r="AC221" s="19"/>
    </row>
    <row r="222" spans="14:29" s="17" customFormat="1" x14ac:dyDescent="0.2">
      <c r="N222" s="19"/>
      <c r="O222" s="19"/>
      <c r="P222" s="19"/>
      <c r="Q222" s="19"/>
      <c r="R222" s="19"/>
      <c r="S222" s="19"/>
      <c r="T222" s="19"/>
      <c r="U222" s="19"/>
      <c r="V222" s="19"/>
      <c r="W222" s="19"/>
      <c r="X222" s="19"/>
      <c r="Y222" s="19"/>
      <c r="Z222" s="19"/>
      <c r="AA222" s="19"/>
      <c r="AB222" s="19"/>
      <c r="AC222" s="19"/>
    </row>
    <row r="223" spans="14:29" s="17" customFormat="1" x14ac:dyDescent="0.2">
      <c r="N223" s="19"/>
      <c r="O223" s="19"/>
      <c r="P223" s="19"/>
      <c r="Q223" s="19"/>
      <c r="R223" s="19"/>
      <c r="S223" s="19"/>
      <c r="T223" s="19"/>
      <c r="U223" s="19"/>
      <c r="V223" s="19"/>
      <c r="W223" s="19"/>
      <c r="X223" s="19"/>
      <c r="Y223" s="19"/>
      <c r="Z223" s="19"/>
      <c r="AA223" s="19"/>
      <c r="AB223" s="19"/>
      <c r="AC223" s="19"/>
    </row>
    <row r="224" spans="14:29" s="17" customFormat="1" x14ac:dyDescent="0.2">
      <c r="N224" s="19"/>
      <c r="O224" s="19"/>
      <c r="P224" s="19"/>
      <c r="Q224" s="19"/>
      <c r="R224" s="19"/>
      <c r="S224" s="19"/>
      <c r="T224" s="19"/>
      <c r="U224" s="19"/>
      <c r="V224" s="19"/>
      <c r="W224" s="19"/>
      <c r="X224" s="19"/>
      <c r="Y224" s="19"/>
      <c r="Z224" s="19"/>
      <c r="AA224" s="19"/>
      <c r="AB224" s="19"/>
      <c r="AC224" s="19"/>
    </row>
    <row r="225" spans="14:29" s="17" customFormat="1" x14ac:dyDescent="0.2">
      <c r="N225" s="19"/>
      <c r="O225" s="19"/>
      <c r="P225" s="19"/>
      <c r="Q225" s="19"/>
      <c r="R225" s="19"/>
      <c r="S225" s="19"/>
      <c r="T225" s="19"/>
      <c r="U225" s="19"/>
      <c r="V225" s="19"/>
      <c r="W225" s="19"/>
      <c r="X225" s="19"/>
      <c r="Y225" s="19"/>
      <c r="Z225" s="19"/>
      <c r="AA225" s="19"/>
      <c r="AB225" s="19"/>
      <c r="AC225" s="19"/>
    </row>
    <row r="226" spans="14:29" s="17" customFormat="1" x14ac:dyDescent="0.2">
      <c r="N226" s="19"/>
      <c r="O226" s="19"/>
      <c r="P226" s="19"/>
      <c r="Q226" s="19"/>
      <c r="R226" s="19"/>
      <c r="S226" s="19"/>
      <c r="T226" s="19"/>
      <c r="U226" s="19"/>
      <c r="V226" s="19"/>
      <c r="W226" s="19"/>
      <c r="X226" s="19"/>
      <c r="Y226" s="19"/>
      <c r="Z226" s="19"/>
      <c r="AA226" s="19"/>
      <c r="AB226" s="19"/>
      <c r="AC226" s="19"/>
    </row>
    <row r="227" spans="14:29" s="17" customFormat="1" x14ac:dyDescent="0.2">
      <c r="N227" s="19"/>
      <c r="O227" s="19"/>
      <c r="P227" s="19"/>
      <c r="Q227" s="19"/>
      <c r="R227" s="19"/>
      <c r="S227" s="19"/>
      <c r="T227" s="19"/>
      <c r="U227" s="19"/>
      <c r="V227" s="19"/>
      <c r="W227" s="19"/>
      <c r="X227" s="19"/>
      <c r="Y227" s="19"/>
      <c r="Z227" s="19"/>
      <c r="AA227" s="19"/>
      <c r="AB227" s="19"/>
      <c r="AC227" s="19"/>
    </row>
    <row r="228" spans="14:29" s="17" customFormat="1" x14ac:dyDescent="0.2">
      <c r="N228" s="19"/>
      <c r="O228" s="19"/>
      <c r="P228" s="19"/>
      <c r="Q228" s="19"/>
      <c r="R228" s="19"/>
      <c r="S228" s="19"/>
      <c r="T228" s="19"/>
      <c r="U228" s="19"/>
      <c r="V228" s="19"/>
      <c r="W228" s="19"/>
      <c r="X228" s="19"/>
      <c r="Y228" s="19"/>
      <c r="Z228" s="19"/>
      <c r="AA228" s="19"/>
      <c r="AB228" s="19"/>
      <c r="AC228" s="19"/>
    </row>
    <row r="229" spans="14:29" s="17" customFormat="1" x14ac:dyDescent="0.2">
      <c r="N229" s="19"/>
      <c r="O229" s="19"/>
      <c r="P229" s="19"/>
      <c r="Q229" s="19"/>
      <c r="R229" s="19"/>
      <c r="S229" s="19"/>
      <c r="T229" s="19"/>
      <c r="U229" s="19"/>
      <c r="V229" s="19"/>
      <c r="W229" s="19"/>
      <c r="X229" s="19"/>
      <c r="Y229" s="19"/>
      <c r="Z229" s="19"/>
      <c r="AA229" s="19"/>
      <c r="AB229" s="19"/>
      <c r="AC229" s="19"/>
    </row>
    <row r="230" spans="14:29" s="17" customFormat="1" x14ac:dyDescent="0.2">
      <c r="N230" s="19"/>
      <c r="O230" s="19"/>
      <c r="P230" s="19"/>
      <c r="Q230" s="19"/>
      <c r="R230" s="19"/>
      <c r="S230" s="19"/>
      <c r="T230" s="19"/>
      <c r="U230" s="19"/>
      <c r="V230" s="19"/>
      <c r="W230" s="19"/>
      <c r="X230" s="19"/>
      <c r="Y230" s="19"/>
      <c r="Z230" s="19"/>
      <c r="AA230" s="19"/>
      <c r="AB230" s="19"/>
      <c r="AC230" s="19"/>
    </row>
    <row r="231" spans="14:29" s="17" customFormat="1" x14ac:dyDescent="0.2">
      <c r="N231" s="19"/>
      <c r="O231" s="19"/>
      <c r="P231" s="19"/>
      <c r="Q231" s="19"/>
      <c r="R231" s="19"/>
      <c r="S231" s="19"/>
      <c r="T231" s="19"/>
      <c r="U231" s="19"/>
      <c r="V231" s="19"/>
      <c r="W231" s="19"/>
      <c r="X231" s="19"/>
      <c r="Y231" s="19"/>
      <c r="Z231" s="19"/>
      <c r="AA231" s="19"/>
      <c r="AB231" s="19"/>
      <c r="AC231" s="19"/>
    </row>
    <row r="232" spans="14:29" s="17" customFormat="1" x14ac:dyDescent="0.2">
      <c r="N232" s="19"/>
      <c r="O232" s="19"/>
      <c r="P232" s="19"/>
      <c r="Q232" s="19"/>
      <c r="R232" s="19"/>
      <c r="S232" s="19"/>
      <c r="T232" s="19"/>
      <c r="U232" s="19"/>
      <c r="V232" s="19"/>
      <c r="W232" s="19"/>
      <c r="X232" s="19"/>
      <c r="Y232" s="19"/>
      <c r="Z232" s="19"/>
      <c r="AA232" s="19"/>
      <c r="AB232" s="19"/>
      <c r="AC232" s="19"/>
    </row>
    <row r="233" spans="14:29" s="17" customFormat="1" x14ac:dyDescent="0.2">
      <c r="N233" s="19"/>
      <c r="O233" s="19"/>
      <c r="P233" s="19"/>
      <c r="Q233" s="19"/>
      <c r="R233" s="19"/>
      <c r="S233" s="19"/>
      <c r="T233" s="19"/>
      <c r="U233" s="19"/>
      <c r="V233" s="19"/>
      <c r="W233" s="19"/>
      <c r="X233" s="19"/>
      <c r="Y233" s="19"/>
      <c r="Z233" s="19"/>
      <c r="AA233" s="19"/>
      <c r="AB233" s="19"/>
      <c r="AC233" s="19"/>
    </row>
    <row r="234" spans="14:29" s="17" customFormat="1" x14ac:dyDescent="0.2">
      <c r="N234" s="19"/>
      <c r="O234" s="19"/>
      <c r="P234" s="19"/>
      <c r="Q234" s="19"/>
      <c r="R234" s="19"/>
      <c r="S234" s="19"/>
      <c r="T234" s="19"/>
      <c r="U234" s="19"/>
      <c r="V234" s="19"/>
      <c r="W234" s="19"/>
      <c r="X234" s="19"/>
      <c r="Y234" s="19"/>
      <c r="Z234" s="19"/>
      <c r="AA234" s="19"/>
      <c r="AB234" s="19"/>
      <c r="AC234" s="19"/>
    </row>
    <row r="235" spans="14:29" s="17" customFormat="1" x14ac:dyDescent="0.2">
      <c r="N235" s="19"/>
      <c r="O235" s="19"/>
      <c r="P235" s="19"/>
      <c r="Q235" s="19"/>
      <c r="R235" s="19"/>
      <c r="S235" s="19"/>
      <c r="T235" s="19"/>
      <c r="U235" s="19"/>
      <c r="V235" s="19"/>
      <c r="W235" s="19"/>
      <c r="X235" s="19"/>
      <c r="Y235" s="19"/>
      <c r="Z235" s="19"/>
      <c r="AA235" s="19"/>
      <c r="AB235" s="19"/>
      <c r="AC235" s="19"/>
    </row>
    <row r="236" spans="14:29" s="17" customFormat="1" x14ac:dyDescent="0.2">
      <c r="N236" s="19"/>
      <c r="O236" s="19"/>
      <c r="P236" s="19"/>
      <c r="Q236" s="19"/>
      <c r="R236" s="19"/>
      <c r="S236" s="19"/>
      <c r="T236" s="19"/>
      <c r="U236" s="19"/>
      <c r="V236" s="19"/>
      <c r="W236" s="19"/>
      <c r="X236" s="19"/>
      <c r="Y236" s="19"/>
      <c r="Z236" s="19"/>
      <c r="AA236" s="19"/>
      <c r="AB236" s="19"/>
      <c r="AC236" s="19"/>
    </row>
    <row r="237" spans="14:29" s="17" customFormat="1" x14ac:dyDescent="0.2">
      <c r="N237" s="19"/>
      <c r="O237" s="19"/>
      <c r="P237" s="19"/>
      <c r="Q237" s="19"/>
      <c r="R237" s="19"/>
      <c r="S237" s="19"/>
      <c r="T237" s="19"/>
      <c r="U237" s="19"/>
      <c r="V237" s="19"/>
      <c r="W237" s="19"/>
      <c r="X237" s="19"/>
      <c r="Y237" s="19"/>
      <c r="Z237" s="19"/>
      <c r="AA237" s="19"/>
      <c r="AB237" s="19"/>
      <c r="AC237" s="19"/>
    </row>
    <row r="238" spans="14:29" s="17" customFormat="1" x14ac:dyDescent="0.2">
      <c r="N238" s="19"/>
      <c r="O238" s="19"/>
      <c r="P238" s="19"/>
      <c r="Q238" s="19"/>
      <c r="R238" s="19"/>
      <c r="S238" s="19"/>
      <c r="T238" s="19"/>
      <c r="U238" s="19"/>
      <c r="V238" s="19"/>
      <c r="W238" s="19"/>
      <c r="X238" s="19"/>
      <c r="Y238" s="19"/>
      <c r="Z238" s="19"/>
      <c r="AA238" s="19"/>
      <c r="AB238" s="19"/>
      <c r="AC238" s="19"/>
    </row>
    <row r="239" spans="14:29" s="17" customFormat="1" x14ac:dyDescent="0.2">
      <c r="N239" s="19"/>
      <c r="O239" s="19"/>
      <c r="P239" s="19"/>
      <c r="Q239" s="19"/>
      <c r="R239" s="19"/>
      <c r="S239" s="19"/>
      <c r="T239" s="19"/>
      <c r="U239" s="19"/>
      <c r="V239" s="19"/>
      <c r="W239" s="19"/>
      <c r="X239" s="19"/>
      <c r="Y239" s="19"/>
      <c r="Z239" s="19"/>
      <c r="AA239" s="19"/>
      <c r="AB239" s="19"/>
      <c r="AC239" s="19"/>
    </row>
    <row r="240" spans="14:29" s="17" customFormat="1" x14ac:dyDescent="0.2">
      <c r="N240" s="19"/>
      <c r="O240" s="19"/>
      <c r="P240" s="19"/>
      <c r="Q240" s="19"/>
      <c r="R240" s="19"/>
      <c r="S240" s="19"/>
      <c r="T240" s="19"/>
      <c r="U240" s="19"/>
      <c r="V240" s="19"/>
      <c r="W240" s="19"/>
      <c r="X240" s="19"/>
      <c r="Y240" s="19"/>
      <c r="Z240" s="19"/>
      <c r="AA240" s="19"/>
      <c r="AB240" s="19"/>
      <c r="AC240" s="19"/>
    </row>
    <row r="241" spans="14:29" s="17" customFormat="1" x14ac:dyDescent="0.2">
      <c r="N241" s="19"/>
      <c r="O241" s="19"/>
      <c r="P241" s="19"/>
      <c r="Q241" s="19"/>
      <c r="R241" s="19"/>
      <c r="S241" s="19"/>
      <c r="T241" s="19"/>
      <c r="U241" s="19"/>
      <c r="V241" s="19"/>
      <c r="W241" s="19"/>
      <c r="X241" s="19"/>
      <c r="Y241" s="19"/>
      <c r="Z241" s="19"/>
      <c r="AA241" s="19"/>
      <c r="AB241" s="19"/>
      <c r="AC241" s="19"/>
    </row>
    <row r="242" spans="14:29" s="17" customFormat="1" x14ac:dyDescent="0.2">
      <c r="N242" s="19"/>
      <c r="O242" s="19"/>
      <c r="P242" s="19"/>
      <c r="Q242" s="19"/>
      <c r="R242" s="19"/>
      <c r="S242" s="19"/>
      <c r="T242" s="19"/>
      <c r="U242" s="19"/>
      <c r="V242" s="19"/>
      <c r="W242" s="19"/>
      <c r="X242" s="19"/>
      <c r="Y242" s="19"/>
      <c r="Z242" s="19"/>
      <c r="AA242" s="19"/>
      <c r="AB242" s="19"/>
      <c r="AC242" s="19"/>
    </row>
    <row r="243" spans="14:29" s="17" customFormat="1" x14ac:dyDescent="0.2">
      <c r="N243" s="19"/>
      <c r="O243" s="19"/>
      <c r="P243" s="19"/>
      <c r="Q243" s="19"/>
      <c r="R243" s="19"/>
      <c r="S243" s="19"/>
      <c r="T243" s="19"/>
      <c r="U243" s="19"/>
      <c r="V243" s="19"/>
      <c r="W243" s="19"/>
      <c r="X243" s="19"/>
      <c r="Y243" s="19"/>
      <c r="Z243" s="19"/>
      <c r="AA243" s="19"/>
      <c r="AB243" s="19"/>
      <c r="AC243" s="19"/>
    </row>
  </sheetData>
  <sheetProtection algorithmName="SHA-512" hashValue="Pa6E3bVDqBzZzRs95KNKDFd2UvlCVfSilMEaLQi0Flkh5wi96Qms51PY7QtnX6L2kVn5pT9jFGNsxw956z5zqA==" saltValue="VLUjwR+BD9y2x/8u1vMBVQ==" spinCount="100000" sheet="1" selectLockedCells="1"/>
  <mergeCells count="51">
    <mergeCell ref="B35:E35"/>
    <mergeCell ref="F35:K35"/>
    <mergeCell ref="B37:E37"/>
    <mergeCell ref="F37:K37"/>
    <mergeCell ref="B33:E33"/>
    <mergeCell ref="F33:H33"/>
    <mergeCell ref="I33:J33"/>
    <mergeCell ref="B39:K39"/>
    <mergeCell ref="B41:E41"/>
    <mergeCell ref="F41:K41"/>
    <mergeCell ref="B43:E43"/>
    <mergeCell ref="F43:H43"/>
    <mergeCell ref="I43:J43"/>
    <mergeCell ref="B63:K63"/>
    <mergeCell ref="B65:K65"/>
    <mergeCell ref="B45:E45"/>
    <mergeCell ref="F45:K45"/>
    <mergeCell ref="F47:K47"/>
    <mergeCell ref="B49:K49"/>
    <mergeCell ref="B51:E51"/>
    <mergeCell ref="B47:E47"/>
    <mergeCell ref="B61:K61"/>
    <mergeCell ref="B52:K52"/>
    <mergeCell ref="B57:K57"/>
    <mergeCell ref="B59:K59"/>
    <mergeCell ref="B26:E26"/>
    <mergeCell ref="F26:G26"/>
    <mergeCell ref="B27:K27"/>
    <mergeCell ref="B31:E31"/>
    <mergeCell ref="F31:K31"/>
    <mergeCell ref="I26:K26"/>
    <mergeCell ref="B18:E18"/>
    <mergeCell ref="F18:H18"/>
    <mergeCell ref="I18:J18"/>
    <mergeCell ref="B20:E20"/>
    <mergeCell ref="B24:E24"/>
    <mergeCell ref="F24:G24"/>
    <mergeCell ref="F20:H20"/>
    <mergeCell ref="E22:H22"/>
    <mergeCell ref="B14:E14"/>
    <mergeCell ref="F14:H14"/>
    <mergeCell ref="I14:K14"/>
    <mergeCell ref="B16:E16"/>
    <mergeCell ref="F16:H16"/>
    <mergeCell ref="I16:J16"/>
    <mergeCell ref="B5:K5"/>
    <mergeCell ref="B10:K10"/>
    <mergeCell ref="B12:E12"/>
    <mergeCell ref="F12:I12"/>
    <mergeCell ref="J12:K12"/>
    <mergeCell ref="B7:K9"/>
  </mergeCells>
  <conditionalFormatting sqref="B12:E12">
    <cfRule type="expression" dxfId="191" priority="1">
      <formula>ISBLANK($B$12)</formula>
    </cfRule>
  </conditionalFormatting>
  <conditionalFormatting sqref="B31:E31">
    <cfRule type="expression" dxfId="190" priority="11">
      <formula>ISBLANK($B$31)</formula>
    </cfRule>
  </conditionalFormatting>
  <conditionalFormatting sqref="B33:E33">
    <cfRule type="expression" dxfId="189" priority="9">
      <formula>ISBLANK($B$33)</formula>
    </cfRule>
  </conditionalFormatting>
  <conditionalFormatting sqref="B35:E35">
    <cfRule type="expression" dxfId="188" priority="5">
      <formula>ISBLANK($B$35)</formula>
    </cfRule>
  </conditionalFormatting>
  <conditionalFormatting sqref="B5:K5">
    <cfRule type="expression" dxfId="187" priority="20">
      <formula>B5&lt;&gt;""</formula>
    </cfRule>
  </conditionalFormatting>
  <conditionalFormatting sqref="F20">
    <cfRule type="expression" dxfId="186" priority="12">
      <formula>ISBLANK($F$20)</formula>
    </cfRule>
  </conditionalFormatting>
  <conditionalFormatting sqref="F26:G26">
    <cfRule type="cellIs" dxfId="185" priority="21" operator="between">
      <formula>1</formula>
      <formula>99999999</formula>
    </cfRule>
    <cfRule type="expression" dxfId="184" priority="22">
      <formula>($H$26="Not National Grid")</formula>
    </cfRule>
  </conditionalFormatting>
  <conditionalFormatting sqref="F33:H33">
    <cfRule type="expression" dxfId="183" priority="8">
      <formula>ISBLANK($F$33)</formula>
    </cfRule>
  </conditionalFormatting>
  <conditionalFormatting sqref="F24:I24">
    <cfRule type="cellIs" dxfId="182" priority="23" operator="between">
      <formula>1</formula>
      <formula>99999999</formula>
    </cfRule>
    <cfRule type="expression" dxfId="181" priority="24">
      <formula>($J$24="Not National Grid")</formula>
    </cfRule>
  </conditionalFormatting>
  <conditionalFormatting sqref="F31:K31">
    <cfRule type="expression" dxfId="180" priority="10">
      <formula>ISBLANK($F$31)</formula>
    </cfRule>
  </conditionalFormatting>
  <conditionalFormatting sqref="F35:K35">
    <cfRule type="expression" dxfId="179" priority="4">
      <formula>ISBLANK($F$35)</formula>
    </cfRule>
  </conditionalFormatting>
  <conditionalFormatting sqref="F37:K37">
    <cfRule type="expression" dxfId="178" priority="3">
      <formula>ISBLANK($F$37)</formula>
    </cfRule>
  </conditionalFormatting>
  <conditionalFormatting sqref="H21">
    <cfRule type="expression" dxfId="177" priority="17">
      <formula>AND($H$21&lt;&gt;"Yes",$H$21&lt;&gt;"No")</formula>
    </cfRule>
    <cfRule type="expression" dxfId="176" priority="19">
      <formula>AND(ISBLANK(H21),J24="National Grid")</formula>
    </cfRule>
  </conditionalFormatting>
  <conditionalFormatting sqref="I33:J33">
    <cfRule type="expression" dxfId="175" priority="7">
      <formula>ISBLANK($I$33)</formula>
    </cfRule>
  </conditionalFormatting>
  <conditionalFormatting sqref="J12:K12">
    <cfRule type="expression" dxfId="174" priority="2">
      <formula>ISBLANK($J$12)</formula>
    </cfRule>
  </conditionalFormatting>
  <conditionalFormatting sqref="K18">
    <cfRule type="expression" dxfId="173" priority="29">
      <formula>ISBLANK(K18)</formula>
    </cfRule>
  </conditionalFormatting>
  <conditionalFormatting sqref="K33">
    <cfRule type="expression" dxfId="172" priority="6">
      <formula>ISBLANK($K$33)</formula>
    </cfRule>
  </conditionalFormatting>
  <dataValidations count="6">
    <dataValidation type="list" allowBlank="1" showInputMessage="1" showErrorMessage="1" errorTitle="Select Yes or No from dropdown" error=" " promptTitle="Select Yes or No from dropdown" prompt=" " sqref="H21" xr:uid="{CD719ADE-319B-449C-A344-413D16DDFFCB}">
      <formula1>"Yes, No"</formula1>
    </dataValidation>
    <dataValidation type="textLength" allowBlank="1" showInputMessage="1" showErrorMessage="1" errorTitle="Account Number" error="Must enter customer account number. Expecting 10 digits. If leading digits are 0, then enter an 'x' in their place" sqref="B24:E24 B26:E26" xr:uid="{7655638C-81F2-44A8-8834-27CFBC2AB36E}">
      <formula1>10</formula1>
      <formula2>11</formula2>
    </dataValidation>
    <dataValidation type="whole" allowBlank="1" showInputMessage="1" showErrorMessage="1" error="Must be between 1 and 25" sqref="K16" xr:uid="{5D72CAC6-9025-4EFA-8772-998849082B87}">
      <formula1>1</formula1>
      <formula2>50</formula2>
    </dataValidation>
    <dataValidation allowBlank="1" showInputMessage="1" showErrorMessage="1" promptTitle="Date" prompt="hit Cntrl &amp; ; keys to enter todays date" sqref="J12:K12" xr:uid="{ED3D8965-7DC1-4F86-9FB8-B995C7F7D144}"/>
    <dataValidation allowBlank="1" showInputMessage="1" showErrorMessage="1" promptTitle="Date" prompt="Hit Cntrl &amp; ; keys to enter todays date" sqref="B65:K65" xr:uid="{ECEBBA2E-00D0-45C8-88DE-0E5F47B87DB9}"/>
    <dataValidation allowBlank="1" showInputMessage="1" showErrorMessage="1" errorTitle="Account Number" error="Must enter customer account number" sqref="F24" xr:uid="{BB42203D-52D2-4694-A3A7-99ABEDBB4683}"/>
  </dataValidations>
  <hyperlinks>
    <hyperlink ref="E22" r:id="rId1" xr:uid="{A3A0D766-FB88-4E98-9FAA-0B8591332EDB}"/>
  </hyperlinks>
  <pageMargins left="0.5" right="0.5" top="0.25" bottom="0.25" header="0" footer="0"/>
  <pageSetup scale="72" orientation="portrait" r:id="rId2"/>
  <rowBreaks count="1" manualBreakCount="1">
    <brk id="4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080" r:id="rId5" name="Check Box 8">
              <controlPr locked="0" defaultSize="0" autoFill="0" autoLine="0" autoPict="0" altText="Exempt_x000a_">
                <anchor moveWithCells="1">
                  <from>
                    <xdr:col>3</xdr:col>
                    <xdr:colOff>323850</xdr:colOff>
                    <xdr:row>27</xdr:row>
                    <xdr:rowOff>38100</xdr:rowOff>
                  </from>
                  <to>
                    <xdr:col>6</xdr:col>
                    <xdr:colOff>504825</xdr:colOff>
                    <xdr:row>28</xdr:row>
                    <xdr:rowOff>114300</xdr:rowOff>
                  </to>
                </anchor>
              </controlPr>
            </control>
          </mc:Choice>
        </mc:AlternateContent>
        <mc:AlternateContent xmlns:mc="http://schemas.openxmlformats.org/markup-compatibility/2006">
          <mc:Choice Requires="x14">
            <control shapeId="3081" r:id="rId6" name="Check Box 9">
              <controlPr locked="0" defaultSize="0" autoFill="0" autoLine="0" autoPict="0">
                <anchor moveWithCells="1">
                  <from>
                    <xdr:col>1</xdr:col>
                    <xdr:colOff>57150</xdr:colOff>
                    <xdr:row>27</xdr:row>
                    <xdr:rowOff>57150</xdr:rowOff>
                  </from>
                  <to>
                    <xdr:col>2</xdr:col>
                    <xdr:colOff>409575</xdr:colOff>
                    <xdr:row>28</xdr:row>
                    <xdr:rowOff>114300</xdr:rowOff>
                  </to>
                </anchor>
              </controlPr>
            </control>
          </mc:Choice>
        </mc:AlternateContent>
        <mc:AlternateContent xmlns:mc="http://schemas.openxmlformats.org/markup-compatibility/2006">
          <mc:Choice Requires="x14">
            <control shapeId="3082" r:id="rId7" name="Check Box 10">
              <controlPr locked="0" defaultSize="0" autoFill="0" autoLine="0" autoPict="0" altText="Exempt_x000a_">
                <anchor moveWithCells="1">
                  <from>
                    <xdr:col>8</xdr:col>
                    <xdr:colOff>409575</xdr:colOff>
                    <xdr:row>27</xdr:row>
                    <xdr:rowOff>47625</xdr:rowOff>
                  </from>
                  <to>
                    <xdr:col>10</xdr:col>
                    <xdr:colOff>19050</xdr:colOff>
                    <xdr:row>28</xdr:row>
                    <xdr:rowOff>114300</xdr:rowOff>
                  </to>
                </anchor>
              </controlPr>
            </control>
          </mc:Choice>
        </mc:AlternateContent>
        <mc:AlternateContent xmlns:mc="http://schemas.openxmlformats.org/markup-compatibility/2006">
          <mc:Choice Requires="x14">
            <control shapeId="3083" r:id="rId8" name="Check Box 11">
              <controlPr locked="0" defaultSize="0" autoFill="0" autoLine="0" autoPict="0" altText="Exempt_x000a_">
                <anchor moveWithCells="1">
                  <from>
                    <xdr:col>2</xdr:col>
                    <xdr:colOff>66675</xdr:colOff>
                    <xdr:row>35</xdr:row>
                    <xdr:rowOff>123825</xdr:rowOff>
                  </from>
                  <to>
                    <xdr:col>2</xdr:col>
                    <xdr:colOff>666750</xdr:colOff>
                    <xdr:row>37</xdr:row>
                    <xdr:rowOff>28575</xdr:rowOff>
                  </to>
                </anchor>
              </controlPr>
            </control>
          </mc:Choice>
        </mc:AlternateContent>
        <mc:AlternateContent xmlns:mc="http://schemas.openxmlformats.org/markup-compatibility/2006">
          <mc:Choice Requires="x14">
            <control shapeId="3084" r:id="rId9" name="Check Box 12">
              <controlPr locked="0" defaultSize="0" autoFill="0" autoLine="0" autoPict="0">
                <anchor moveWithCells="1">
                  <from>
                    <xdr:col>1</xdr:col>
                    <xdr:colOff>9525</xdr:colOff>
                    <xdr:row>35</xdr:row>
                    <xdr:rowOff>123825</xdr:rowOff>
                  </from>
                  <to>
                    <xdr:col>1</xdr:col>
                    <xdr:colOff>857250</xdr:colOff>
                    <xdr:row>37</xdr:row>
                    <xdr:rowOff>28575</xdr:rowOff>
                  </to>
                </anchor>
              </controlPr>
            </control>
          </mc:Choice>
        </mc:AlternateContent>
        <mc:AlternateContent xmlns:mc="http://schemas.openxmlformats.org/markup-compatibility/2006">
          <mc:Choice Requires="x14">
            <control shapeId="3085" r:id="rId10" name="Check Box 13">
              <controlPr locked="0" defaultSize="0" autoFill="0" autoLine="0" autoPict="0" altText="Exempt_x000a_">
                <anchor moveWithCells="1">
                  <from>
                    <xdr:col>3</xdr:col>
                    <xdr:colOff>180975</xdr:colOff>
                    <xdr:row>35</xdr:row>
                    <xdr:rowOff>114300</xdr:rowOff>
                  </from>
                  <to>
                    <xdr:col>4</xdr:col>
                    <xdr:colOff>647700</xdr:colOff>
                    <xdr:row>37</xdr:row>
                    <xdr:rowOff>28575</xdr:rowOff>
                  </to>
                </anchor>
              </controlPr>
            </control>
          </mc:Choice>
        </mc:AlternateContent>
        <mc:AlternateContent xmlns:mc="http://schemas.openxmlformats.org/markup-compatibility/2006">
          <mc:Choice Requires="x14">
            <control shapeId="3092" r:id="rId11" name="Check Box 20">
              <controlPr locked="0" defaultSize="0" autoFill="0" autoLine="0" autoPict="0">
                <anchor moveWithCells="1">
                  <from>
                    <xdr:col>1</xdr:col>
                    <xdr:colOff>19050</xdr:colOff>
                    <xdr:row>52</xdr:row>
                    <xdr:rowOff>9525</xdr:rowOff>
                  </from>
                  <to>
                    <xdr:col>9</xdr:col>
                    <xdr:colOff>704850</xdr:colOff>
                    <xdr:row>53</xdr:row>
                    <xdr:rowOff>104775</xdr:rowOff>
                  </to>
                </anchor>
              </controlPr>
            </control>
          </mc:Choice>
        </mc:AlternateContent>
        <mc:AlternateContent xmlns:mc="http://schemas.openxmlformats.org/markup-compatibility/2006">
          <mc:Choice Requires="x14">
            <control shapeId="3093" r:id="rId12" name="Check Box 21">
              <controlPr locked="0" defaultSize="0" autoFill="0" autoLine="0" autoPict="0" altText="Exempt_x000a_">
                <anchor moveWithCells="1">
                  <from>
                    <xdr:col>6</xdr:col>
                    <xdr:colOff>561975</xdr:colOff>
                    <xdr:row>27</xdr:row>
                    <xdr:rowOff>38100</xdr:rowOff>
                  </from>
                  <to>
                    <xdr:col>8</xdr:col>
                    <xdr:colOff>85725</xdr:colOff>
                    <xdr:row>28</xdr:row>
                    <xdr:rowOff>114300</xdr:rowOff>
                  </to>
                </anchor>
              </controlPr>
            </control>
          </mc:Choice>
        </mc:AlternateContent>
        <mc:AlternateContent xmlns:mc="http://schemas.openxmlformats.org/markup-compatibility/2006">
          <mc:Choice Requires="x14">
            <control shapeId="3100" r:id="rId13" name="Check Box 28">
              <controlPr locked="0" defaultSize="0" autoFill="0" autoLine="0" autoPict="0" altText="Exempt_x000a_">
                <anchor moveWithCells="1">
                  <from>
                    <xdr:col>2</xdr:col>
                    <xdr:colOff>66675</xdr:colOff>
                    <xdr:row>45</xdr:row>
                    <xdr:rowOff>123825</xdr:rowOff>
                  </from>
                  <to>
                    <xdr:col>2</xdr:col>
                    <xdr:colOff>666750</xdr:colOff>
                    <xdr:row>47</xdr:row>
                    <xdr:rowOff>28575</xdr:rowOff>
                  </to>
                </anchor>
              </controlPr>
            </control>
          </mc:Choice>
        </mc:AlternateContent>
        <mc:AlternateContent xmlns:mc="http://schemas.openxmlformats.org/markup-compatibility/2006">
          <mc:Choice Requires="x14">
            <control shapeId="3101" r:id="rId14" name="Check Box 29">
              <controlPr locked="0" defaultSize="0" autoFill="0" autoLine="0" autoPict="0">
                <anchor moveWithCells="1">
                  <from>
                    <xdr:col>1</xdr:col>
                    <xdr:colOff>9525</xdr:colOff>
                    <xdr:row>45</xdr:row>
                    <xdr:rowOff>123825</xdr:rowOff>
                  </from>
                  <to>
                    <xdr:col>1</xdr:col>
                    <xdr:colOff>857250</xdr:colOff>
                    <xdr:row>47</xdr:row>
                    <xdr:rowOff>28575</xdr:rowOff>
                  </to>
                </anchor>
              </controlPr>
            </control>
          </mc:Choice>
        </mc:AlternateContent>
        <mc:AlternateContent xmlns:mc="http://schemas.openxmlformats.org/markup-compatibility/2006">
          <mc:Choice Requires="x14">
            <control shapeId="3102" r:id="rId15" name="Check Box 30">
              <controlPr locked="0" defaultSize="0" autoFill="0" autoLine="0" autoPict="0" altText="Exempt_x000a_">
                <anchor moveWithCells="1">
                  <from>
                    <xdr:col>3</xdr:col>
                    <xdr:colOff>180975</xdr:colOff>
                    <xdr:row>45</xdr:row>
                    <xdr:rowOff>114300</xdr:rowOff>
                  </from>
                  <to>
                    <xdr:col>4</xdr:col>
                    <xdr:colOff>647700</xdr:colOff>
                    <xdr:row>47</xdr:row>
                    <xdr:rowOff>28575</xdr:rowOff>
                  </to>
                </anchor>
              </controlPr>
            </control>
          </mc:Choice>
        </mc:AlternateContent>
        <mc:AlternateContent xmlns:mc="http://schemas.openxmlformats.org/markup-compatibility/2006">
          <mc:Choice Requires="x14">
            <control shapeId="3104" r:id="rId16" name="Check Box 32">
              <controlPr locked="0" defaultSize="0" autoFill="0" autoLine="0" autoPict="0" altText="Exempt_x000a_">
                <anchor moveWithCells="1">
                  <from>
                    <xdr:col>2</xdr:col>
                    <xdr:colOff>66675</xdr:colOff>
                    <xdr:row>18</xdr:row>
                    <xdr:rowOff>123825</xdr:rowOff>
                  </from>
                  <to>
                    <xdr:col>2</xdr:col>
                    <xdr:colOff>666750</xdr:colOff>
                    <xdr:row>20</xdr:row>
                    <xdr:rowOff>28575</xdr:rowOff>
                  </to>
                </anchor>
              </controlPr>
            </control>
          </mc:Choice>
        </mc:AlternateContent>
        <mc:AlternateContent xmlns:mc="http://schemas.openxmlformats.org/markup-compatibility/2006">
          <mc:Choice Requires="x14">
            <control shapeId="3105" r:id="rId17" name="Check Box 33">
              <controlPr locked="0" defaultSize="0" autoFill="0" autoLine="0" autoPict="0">
                <anchor moveWithCells="1">
                  <from>
                    <xdr:col>1</xdr:col>
                    <xdr:colOff>9525</xdr:colOff>
                    <xdr:row>18</xdr:row>
                    <xdr:rowOff>123825</xdr:rowOff>
                  </from>
                  <to>
                    <xdr:col>1</xdr:col>
                    <xdr:colOff>857250</xdr:colOff>
                    <xdr:row>20</xdr:row>
                    <xdr:rowOff>28575</xdr:rowOff>
                  </to>
                </anchor>
              </controlPr>
            </control>
          </mc:Choice>
        </mc:AlternateContent>
        <mc:AlternateContent xmlns:mc="http://schemas.openxmlformats.org/markup-compatibility/2006">
          <mc:Choice Requires="x14">
            <control shapeId="3106" r:id="rId18" name="Check Box 34">
              <controlPr locked="0" defaultSize="0" autoFill="0" autoLine="0" autoPict="0" altText="Exempt_x000a_">
                <anchor moveWithCells="1">
                  <from>
                    <xdr:col>3</xdr:col>
                    <xdr:colOff>180975</xdr:colOff>
                    <xdr:row>18</xdr:row>
                    <xdr:rowOff>114300</xdr:rowOff>
                  </from>
                  <to>
                    <xdr:col>4</xdr:col>
                    <xdr:colOff>647700</xdr:colOff>
                    <xdr:row>20</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553CC-C8C8-4F41-96AD-EBB82F2CEA27}">
  <sheetPr>
    <tabColor theme="9" tint="0.39997558519241921"/>
    <pageSetUpPr fitToPage="1"/>
  </sheetPr>
  <dimension ref="B1:AD97"/>
  <sheetViews>
    <sheetView topLeftCell="A49" zoomScaleNormal="100" workbookViewId="0">
      <selection activeCell="D81" sqref="D81"/>
    </sheetView>
  </sheetViews>
  <sheetFormatPr defaultColWidth="9.140625" defaultRowHeight="15" x14ac:dyDescent="0.25"/>
  <cols>
    <col min="1" max="1" width="3" style="1" customWidth="1"/>
    <col min="2" max="2" width="5.5703125" style="1" customWidth="1"/>
    <col min="3" max="3" width="38.7109375" style="1" customWidth="1"/>
    <col min="4" max="4" width="38" style="1" customWidth="1"/>
    <col min="5" max="5" width="9.140625" style="1"/>
    <col min="6" max="6" width="13.7109375" style="1" customWidth="1"/>
    <col min="7" max="7" width="13.85546875" style="1" customWidth="1"/>
    <col min="8" max="8" width="13.140625" style="1" customWidth="1"/>
    <col min="9" max="9" width="12.5703125" style="1" customWidth="1"/>
    <col min="10" max="10" width="64.5703125" style="1" customWidth="1"/>
    <col min="11" max="11" width="61.42578125" style="1" bestFit="1" customWidth="1"/>
    <col min="12" max="12" width="17" style="1" customWidth="1"/>
    <col min="13" max="13" width="11" style="1" customWidth="1"/>
    <col min="14" max="14" width="13.140625" style="1" hidden="1" customWidth="1"/>
    <col min="15" max="15" width="3.28515625" style="1" hidden="1" customWidth="1"/>
    <col min="16" max="16" width="23.28515625" style="1" hidden="1" customWidth="1"/>
    <col min="17" max="17" width="9.7109375" style="1" hidden="1" customWidth="1"/>
    <col min="18" max="18" width="9.140625" style="1" hidden="1" customWidth="1"/>
    <col min="19" max="19" width="18.7109375" style="1" hidden="1" customWidth="1"/>
    <col min="20" max="20" width="9.140625" style="1" hidden="1" customWidth="1"/>
    <col min="21" max="21" width="14.28515625" style="143" hidden="1" customWidth="1"/>
    <col min="22" max="22" width="14.7109375" style="63" hidden="1" customWidth="1"/>
    <col min="23" max="23" width="13" style="63" hidden="1" customWidth="1"/>
    <col min="24" max="25" width="9.140625" style="63" hidden="1" customWidth="1"/>
    <col min="26" max="26" width="12.5703125" style="63" hidden="1" customWidth="1"/>
    <col min="27" max="27" width="13.7109375" style="63" hidden="1" customWidth="1"/>
    <col min="28" max="28" width="9.140625" style="63" hidden="1" customWidth="1"/>
    <col min="29" max="29" width="8.140625" style="1" hidden="1" customWidth="1"/>
    <col min="30" max="30" width="24.5703125" style="1" hidden="1" customWidth="1"/>
    <col min="31" max="38" width="0" style="1" hidden="1" customWidth="1"/>
    <col min="39" max="16384" width="9.140625" style="1"/>
  </cols>
  <sheetData>
    <row r="1" spans="3:30" ht="15.75" thickBot="1" x14ac:dyDescent="0.3">
      <c r="F1" s="980" t="s">
        <v>329</v>
      </c>
      <c r="G1" s="981"/>
      <c r="H1" s="201" t="s">
        <v>330</v>
      </c>
    </row>
    <row r="2" spans="3:30" ht="15" customHeight="1" x14ac:dyDescent="0.35">
      <c r="C2" s="113" t="s">
        <v>93</v>
      </c>
      <c r="D2" s="121" t="str">
        <f>IF('App Cust Info'!$K$18="","","AIR LEAKAGE SEALING")</f>
        <v/>
      </c>
      <c r="F2" s="119" t="s">
        <v>338</v>
      </c>
      <c r="G2" s="348" t="str">
        <f>IF($E$8&lt;&gt;"", "", IF($D$2="", "", IFERROR($Q$29,"")))</f>
        <v/>
      </c>
      <c r="H2" s="730" t="s">
        <v>492</v>
      </c>
      <c r="P2" s="71" t="s">
        <v>331</v>
      </c>
      <c r="Q2" s="114" t="str">
        <f>IF($D$2="", "", IFERROR(IF('App Cust Info'!$K$18="", "", IFERROR(VLOOKUP('App Cust Info'!$K$18,'Zip Lookup'!$B$6:$G$2214,2,FALSE),"ZIP ERROR")),""))</f>
        <v/>
      </c>
      <c r="U2" s="1009" t="s">
        <v>557</v>
      </c>
      <c r="V2" s="1008" t="s">
        <v>558</v>
      </c>
      <c r="W2" s="1008"/>
      <c r="X2" s="1008"/>
      <c r="Y2" s="1008"/>
      <c r="Z2" s="1008"/>
      <c r="AA2" s="1008"/>
      <c r="AB2" s="1008"/>
    </row>
    <row r="3" spans="3:30" ht="15" customHeight="1" x14ac:dyDescent="0.25">
      <c r="C3" s="112" t="s">
        <v>334</v>
      </c>
      <c r="D3" s="111" t="str">
        <f>IFERROR(IF('App Cust Info'!$K$18="", "", 'App Cust Info'!$K$18), "ZIP Code Not Entered Correctly")</f>
        <v/>
      </c>
      <c r="F3" s="119" t="s">
        <v>335</v>
      </c>
      <c r="G3" s="348" t="str">
        <f>IF($E$8&lt;&gt;"", "", IF($D$2="", "", IFERROR($Q$30,"")))</f>
        <v/>
      </c>
      <c r="H3" s="731" t="s">
        <v>492</v>
      </c>
      <c r="P3" s="71" t="s">
        <v>336</v>
      </c>
      <c r="Q3" s="114" t="str">
        <f>IF($D$2="", "", IFERROR(IF('App Cust Info'!$K$18="", "", IFERROR(VLOOKUP('App Cust Info'!$K$18,'Zip Lookup'!$B$6:$G$2214,6,FALSE),"ZIP ERROR")),""))</f>
        <v/>
      </c>
      <c r="U3" s="1009"/>
      <c r="V3" s="73" t="s">
        <v>211</v>
      </c>
      <c r="W3" s="73" t="s">
        <v>212</v>
      </c>
      <c r="X3" s="73" t="s">
        <v>213</v>
      </c>
      <c r="Y3" s="73" t="s">
        <v>214</v>
      </c>
      <c r="Z3" s="73" t="s">
        <v>216</v>
      </c>
      <c r="AA3" s="73" t="s">
        <v>218</v>
      </c>
      <c r="AB3" s="73" t="s">
        <v>219</v>
      </c>
      <c r="AD3" s="74" t="s">
        <v>557</v>
      </c>
    </row>
    <row r="4" spans="3:30" ht="15" customHeight="1" x14ac:dyDescent="0.25">
      <c r="C4" s="113" t="s">
        <v>414</v>
      </c>
      <c r="D4" s="207" t="str">
        <f>IF($D$2="", "", IFERROR($Q$2,""))</f>
        <v/>
      </c>
      <c r="F4" s="119" t="s">
        <v>559</v>
      </c>
      <c r="G4" s="348" t="str">
        <f>IF($E$8&lt;&gt;"", "", IF($D$2="", "", IFERROR($Q$31,"")))</f>
        <v/>
      </c>
      <c r="H4" s="732" t="str">
        <f>IF($D$2="", "", IFERROR($G$4/'App Cust Info'!$F$24,""))</f>
        <v/>
      </c>
      <c r="U4" s="264">
        <v>1</v>
      </c>
      <c r="V4" s="264">
        <v>12</v>
      </c>
      <c r="W4" s="264">
        <v>11</v>
      </c>
      <c r="X4" s="264">
        <v>10</v>
      </c>
      <c r="Y4" s="264">
        <v>11</v>
      </c>
      <c r="Z4" s="264">
        <v>9</v>
      </c>
      <c r="AA4" s="264">
        <v>11</v>
      </c>
      <c r="AB4" s="264">
        <v>12</v>
      </c>
      <c r="AD4" s="733" t="s">
        <v>560</v>
      </c>
    </row>
    <row r="5" spans="3:30" ht="15" customHeight="1" x14ac:dyDescent="0.25">
      <c r="C5" s="112" t="s">
        <v>350</v>
      </c>
      <c r="D5" s="111" t="str">
        <f>IFERROR(IF('App Cust Info'!$H$21="", "", 'App Cust Info'!$H$21),"")</f>
        <v/>
      </c>
      <c r="F5" s="119" t="s">
        <v>345</v>
      </c>
      <c r="G5" s="359" t="str">
        <f>IF($E$8&lt;&gt;"", "", IF($D$2="", "", IFERROR($Q$32,"")))</f>
        <v/>
      </c>
      <c r="H5" s="220"/>
      <c r="P5" s="74" t="s">
        <v>209</v>
      </c>
      <c r="Q5" s="73" t="s">
        <v>341</v>
      </c>
      <c r="R5" s="73" t="s">
        <v>342</v>
      </c>
      <c r="S5" s="80" t="s">
        <v>561</v>
      </c>
      <c r="U5" s="264">
        <v>2</v>
      </c>
      <c r="V5" s="264">
        <v>14</v>
      </c>
      <c r="W5" s="264">
        <v>13</v>
      </c>
      <c r="X5" s="264">
        <v>11</v>
      </c>
      <c r="Y5" s="264">
        <v>12</v>
      </c>
      <c r="Z5" s="264">
        <v>10</v>
      </c>
      <c r="AA5" s="264">
        <v>13</v>
      </c>
      <c r="AB5" s="264">
        <v>14</v>
      </c>
      <c r="AD5" s="733" t="s">
        <v>562</v>
      </c>
    </row>
    <row r="6" spans="3:30" ht="18" x14ac:dyDescent="0.25">
      <c r="C6" s="112" t="s">
        <v>99</v>
      </c>
      <c r="D6" s="707"/>
      <c r="F6" s="119" t="s">
        <v>349</v>
      </c>
      <c r="G6" s="349" t="str">
        <f>IF($D$2="", "", IFERROR($Q$33,""))</f>
        <v/>
      </c>
      <c r="H6" s="221"/>
      <c r="P6" s="338" t="s">
        <v>211</v>
      </c>
      <c r="Q6" s="340">
        <v>6391</v>
      </c>
      <c r="R6" s="340">
        <v>721</v>
      </c>
      <c r="S6" s="734">
        <v>3.36</v>
      </c>
      <c r="U6" s="264">
        <v>3</v>
      </c>
      <c r="V6" s="264">
        <v>16</v>
      </c>
      <c r="W6" s="264">
        <v>15</v>
      </c>
      <c r="X6" s="264">
        <v>13</v>
      </c>
      <c r="Y6" s="264">
        <v>15</v>
      </c>
      <c r="Z6" s="264">
        <v>12</v>
      </c>
      <c r="AA6" s="264">
        <v>15</v>
      </c>
      <c r="AB6" s="264">
        <v>16</v>
      </c>
      <c r="AD6" s="733" t="s">
        <v>563</v>
      </c>
    </row>
    <row r="7" spans="3:30" ht="15.75" thickBot="1" x14ac:dyDescent="0.3">
      <c r="C7" s="112" t="s">
        <v>564</v>
      </c>
      <c r="D7" s="742"/>
      <c r="F7" s="120" t="s">
        <v>351</v>
      </c>
      <c r="G7" s="350" t="str">
        <f>IF($D$2="", "", IFERROR($Q$34,""))</f>
        <v/>
      </c>
      <c r="H7" s="735" t="str">
        <f>IF($D$2="","",IFERROR($G$7/'App Cust Info'!$F$26,""))</f>
        <v/>
      </c>
      <c r="P7" s="338" t="s">
        <v>212</v>
      </c>
      <c r="Q7" s="340">
        <v>7200</v>
      </c>
      <c r="R7" s="340">
        <v>383</v>
      </c>
      <c r="S7" s="734">
        <v>5.24</v>
      </c>
      <c r="U7" s="264">
        <v>4</v>
      </c>
      <c r="V7" s="264">
        <v>20</v>
      </c>
      <c r="W7" s="264">
        <v>19</v>
      </c>
      <c r="X7" s="264">
        <v>17</v>
      </c>
      <c r="Y7" s="264">
        <v>19</v>
      </c>
      <c r="Z7" s="264">
        <v>16</v>
      </c>
      <c r="AA7" s="264">
        <v>19</v>
      </c>
      <c r="AB7" s="264">
        <v>20</v>
      </c>
      <c r="AD7" s="733" t="s">
        <v>565</v>
      </c>
    </row>
    <row r="8" spans="3:30" x14ac:dyDescent="0.25">
      <c r="C8" s="112" t="s">
        <v>566</v>
      </c>
      <c r="D8" s="707"/>
      <c r="E8" s="1" t="str">
        <f>IF(AND($D$4="NYC",$D$8="Electric"),"National Grid does not serve the electricity market in NYC/LI.","")</f>
        <v/>
      </c>
      <c r="P8" s="338" t="s">
        <v>213</v>
      </c>
      <c r="Q8" s="340">
        <v>6502</v>
      </c>
      <c r="R8" s="340">
        <v>607</v>
      </c>
      <c r="S8" s="734">
        <v>4.03</v>
      </c>
      <c r="U8" s="264">
        <v>5</v>
      </c>
      <c r="V8" s="264">
        <v>34</v>
      </c>
      <c r="W8" s="264">
        <v>32</v>
      </c>
      <c r="X8" s="264">
        <v>29</v>
      </c>
      <c r="Y8" s="264">
        <v>32</v>
      </c>
      <c r="Z8" s="264">
        <v>27</v>
      </c>
      <c r="AA8" s="264">
        <v>33</v>
      </c>
      <c r="AB8" s="264">
        <v>34</v>
      </c>
      <c r="AD8" s="733" t="s">
        <v>567</v>
      </c>
    </row>
    <row r="9" spans="3:30" x14ac:dyDescent="0.25">
      <c r="C9" s="112" t="s">
        <v>568</v>
      </c>
      <c r="D9" s="553"/>
      <c r="P9" s="338" t="s">
        <v>214</v>
      </c>
      <c r="Q9" s="340">
        <v>8030</v>
      </c>
      <c r="R9" s="340">
        <v>406</v>
      </c>
      <c r="S9" s="734">
        <v>3.87</v>
      </c>
      <c r="V9" s="143"/>
      <c r="W9" s="143"/>
      <c r="X9" s="143"/>
      <c r="Y9" s="143"/>
      <c r="Z9" s="143"/>
      <c r="AA9" s="143"/>
      <c r="AB9" s="143"/>
    </row>
    <row r="10" spans="3:30" ht="15" customHeight="1" x14ac:dyDescent="0.35">
      <c r="C10" s="112" t="s">
        <v>569</v>
      </c>
      <c r="D10" s="707"/>
      <c r="P10" s="338" t="s">
        <v>216</v>
      </c>
      <c r="Q10" s="340">
        <v>4900</v>
      </c>
      <c r="R10" s="340">
        <v>1017</v>
      </c>
      <c r="S10" s="734">
        <v>4.92</v>
      </c>
      <c r="U10" s="1009" t="s">
        <v>557</v>
      </c>
      <c r="V10" s="1008" t="s">
        <v>570</v>
      </c>
      <c r="W10" s="1008"/>
      <c r="X10" s="1008"/>
      <c r="Y10" s="1008"/>
      <c r="Z10" s="1008"/>
      <c r="AA10" s="1008"/>
      <c r="AB10" s="1008"/>
    </row>
    <row r="11" spans="3:30" x14ac:dyDescent="0.25">
      <c r="C11" s="337" t="s">
        <v>571</v>
      </c>
      <c r="D11" s="743"/>
      <c r="P11" s="338" t="s">
        <v>218</v>
      </c>
      <c r="Q11" s="340">
        <v>6026</v>
      </c>
      <c r="R11" s="340">
        <v>745</v>
      </c>
      <c r="S11" s="734">
        <v>3.05</v>
      </c>
      <c r="U11" s="1009"/>
      <c r="V11" s="73" t="s">
        <v>211</v>
      </c>
      <c r="W11" s="73" t="s">
        <v>212</v>
      </c>
      <c r="X11" s="73" t="s">
        <v>213</v>
      </c>
      <c r="Y11" s="73" t="s">
        <v>214</v>
      </c>
      <c r="Z11" s="73" t="s">
        <v>216</v>
      </c>
      <c r="AA11" s="73" t="s">
        <v>218</v>
      </c>
      <c r="AB11" s="73" t="s">
        <v>219</v>
      </c>
    </row>
    <row r="12" spans="3:30" ht="18" x14ac:dyDescent="0.25">
      <c r="C12" s="112" t="s">
        <v>572</v>
      </c>
      <c r="D12" s="707"/>
      <c r="E12" s="305" t="str">
        <f>IF($D$12="","If unknown, leave blank.","")</f>
        <v>If unknown, leave blank.</v>
      </c>
      <c r="P12" s="338" t="s">
        <v>219</v>
      </c>
      <c r="Q12" s="340">
        <v>6625</v>
      </c>
      <c r="R12" s="340">
        <v>618</v>
      </c>
      <c r="S12" s="734">
        <v>3.53</v>
      </c>
      <c r="U12" s="264">
        <v>1</v>
      </c>
      <c r="V12" s="264">
        <v>12</v>
      </c>
      <c r="W12" s="264">
        <v>10</v>
      </c>
      <c r="X12" s="264">
        <v>9</v>
      </c>
      <c r="Y12" s="264">
        <v>10</v>
      </c>
      <c r="Z12" s="264">
        <v>8</v>
      </c>
      <c r="AA12" s="264">
        <v>10</v>
      </c>
      <c r="AB12" s="264">
        <v>11</v>
      </c>
    </row>
    <row r="13" spans="3:30" ht="18" x14ac:dyDescent="0.25">
      <c r="C13" s="112" t="s">
        <v>573</v>
      </c>
      <c r="D13" s="744"/>
      <c r="E13" s="305" t="str">
        <f>IF($D$13="",  "If unknown, leave blank.", "")</f>
        <v>If unknown, leave blank.</v>
      </c>
      <c r="P13" s="74" t="s">
        <v>574</v>
      </c>
      <c r="Q13" s="343" t="str">
        <f>IF($D$2="","",IFERROR(VLOOKUP($D$4,$P$6:$S$12,2,FALSE),""))</f>
        <v/>
      </c>
      <c r="R13" s="343" t="str">
        <f>IF($D$2="", "", IFERROR(VLOOKUP($D$4,$P$6:$S$12,3,FALSE),""))</f>
        <v/>
      </c>
      <c r="S13" s="736" t="str">
        <f>IF($D$2="", "", IFERROR(VLOOKUP($D$4,$P$6:$S$12,4,FALSE),""))</f>
        <v/>
      </c>
      <c r="U13" s="264">
        <v>2</v>
      </c>
      <c r="V13" s="264">
        <v>13</v>
      </c>
      <c r="W13" s="264">
        <v>11</v>
      </c>
      <c r="X13" s="264">
        <v>10</v>
      </c>
      <c r="Y13" s="264">
        <v>11</v>
      </c>
      <c r="Z13" s="264">
        <v>9</v>
      </c>
      <c r="AA13" s="264">
        <v>11</v>
      </c>
      <c r="AB13" s="264">
        <v>12</v>
      </c>
    </row>
    <row r="14" spans="3:30" ht="33" x14ac:dyDescent="0.25">
      <c r="C14" s="337" t="s">
        <v>575</v>
      </c>
      <c r="D14" s="745"/>
      <c r="U14" s="264">
        <v>3</v>
      </c>
      <c r="V14" s="264">
        <v>15</v>
      </c>
      <c r="W14" s="264">
        <v>13</v>
      </c>
      <c r="X14" s="264">
        <v>12</v>
      </c>
      <c r="Y14" s="264">
        <v>13</v>
      </c>
      <c r="Z14" s="264">
        <v>10</v>
      </c>
      <c r="AA14" s="264">
        <v>13</v>
      </c>
      <c r="AB14" s="264">
        <v>15</v>
      </c>
    </row>
    <row r="15" spans="3:30" ht="33" x14ac:dyDescent="0.25">
      <c r="C15" s="337" t="s">
        <v>576</v>
      </c>
      <c r="D15" s="746"/>
      <c r="E15" s="305" t="str">
        <f>IF($D$2="","", IF($D$9="None", "", IF($D$15="", "You must enter SEER or IEER rating per equipment manufacturer.", "")))</f>
        <v/>
      </c>
      <c r="P15" s="303" t="str">
        <f>IF($Q$2="NYC", "CF ("&amp;Q2&amp;")", "CF (Non-NYC)")</f>
        <v>CF (Non-NYC)</v>
      </c>
      <c r="Q15" s="342" t="str">
        <f>IF($D$2="","", IFERROR(IF($Q$2="NYC", 0.822, IF($Q$2="ZIP ERROR", "ZIP ERROR", 0.477)),""))</f>
        <v/>
      </c>
      <c r="R15" s="65"/>
      <c r="S15" s="73" t="s">
        <v>332</v>
      </c>
      <c r="U15" s="264">
        <v>4</v>
      </c>
      <c r="V15" s="264">
        <v>19</v>
      </c>
      <c r="W15" s="264">
        <v>17</v>
      </c>
      <c r="X15" s="264">
        <v>15</v>
      </c>
      <c r="Y15" s="264">
        <v>17</v>
      </c>
      <c r="Z15" s="264">
        <v>13</v>
      </c>
      <c r="AA15" s="264">
        <v>17</v>
      </c>
      <c r="AB15" s="264">
        <v>18</v>
      </c>
    </row>
    <row r="16" spans="3:30" ht="30" x14ac:dyDescent="0.25">
      <c r="C16" s="337" t="s">
        <v>447</v>
      </c>
      <c r="D16" s="746"/>
      <c r="E16" s="305" t="str">
        <f>IF($D$16="", "If unknown, leave blank.","")</f>
        <v>If unknown, leave blank.</v>
      </c>
      <c r="P16" s="303" t="s">
        <v>569</v>
      </c>
      <c r="Q16" s="264" t="str">
        <f>IF($D$2="", "", IFERROR($D$10,""))</f>
        <v/>
      </c>
      <c r="R16" s="65"/>
      <c r="S16" s="264" t="s">
        <v>192</v>
      </c>
      <c r="U16" s="264">
        <v>5</v>
      </c>
      <c r="V16" s="264">
        <v>28</v>
      </c>
      <c r="W16" s="264">
        <v>26</v>
      </c>
      <c r="X16" s="264">
        <v>24</v>
      </c>
      <c r="Y16" s="264">
        <v>26</v>
      </c>
      <c r="Z16" s="264">
        <v>22</v>
      </c>
      <c r="AA16" s="264">
        <v>26</v>
      </c>
      <c r="AB16" s="264">
        <v>27</v>
      </c>
    </row>
    <row r="17" spans="2:30" ht="33" x14ac:dyDescent="0.25">
      <c r="C17" s="337" t="s">
        <v>577</v>
      </c>
      <c r="D17" s="746"/>
      <c r="P17" s="303" t="s">
        <v>578</v>
      </c>
      <c r="Q17" s="264" t="str">
        <f>IF($D$2="", "", IFERROR(--LEFT($D$7,1),""))</f>
        <v/>
      </c>
      <c r="R17" s="65"/>
      <c r="S17" s="264" t="s">
        <v>194</v>
      </c>
    </row>
    <row r="18" spans="2:30" ht="15" customHeight="1" x14ac:dyDescent="0.35">
      <c r="P18" s="260" t="s">
        <v>558</v>
      </c>
      <c r="Q18" s="264" t="str">
        <f>IFERROR(INDEX($V$4:$AB$8,MATCH($Q$17,$U$4:$U$8,0),MATCH($Q$2,$V$3:$AB$3,0)),"")</f>
        <v/>
      </c>
      <c r="R18" s="65"/>
      <c r="S18" s="65"/>
    </row>
    <row r="19" spans="2:30" ht="15" customHeight="1" x14ac:dyDescent="0.35">
      <c r="C19" s="112" t="s">
        <v>122</v>
      </c>
      <c r="D19" s="720"/>
      <c r="P19" s="260" t="s">
        <v>570</v>
      </c>
      <c r="Q19" s="264" t="str">
        <f>IFERROR(INDEX($V$12:$AB$16,MATCH($Q$17,$U$12:$U$16,0),MATCH($Q$2,$V$11:$AB$11,0)),"")</f>
        <v/>
      </c>
      <c r="R19" s="65"/>
      <c r="S19" s="73" t="s">
        <v>579</v>
      </c>
    </row>
    <row r="20" spans="2:30" ht="15" customHeight="1" x14ac:dyDescent="0.35">
      <c r="C20" s="112" t="s">
        <v>449</v>
      </c>
      <c r="D20" s="720"/>
      <c r="I20" s="737"/>
      <c r="P20" s="260" t="s">
        <v>580</v>
      </c>
      <c r="Q20" s="302" t="str">
        <f>IF($D$2="", "", IFERROR($Q$16^(-0.3),""))</f>
        <v/>
      </c>
      <c r="R20" s="65"/>
      <c r="S20" s="264" t="s">
        <v>192</v>
      </c>
    </row>
    <row r="21" spans="2:30" ht="15" customHeight="1" x14ac:dyDescent="0.35">
      <c r="C21" s="112" t="s">
        <v>126</v>
      </c>
      <c r="D21" s="110" t="str">
        <f>IF($D$2="", "", IFERROR($D$19+$D$20,""))</f>
        <v/>
      </c>
      <c r="P21" s="260" t="s">
        <v>333</v>
      </c>
      <c r="Q21" s="336" t="str">
        <f>IF($D$2="", "", IFERROR(IF($D$8=$S$16, 1, 0),""))</f>
        <v/>
      </c>
      <c r="R21" s="65"/>
      <c r="S21" s="264" t="s">
        <v>352</v>
      </c>
    </row>
    <row r="22" spans="2:30" ht="18" x14ac:dyDescent="0.35">
      <c r="P22" s="260" t="s">
        <v>337</v>
      </c>
      <c r="Q22" s="336" t="str">
        <f>IF($D$2="", "", IFERROR(IF($D$8=$S$17, 1, 0),""))</f>
        <v/>
      </c>
      <c r="R22" s="65"/>
      <c r="S22" s="65"/>
    </row>
    <row r="23" spans="2:30" ht="18" x14ac:dyDescent="0.25">
      <c r="C23" s="202" t="s">
        <v>581</v>
      </c>
      <c r="D23" s="203" t="str" cm="1">
        <f t="array" ref="D23">IF($D$2="","",IFERROR(IF($E$8&lt;&gt;"", "N/A", INDEX('AIR SEALING INCENTIVES'!$I$2:$I$14,MATCH(1,('AIR SEALING INCENTIVES'!$B$2:$B$14=$S$36)*('AIR SEALING INCENTIVES'!$D$2:$D$14=$S$39),0))),""))</f>
        <v/>
      </c>
      <c r="P23" s="303" t="s">
        <v>582</v>
      </c>
      <c r="Q23" s="738" t="str">
        <f>IF($D$2="", "", 0.35)</f>
        <v/>
      </c>
      <c r="R23" s="338" t="s">
        <v>583</v>
      </c>
      <c r="S23" s="75"/>
    </row>
    <row r="24" spans="2:30" ht="18" x14ac:dyDescent="0.25">
      <c r="C24" s="146" t="str">
        <f>'App Cust Info'!K66</f>
        <v>V1.0 4/2/26</v>
      </c>
      <c r="D24" s="81"/>
      <c r="M24" s="739"/>
      <c r="P24" s="303" t="s">
        <v>584</v>
      </c>
      <c r="Q24" s="738" t="str">
        <f>IF($D$2="", "", 0.25)</f>
        <v/>
      </c>
      <c r="R24" s="338" t="s">
        <v>583</v>
      </c>
      <c r="S24" s="75"/>
    </row>
    <row r="25" spans="2:30" ht="44.25" customHeight="1" x14ac:dyDescent="0.25">
      <c r="B25" s="206" t="s">
        <v>133</v>
      </c>
      <c r="C25" s="1010" t="s">
        <v>585</v>
      </c>
      <c r="D25" s="1010"/>
      <c r="E25" s="1010"/>
      <c r="F25" s="1010"/>
      <c r="G25" s="1011"/>
      <c r="H25" s="206" t="s">
        <v>586</v>
      </c>
      <c r="I25" s="206" t="s">
        <v>587</v>
      </c>
      <c r="P25" s="303" t="s">
        <v>582</v>
      </c>
      <c r="Q25" s="336" t="str">
        <f>IFERROR(IF($D$12="", $Q$23, $D$12),"")</f>
        <v/>
      </c>
      <c r="R25" s="338" t="s">
        <v>588</v>
      </c>
      <c r="S25" s="75"/>
    </row>
    <row r="26" spans="2:30" ht="45.75" customHeight="1" x14ac:dyDescent="0.25">
      <c r="B26" s="339">
        <v>1</v>
      </c>
      <c r="C26" s="1012" t="s">
        <v>589</v>
      </c>
      <c r="D26" s="1013"/>
      <c r="E26" s="1013"/>
      <c r="F26" s="1013"/>
      <c r="G26" s="1014"/>
      <c r="H26" s="747"/>
      <c r="I26" s="712"/>
      <c r="P26" s="303" t="s">
        <v>584</v>
      </c>
      <c r="Q26" s="336" t="str">
        <f>IFERROR(IF($D$13="", $Q$24, $D$13),"")</f>
        <v/>
      </c>
      <c r="R26" s="338" t="s">
        <v>588</v>
      </c>
      <c r="S26" s="75"/>
    </row>
    <row r="27" spans="2:30" ht="45.75" customHeight="1" x14ac:dyDescent="0.25">
      <c r="B27" s="339">
        <v>2</v>
      </c>
      <c r="C27" s="1012" t="s">
        <v>590</v>
      </c>
      <c r="D27" s="1013"/>
      <c r="E27" s="1013"/>
      <c r="F27" s="1013"/>
      <c r="G27" s="1014"/>
      <c r="H27" s="747"/>
      <c r="I27" s="712"/>
      <c r="P27" s="303" t="s">
        <v>591</v>
      </c>
      <c r="Q27" s="344" t="str">
        <f>IFERROR(IF($D$15="", $E$15, IF($D$16="", ((1.12*$D$15)-(0.02*$D$15^2)),$D$16)),"")</f>
        <v/>
      </c>
      <c r="R27" s="338" t="s">
        <v>588</v>
      </c>
      <c r="S27" s="75"/>
      <c r="AD27" s="143"/>
    </row>
    <row r="28" spans="2:30" ht="45.75" customHeight="1" x14ac:dyDescent="0.25">
      <c r="B28" s="339">
        <v>3</v>
      </c>
      <c r="C28" s="1012" t="s">
        <v>592</v>
      </c>
      <c r="D28" s="1013"/>
      <c r="E28" s="1013"/>
      <c r="F28" s="1013"/>
      <c r="G28" s="1014"/>
      <c r="H28" s="747"/>
      <c r="I28" s="712"/>
      <c r="U28" s="1"/>
    </row>
    <row r="29" spans="2:30" ht="45.75" customHeight="1" x14ac:dyDescent="0.25">
      <c r="B29" s="339">
        <v>4</v>
      </c>
      <c r="C29" s="1012" t="s">
        <v>593</v>
      </c>
      <c r="D29" s="1013"/>
      <c r="E29" s="1013"/>
      <c r="F29" s="1013"/>
      <c r="G29" s="1014"/>
      <c r="H29" s="747"/>
      <c r="I29" s="712"/>
      <c r="P29" s="303" t="s">
        <v>594</v>
      </c>
      <c r="Q29" s="340" t="str">
        <f>IF($D$2="", "", IFERROR(IF($D$9="None", 0, ((($Q$25-$Q$26)/($Q$18*$Q$20))*$D$11*$S$13*1.08*$R$13*24)/($D$15*1000)),""))</f>
        <v/>
      </c>
      <c r="S29" s="73" t="s">
        <v>595</v>
      </c>
    </row>
    <row r="30" spans="2:30" ht="18" x14ac:dyDescent="0.25">
      <c r="L30" s="63"/>
      <c r="M30" s="63"/>
      <c r="N30" s="63"/>
      <c r="O30" s="63"/>
      <c r="P30" s="303" t="s">
        <v>596</v>
      </c>
      <c r="Q30" s="340" t="str">
        <f>IF($D$2="", "", IFERROR(IF($Q$21=0, 0, ((($Q$25-$Q$26)/($Q$19*$Q$20))*$D$11*1.08*$Q$13*24*$Q$21)/($D$17*1000)),""))</f>
        <v/>
      </c>
      <c r="S30" s="264" t="s">
        <v>597</v>
      </c>
    </row>
    <row r="31" spans="2:30" ht="30" x14ac:dyDescent="0.25">
      <c r="B31" s="206" t="s">
        <v>133</v>
      </c>
      <c r="C31" s="268" t="s">
        <v>598</v>
      </c>
      <c r="D31" s="268" t="s">
        <v>595</v>
      </c>
      <c r="E31" s="603" t="s">
        <v>599</v>
      </c>
      <c r="F31" s="206" t="s">
        <v>600</v>
      </c>
      <c r="G31" s="206" t="s">
        <v>601</v>
      </c>
      <c r="H31" s="206" t="s">
        <v>602</v>
      </c>
      <c r="I31" s="1010" t="s">
        <v>603</v>
      </c>
      <c r="J31" s="1010"/>
      <c r="K31" s="63"/>
      <c r="L31" s="63"/>
      <c r="M31" s="63"/>
      <c r="N31" s="63"/>
      <c r="O31" s="63"/>
      <c r="P31" s="303" t="s">
        <v>604</v>
      </c>
      <c r="Q31" s="340" t="str">
        <f>IF($D$2="", "", IFERROR($Q$29+$Q$30,""))</f>
        <v/>
      </c>
      <c r="S31" s="264" t="s">
        <v>605</v>
      </c>
    </row>
    <row r="32" spans="2:30" ht="15" customHeight="1" x14ac:dyDescent="0.25">
      <c r="B32" s="339">
        <v>1</v>
      </c>
      <c r="C32" s="748"/>
      <c r="D32" s="748"/>
      <c r="E32" s="713"/>
      <c r="F32" s="749"/>
      <c r="G32" s="351" t="str">
        <f>IF($D$2="", "", IFERROR(IF(H32="No", 0, E32*F32),""))</f>
        <v/>
      </c>
      <c r="H32" s="712"/>
      <c r="I32" s="1015"/>
      <c r="J32" s="1016"/>
      <c r="K32" s="204" t="str">
        <f t="shared" ref="K32:K36" si="0">IF(AND(I32="", H32="No"), "Please explain in the notes section why a photo was not provided. ","")</f>
        <v/>
      </c>
      <c r="L32" s="63"/>
      <c r="M32" s="63"/>
      <c r="N32" s="63"/>
      <c r="O32" s="63"/>
      <c r="P32" s="303" t="s">
        <v>552</v>
      </c>
      <c r="Q32" s="302" t="str">
        <f>IF($D$2="", "", IFERROR(IF($D$9="None", 0, ((($Q$25-$Q$26)/($Q$18*$Q$20))*$D$11*$S$13*1.08*$Q$15)/($Q$27*1000)),""))</f>
        <v/>
      </c>
      <c r="S32" s="264" t="s">
        <v>606</v>
      </c>
    </row>
    <row r="33" spans="2:19" ht="15" customHeight="1" x14ac:dyDescent="0.25">
      <c r="B33" s="339">
        <v>2</v>
      </c>
      <c r="C33" s="748"/>
      <c r="D33" s="748"/>
      <c r="E33" s="713"/>
      <c r="F33" s="749"/>
      <c r="G33" s="351" t="str">
        <f t="shared" ref="G33:G81" si="1">IF($D$2="", "", IFERROR(IF(H33="No", 0, E33*F33),""))</f>
        <v/>
      </c>
      <c r="H33" s="712"/>
      <c r="I33" s="1015"/>
      <c r="J33" s="1016"/>
      <c r="K33" s="204" t="str">
        <f t="shared" si="0"/>
        <v/>
      </c>
      <c r="L33" s="63"/>
      <c r="M33" s="63"/>
      <c r="N33" s="63"/>
      <c r="O33" s="63"/>
      <c r="P33" s="303" t="s">
        <v>555</v>
      </c>
      <c r="Q33" s="740" t="str">
        <f>IF($D$2="", "", IFERROR(((($Q$25-$Q$26)/($Q$19*$Q$20))*$D$11*1.08*$Q$13*24*$Q$22)/($D$14*1000000),""))</f>
        <v/>
      </c>
      <c r="S33" s="264" t="s">
        <v>298</v>
      </c>
    </row>
    <row r="34" spans="2:19" ht="15" customHeight="1" x14ac:dyDescent="0.25">
      <c r="B34" s="339">
        <v>3</v>
      </c>
      <c r="C34" s="748"/>
      <c r="D34" s="748"/>
      <c r="E34" s="713"/>
      <c r="F34" s="749"/>
      <c r="G34" s="351" t="str">
        <f t="shared" si="1"/>
        <v/>
      </c>
      <c r="H34" s="712"/>
      <c r="I34" s="1015"/>
      <c r="J34" s="1016"/>
      <c r="K34" s="204" t="str">
        <f t="shared" si="0"/>
        <v/>
      </c>
      <c r="L34" s="63"/>
      <c r="M34" s="63"/>
      <c r="N34" s="63"/>
      <c r="O34" s="63"/>
      <c r="P34" s="303" t="s">
        <v>607</v>
      </c>
      <c r="Q34" s="340" t="str">
        <f>IF($D$2="", "", IFERROR(10*$Q$33,""))</f>
        <v/>
      </c>
    </row>
    <row r="35" spans="2:19" ht="15" customHeight="1" x14ac:dyDescent="0.25">
      <c r="B35" s="339">
        <v>4</v>
      </c>
      <c r="C35" s="748"/>
      <c r="D35" s="748"/>
      <c r="E35" s="713"/>
      <c r="F35" s="749"/>
      <c r="G35" s="351" t="str">
        <f t="shared" si="1"/>
        <v/>
      </c>
      <c r="H35" s="712"/>
      <c r="I35" s="1015"/>
      <c r="J35" s="1016"/>
      <c r="K35" s="204" t="str">
        <f t="shared" si="0"/>
        <v/>
      </c>
      <c r="L35" s="63"/>
      <c r="M35" s="63"/>
      <c r="N35" s="63"/>
      <c r="O35" s="63"/>
      <c r="Q35" s="63"/>
      <c r="S35" s="73" t="s">
        <v>608</v>
      </c>
    </row>
    <row r="36" spans="2:19" ht="15" customHeight="1" x14ac:dyDescent="0.25">
      <c r="B36" s="339">
        <v>5</v>
      </c>
      <c r="C36" s="748"/>
      <c r="D36" s="748"/>
      <c r="E36" s="713"/>
      <c r="F36" s="749"/>
      <c r="G36" s="351" t="str">
        <f t="shared" si="1"/>
        <v/>
      </c>
      <c r="H36" s="712"/>
      <c r="I36" s="1015"/>
      <c r="J36" s="1016"/>
      <c r="K36" s="204" t="str">
        <f t="shared" si="0"/>
        <v/>
      </c>
      <c r="L36" s="63"/>
      <c r="M36" s="63"/>
      <c r="N36" s="63"/>
      <c r="O36" s="63"/>
      <c r="P36" s="73" t="s">
        <v>374</v>
      </c>
      <c r="S36" s="264" t="str">
        <f>IF($D$2="", "", IFERROR(IF($D$4="NYC","KEDLI/KEDNY "&amp;$Q$39,IF($D$8="Electric","NIMO Electric "&amp;$Q$39,IF($D$8="Fossil","NIMO Gas "&amp;$Q$39,""))),""))</f>
        <v/>
      </c>
    </row>
    <row r="37" spans="2:19" ht="15" customHeight="1" x14ac:dyDescent="0.25">
      <c r="B37" s="339">
        <v>6</v>
      </c>
      <c r="C37" s="748"/>
      <c r="D37" s="748"/>
      <c r="E37" s="713"/>
      <c r="F37" s="749"/>
      <c r="G37" s="351" t="str">
        <f t="shared" si="1"/>
        <v/>
      </c>
      <c r="H37" s="712"/>
      <c r="I37" s="1015"/>
      <c r="J37" s="1016"/>
      <c r="K37" s="204" t="str">
        <f>IF(AND(I37="", H37="No"), "Please explain in the notes section why a photo was not provided. ","")</f>
        <v/>
      </c>
      <c r="L37" s="63"/>
      <c r="M37" s="63"/>
      <c r="N37" s="63"/>
      <c r="O37" s="63"/>
      <c r="P37" s="264" t="s">
        <v>378</v>
      </c>
    </row>
    <row r="38" spans="2:19" ht="15" customHeight="1" x14ac:dyDescent="0.25">
      <c r="B38" s="339">
        <v>7</v>
      </c>
      <c r="C38" s="748"/>
      <c r="D38" s="748"/>
      <c r="E38" s="713"/>
      <c r="F38" s="749"/>
      <c r="G38" s="351" t="str">
        <f t="shared" si="1"/>
        <v/>
      </c>
      <c r="H38" s="712"/>
      <c r="I38" s="1015"/>
      <c r="J38" s="1016"/>
      <c r="K38" s="204" t="str">
        <f t="shared" ref="K38:K81" si="2">IF(AND(I38="", H38="No"), "Please explain in the notes section why a photo was not provided. ","")</f>
        <v/>
      </c>
      <c r="L38" s="63"/>
      <c r="M38" s="63"/>
      <c r="N38" s="63"/>
      <c r="O38" s="63"/>
      <c r="P38" s="264" t="s">
        <v>380</v>
      </c>
      <c r="S38" s="73" t="s">
        <v>395</v>
      </c>
    </row>
    <row r="39" spans="2:19" ht="15" customHeight="1" x14ac:dyDescent="0.25">
      <c r="B39" s="339">
        <v>8</v>
      </c>
      <c r="C39" s="748"/>
      <c r="D39" s="748"/>
      <c r="E39" s="713"/>
      <c r="F39" s="749"/>
      <c r="G39" s="351" t="str">
        <f t="shared" si="1"/>
        <v/>
      </c>
      <c r="H39" s="712"/>
      <c r="I39" s="1015"/>
      <c r="J39" s="1016"/>
      <c r="K39" s="204" t="str">
        <f t="shared" si="2"/>
        <v/>
      </c>
      <c r="L39" s="63"/>
      <c r="M39" s="63"/>
      <c r="N39" s="63"/>
      <c r="O39" s="63"/>
      <c r="P39" s="72" t="s">
        <v>609</v>
      </c>
      <c r="Q39" s="72" t="str">
        <f>IF($D$2="", "", IFERROR($D$6,""))</f>
        <v/>
      </c>
      <c r="S39" s="264" t="str">
        <f>IF($D$2="", "", IFERROR($D$5,""))</f>
        <v/>
      </c>
    </row>
    <row r="40" spans="2:19" ht="15" customHeight="1" x14ac:dyDescent="0.25">
      <c r="B40" s="339">
        <v>9</v>
      </c>
      <c r="C40" s="748"/>
      <c r="D40" s="748"/>
      <c r="E40" s="713"/>
      <c r="F40" s="749"/>
      <c r="G40" s="351" t="str">
        <f t="shared" si="1"/>
        <v/>
      </c>
      <c r="H40" s="712"/>
      <c r="I40" s="1015"/>
      <c r="J40" s="1016"/>
      <c r="K40" s="204" t="str">
        <f t="shared" si="2"/>
        <v/>
      </c>
      <c r="L40" s="63"/>
      <c r="M40" s="63"/>
      <c r="N40" s="63"/>
      <c r="O40" s="63"/>
    </row>
    <row r="41" spans="2:19" ht="15" customHeight="1" x14ac:dyDescent="0.25">
      <c r="B41" s="339">
        <v>10</v>
      </c>
      <c r="C41" s="748"/>
      <c r="D41" s="748"/>
      <c r="E41" s="713"/>
      <c r="F41" s="749"/>
      <c r="G41" s="351" t="str">
        <f t="shared" si="1"/>
        <v/>
      </c>
      <c r="H41" s="712"/>
      <c r="I41" s="1015"/>
      <c r="J41" s="1016"/>
      <c r="K41" s="204" t="str">
        <f t="shared" si="2"/>
        <v/>
      </c>
      <c r="L41" s="63"/>
      <c r="M41" s="63"/>
      <c r="N41" s="63"/>
      <c r="O41" s="63"/>
    </row>
    <row r="42" spans="2:19" ht="15" customHeight="1" x14ac:dyDescent="0.25">
      <c r="B42" s="339">
        <v>11</v>
      </c>
      <c r="C42" s="748"/>
      <c r="D42" s="748"/>
      <c r="E42" s="713"/>
      <c r="F42" s="749"/>
      <c r="G42" s="351" t="str">
        <f t="shared" si="1"/>
        <v/>
      </c>
      <c r="H42" s="712"/>
      <c r="I42" s="1015"/>
      <c r="J42" s="1016"/>
      <c r="K42" s="204" t="str">
        <f t="shared" si="2"/>
        <v/>
      </c>
      <c r="L42" s="63"/>
      <c r="M42" s="63"/>
      <c r="N42" s="63"/>
      <c r="O42" s="63"/>
    </row>
    <row r="43" spans="2:19" ht="15" customHeight="1" x14ac:dyDescent="0.25">
      <c r="B43" s="339">
        <v>12</v>
      </c>
      <c r="C43" s="748"/>
      <c r="D43" s="748"/>
      <c r="E43" s="713"/>
      <c r="F43" s="749"/>
      <c r="G43" s="351" t="str">
        <f t="shared" si="1"/>
        <v/>
      </c>
      <c r="H43" s="712"/>
      <c r="I43" s="1015"/>
      <c r="J43" s="1016"/>
      <c r="K43" s="204" t="str">
        <f t="shared" si="2"/>
        <v/>
      </c>
    </row>
    <row r="44" spans="2:19" ht="15" customHeight="1" x14ac:dyDescent="0.25">
      <c r="B44" s="339">
        <v>13</v>
      </c>
      <c r="C44" s="748"/>
      <c r="D44" s="748"/>
      <c r="E44" s="713"/>
      <c r="F44" s="749"/>
      <c r="G44" s="351" t="str">
        <f t="shared" si="1"/>
        <v/>
      </c>
      <c r="H44" s="712"/>
      <c r="I44" s="1015"/>
      <c r="J44" s="1016"/>
      <c r="K44" s="204" t="str">
        <f t="shared" si="2"/>
        <v/>
      </c>
    </row>
    <row r="45" spans="2:19" ht="15" customHeight="1" x14ac:dyDescent="0.25">
      <c r="B45" s="339">
        <v>14</v>
      </c>
      <c r="C45" s="748"/>
      <c r="D45" s="748"/>
      <c r="E45" s="713"/>
      <c r="F45" s="749"/>
      <c r="G45" s="351" t="str">
        <f t="shared" si="1"/>
        <v/>
      </c>
      <c r="H45" s="712"/>
      <c r="I45" s="1015"/>
      <c r="J45" s="1016"/>
      <c r="K45" s="204" t="str">
        <f t="shared" si="2"/>
        <v/>
      </c>
    </row>
    <row r="46" spans="2:19" ht="15" customHeight="1" x14ac:dyDescent="0.25">
      <c r="B46" s="339">
        <v>15</v>
      </c>
      <c r="C46" s="748"/>
      <c r="D46" s="748"/>
      <c r="E46" s="713"/>
      <c r="F46" s="749"/>
      <c r="G46" s="351" t="str">
        <f t="shared" si="1"/>
        <v/>
      </c>
      <c r="H46" s="712"/>
      <c r="I46" s="1015"/>
      <c r="J46" s="1016"/>
      <c r="K46" s="204" t="str">
        <f t="shared" si="2"/>
        <v/>
      </c>
    </row>
    <row r="47" spans="2:19" ht="15" customHeight="1" x14ac:dyDescent="0.25">
      <c r="B47" s="339">
        <v>16</v>
      </c>
      <c r="C47" s="748"/>
      <c r="D47" s="748"/>
      <c r="E47" s="713"/>
      <c r="F47" s="749"/>
      <c r="G47" s="351" t="str">
        <f t="shared" si="1"/>
        <v/>
      </c>
      <c r="H47" s="712"/>
      <c r="I47" s="1015"/>
      <c r="J47" s="1016"/>
      <c r="K47" s="204" t="str">
        <f t="shared" si="2"/>
        <v/>
      </c>
      <c r="Q47" s="741"/>
    </row>
    <row r="48" spans="2:19" ht="15" customHeight="1" x14ac:dyDescent="0.25">
      <c r="B48" s="339">
        <v>17</v>
      </c>
      <c r="C48" s="748"/>
      <c r="D48" s="748"/>
      <c r="E48" s="713"/>
      <c r="F48" s="749"/>
      <c r="G48" s="351" t="str">
        <f t="shared" si="1"/>
        <v/>
      </c>
      <c r="H48" s="712"/>
      <c r="I48" s="1015"/>
      <c r="J48" s="1016"/>
      <c r="K48" s="204" t="str">
        <f t="shared" si="2"/>
        <v/>
      </c>
    </row>
    <row r="49" spans="2:11" ht="15" customHeight="1" x14ac:dyDescent="0.25">
      <c r="B49" s="339">
        <v>18</v>
      </c>
      <c r="C49" s="748"/>
      <c r="D49" s="748"/>
      <c r="E49" s="713"/>
      <c r="F49" s="749"/>
      <c r="G49" s="351" t="str">
        <f t="shared" si="1"/>
        <v/>
      </c>
      <c r="H49" s="712"/>
      <c r="I49" s="1015"/>
      <c r="J49" s="1016"/>
      <c r="K49" s="204" t="str">
        <f t="shared" si="2"/>
        <v/>
      </c>
    </row>
    <row r="50" spans="2:11" ht="15" customHeight="1" x14ac:dyDescent="0.25">
      <c r="B50" s="339">
        <v>19</v>
      </c>
      <c r="C50" s="748"/>
      <c r="D50" s="748"/>
      <c r="E50" s="713"/>
      <c r="F50" s="749"/>
      <c r="G50" s="351" t="str">
        <f t="shared" si="1"/>
        <v/>
      </c>
      <c r="H50" s="712"/>
      <c r="I50" s="1015"/>
      <c r="J50" s="1016"/>
      <c r="K50" s="204" t="str">
        <f t="shared" si="2"/>
        <v/>
      </c>
    </row>
    <row r="51" spans="2:11" ht="15" customHeight="1" x14ac:dyDescent="0.25">
      <c r="B51" s="339">
        <v>20</v>
      </c>
      <c r="C51" s="748"/>
      <c r="D51" s="748"/>
      <c r="E51" s="713"/>
      <c r="F51" s="749"/>
      <c r="G51" s="351" t="str">
        <f t="shared" si="1"/>
        <v/>
      </c>
      <c r="H51" s="712"/>
      <c r="I51" s="1015"/>
      <c r="J51" s="1016"/>
      <c r="K51" s="204" t="str">
        <f t="shared" si="2"/>
        <v/>
      </c>
    </row>
    <row r="52" spans="2:11" ht="15" customHeight="1" x14ac:dyDescent="0.25">
      <c r="B52" s="339">
        <v>21</v>
      </c>
      <c r="C52" s="748"/>
      <c r="D52" s="748"/>
      <c r="E52" s="713"/>
      <c r="F52" s="749"/>
      <c r="G52" s="351" t="str">
        <f t="shared" si="1"/>
        <v/>
      </c>
      <c r="H52" s="712"/>
      <c r="I52" s="1015"/>
      <c r="J52" s="1016"/>
      <c r="K52" s="204" t="str">
        <f t="shared" si="2"/>
        <v/>
      </c>
    </row>
    <row r="53" spans="2:11" ht="15" customHeight="1" x14ac:dyDescent="0.25">
      <c r="B53" s="339">
        <v>22</v>
      </c>
      <c r="C53" s="748"/>
      <c r="D53" s="748"/>
      <c r="E53" s="713"/>
      <c r="F53" s="749"/>
      <c r="G53" s="351" t="str">
        <f t="shared" si="1"/>
        <v/>
      </c>
      <c r="H53" s="712"/>
      <c r="I53" s="1015"/>
      <c r="J53" s="1016"/>
      <c r="K53" s="204" t="str">
        <f t="shared" si="2"/>
        <v/>
      </c>
    </row>
    <row r="54" spans="2:11" ht="15" customHeight="1" x14ac:dyDescent="0.25">
      <c r="B54" s="339">
        <v>23</v>
      </c>
      <c r="C54" s="748"/>
      <c r="D54" s="748"/>
      <c r="E54" s="713"/>
      <c r="F54" s="749"/>
      <c r="G54" s="351" t="str">
        <f t="shared" si="1"/>
        <v/>
      </c>
      <c r="H54" s="712"/>
      <c r="I54" s="1015"/>
      <c r="J54" s="1016"/>
      <c r="K54" s="204" t="str">
        <f t="shared" si="2"/>
        <v/>
      </c>
    </row>
    <row r="55" spans="2:11" ht="15" customHeight="1" x14ac:dyDescent="0.25">
      <c r="B55" s="339">
        <v>24</v>
      </c>
      <c r="C55" s="748"/>
      <c r="D55" s="748"/>
      <c r="E55" s="713"/>
      <c r="F55" s="749"/>
      <c r="G55" s="351" t="str">
        <f t="shared" si="1"/>
        <v/>
      </c>
      <c r="H55" s="712"/>
      <c r="I55" s="1015"/>
      <c r="J55" s="1016"/>
      <c r="K55" s="204" t="str">
        <f t="shared" si="2"/>
        <v/>
      </c>
    </row>
    <row r="56" spans="2:11" ht="15" customHeight="1" x14ac:dyDescent="0.25">
      <c r="B56" s="339">
        <v>25</v>
      </c>
      <c r="C56" s="748"/>
      <c r="D56" s="748"/>
      <c r="E56" s="713"/>
      <c r="F56" s="749"/>
      <c r="G56" s="351" t="str">
        <f t="shared" si="1"/>
        <v/>
      </c>
      <c r="H56" s="712"/>
      <c r="I56" s="1015"/>
      <c r="J56" s="1016"/>
      <c r="K56" s="204" t="str">
        <f t="shared" si="2"/>
        <v/>
      </c>
    </row>
    <row r="57" spans="2:11" ht="15" customHeight="1" x14ac:dyDescent="0.25">
      <c r="B57" s="339">
        <v>26</v>
      </c>
      <c r="C57" s="748"/>
      <c r="D57" s="748"/>
      <c r="E57" s="713"/>
      <c r="F57" s="749"/>
      <c r="G57" s="351" t="str">
        <f t="shared" si="1"/>
        <v/>
      </c>
      <c r="H57" s="712"/>
      <c r="I57" s="1015"/>
      <c r="J57" s="1016"/>
      <c r="K57" s="204" t="str">
        <f t="shared" si="2"/>
        <v/>
      </c>
    </row>
    <row r="58" spans="2:11" ht="15" customHeight="1" x14ac:dyDescent="0.25">
      <c r="B58" s="339">
        <v>27</v>
      </c>
      <c r="C58" s="748"/>
      <c r="D58" s="748"/>
      <c r="E58" s="713"/>
      <c r="F58" s="749"/>
      <c r="G58" s="351" t="str">
        <f t="shared" si="1"/>
        <v/>
      </c>
      <c r="H58" s="712"/>
      <c r="I58" s="1015"/>
      <c r="J58" s="1016"/>
      <c r="K58" s="204" t="str">
        <f t="shared" si="2"/>
        <v/>
      </c>
    </row>
    <row r="59" spans="2:11" ht="15" customHeight="1" x14ac:dyDescent="0.25">
      <c r="B59" s="339">
        <v>28</v>
      </c>
      <c r="C59" s="748"/>
      <c r="D59" s="748"/>
      <c r="E59" s="713"/>
      <c r="F59" s="749"/>
      <c r="G59" s="351" t="str">
        <f t="shared" si="1"/>
        <v/>
      </c>
      <c r="H59" s="712"/>
      <c r="I59" s="1015"/>
      <c r="J59" s="1016"/>
      <c r="K59" s="204" t="str">
        <f t="shared" si="2"/>
        <v/>
      </c>
    </row>
    <row r="60" spans="2:11" ht="15" customHeight="1" x14ac:dyDescent="0.25">
      <c r="B60" s="339">
        <v>29</v>
      </c>
      <c r="C60" s="748"/>
      <c r="D60" s="748"/>
      <c r="E60" s="713"/>
      <c r="F60" s="749"/>
      <c r="G60" s="351" t="str">
        <f t="shared" si="1"/>
        <v/>
      </c>
      <c r="H60" s="712"/>
      <c r="I60" s="1015"/>
      <c r="J60" s="1016"/>
      <c r="K60" s="204" t="str">
        <f t="shared" si="2"/>
        <v/>
      </c>
    </row>
    <row r="61" spans="2:11" ht="15" customHeight="1" x14ac:dyDescent="0.25">
      <c r="B61" s="339">
        <v>30</v>
      </c>
      <c r="C61" s="748"/>
      <c r="D61" s="748"/>
      <c r="E61" s="713"/>
      <c r="F61" s="749"/>
      <c r="G61" s="351" t="str">
        <f t="shared" si="1"/>
        <v/>
      </c>
      <c r="H61" s="712"/>
      <c r="I61" s="1015"/>
      <c r="J61" s="1016"/>
      <c r="K61" s="204" t="str">
        <f t="shared" si="2"/>
        <v/>
      </c>
    </row>
    <row r="62" spans="2:11" ht="15" customHeight="1" x14ac:dyDescent="0.25">
      <c r="B62" s="339">
        <v>31</v>
      </c>
      <c r="C62" s="748"/>
      <c r="D62" s="748"/>
      <c r="E62" s="713"/>
      <c r="F62" s="749"/>
      <c r="G62" s="351" t="str">
        <f t="shared" si="1"/>
        <v/>
      </c>
      <c r="H62" s="712"/>
      <c r="I62" s="1015"/>
      <c r="J62" s="1016"/>
      <c r="K62" s="204" t="str">
        <f t="shared" si="2"/>
        <v/>
      </c>
    </row>
    <row r="63" spans="2:11" ht="15" customHeight="1" x14ac:dyDescent="0.25">
      <c r="B63" s="339">
        <v>32</v>
      </c>
      <c r="C63" s="748"/>
      <c r="D63" s="748"/>
      <c r="E63" s="713"/>
      <c r="F63" s="749"/>
      <c r="G63" s="351" t="str">
        <f t="shared" si="1"/>
        <v/>
      </c>
      <c r="H63" s="712"/>
      <c r="I63" s="1015"/>
      <c r="J63" s="1016"/>
      <c r="K63" s="204" t="str">
        <f t="shared" si="2"/>
        <v/>
      </c>
    </row>
    <row r="64" spans="2:11" ht="15" customHeight="1" x14ac:dyDescent="0.25">
      <c r="B64" s="339">
        <v>33</v>
      </c>
      <c r="C64" s="748"/>
      <c r="D64" s="748"/>
      <c r="E64" s="713"/>
      <c r="F64" s="749"/>
      <c r="G64" s="351" t="str">
        <f t="shared" si="1"/>
        <v/>
      </c>
      <c r="H64" s="712"/>
      <c r="I64" s="1015"/>
      <c r="J64" s="1016"/>
      <c r="K64" s="204" t="str">
        <f t="shared" si="2"/>
        <v/>
      </c>
    </row>
    <row r="65" spans="2:11" ht="15" customHeight="1" x14ac:dyDescent="0.25">
      <c r="B65" s="339">
        <v>34</v>
      </c>
      <c r="C65" s="748"/>
      <c r="D65" s="748"/>
      <c r="E65" s="713"/>
      <c r="F65" s="749"/>
      <c r="G65" s="351" t="str">
        <f t="shared" si="1"/>
        <v/>
      </c>
      <c r="H65" s="712"/>
      <c r="I65" s="1015"/>
      <c r="J65" s="1016"/>
      <c r="K65" s="204" t="str">
        <f t="shared" si="2"/>
        <v/>
      </c>
    </row>
    <row r="66" spans="2:11" ht="15" customHeight="1" x14ac:dyDescent="0.25">
      <c r="B66" s="339">
        <v>35</v>
      </c>
      <c r="C66" s="748"/>
      <c r="D66" s="748"/>
      <c r="E66" s="713"/>
      <c r="F66" s="749"/>
      <c r="G66" s="351" t="str">
        <f t="shared" si="1"/>
        <v/>
      </c>
      <c r="H66" s="712"/>
      <c r="I66" s="1015"/>
      <c r="J66" s="1016"/>
      <c r="K66" s="204" t="str">
        <f t="shared" si="2"/>
        <v/>
      </c>
    </row>
    <row r="67" spans="2:11" ht="15" customHeight="1" x14ac:dyDescent="0.25">
      <c r="B67" s="339">
        <v>36</v>
      </c>
      <c r="C67" s="748"/>
      <c r="D67" s="748"/>
      <c r="E67" s="713"/>
      <c r="F67" s="749"/>
      <c r="G67" s="351" t="str">
        <f t="shared" si="1"/>
        <v/>
      </c>
      <c r="H67" s="712"/>
      <c r="I67" s="1015"/>
      <c r="J67" s="1016"/>
      <c r="K67" s="204" t="str">
        <f t="shared" si="2"/>
        <v/>
      </c>
    </row>
    <row r="68" spans="2:11" ht="15" customHeight="1" x14ac:dyDescent="0.25">
      <c r="B68" s="339">
        <v>37</v>
      </c>
      <c r="C68" s="748"/>
      <c r="D68" s="748"/>
      <c r="E68" s="713"/>
      <c r="F68" s="749"/>
      <c r="G68" s="351" t="str">
        <f t="shared" si="1"/>
        <v/>
      </c>
      <c r="H68" s="712"/>
      <c r="I68" s="1015"/>
      <c r="J68" s="1016"/>
      <c r="K68" s="204" t="str">
        <f t="shared" si="2"/>
        <v/>
      </c>
    </row>
    <row r="69" spans="2:11" ht="15" customHeight="1" x14ac:dyDescent="0.25">
      <c r="B69" s="339">
        <v>38</v>
      </c>
      <c r="C69" s="748"/>
      <c r="D69" s="748"/>
      <c r="E69" s="713"/>
      <c r="F69" s="749"/>
      <c r="G69" s="351" t="str">
        <f t="shared" si="1"/>
        <v/>
      </c>
      <c r="H69" s="712"/>
      <c r="I69" s="1015"/>
      <c r="J69" s="1016"/>
      <c r="K69" s="204" t="str">
        <f t="shared" si="2"/>
        <v/>
      </c>
    </row>
    <row r="70" spans="2:11" ht="15" customHeight="1" x14ac:dyDescent="0.25">
      <c r="B70" s="339">
        <v>39</v>
      </c>
      <c r="C70" s="748"/>
      <c r="D70" s="748"/>
      <c r="E70" s="713"/>
      <c r="F70" s="749"/>
      <c r="G70" s="351" t="str">
        <f t="shared" si="1"/>
        <v/>
      </c>
      <c r="H70" s="712"/>
      <c r="I70" s="1015"/>
      <c r="J70" s="1016"/>
      <c r="K70" s="204" t="str">
        <f t="shared" si="2"/>
        <v/>
      </c>
    </row>
    <row r="71" spans="2:11" ht="15" customHeight="1" x14ac:dyDescent="0.25">
      <c r="B71" s="339">
        <v>40</v>
      </c>
      <c r="C71" s="748"/>
      <c r="D71" s="748"/>
      <c r="E71" s="713"/>
      <c r="F71" s="749"/>
      <c r="G71" s="351" t="str">
        <f t="shared" si="1"/>
        <v/>
      </c>
      <c r="H71" s="712"/>
      <c r="I71" s="1015"/>
      <c r="J71" s="1016"/>
      <c r="K71" s="204" t="str">
        <f t="shared" si="2"/>
        <v/>
      </c>
    </row>
    <row r="72" spans="2:11" ht="15" customHeight="1" x14ac:dyDescent="0.25">
      <c r="B72" s="339">
        <v>41</v>
      </c>
      <c r="C72" s="748"/>
      <c r="D72" s="748"/>
      <c r="E72" s="713"/>
      <c r="F72" s="749"/>
      <c r="G72" s="351" t="str">
        <f t="shared" si="1"/>
        <v/>
      </c>
      <c r="H72" s="712"/>
      <c r="I72" s="1015"/>
      <c r="J72" s="1016"/>
      <c r="K72" s="204" t="str">
        <f t="shared" si="2"/>
        <v/>
      </c>
    </row>
    <row r="73" spans="2:11" ht="15" customHeight="1" x14ac:dyDescent="0.25">
      <c r="B73" s="339">
        <v>42</v>
      </c>
      <c r="C73" s="748"/>
      <c r="D73" s="748"/>
      <c r="E73" s="713"/>
      <c r="F73" s="749"/>
      <c r="G73" s="351" t="str">
        <f t="shared" si="1"/>
        <v/>
      </c>
      <c r="H73" s="712"/>
      <c r="I73" s="1015"/>
      <c r="J73" s="1016"/>
      <c r="K73" s="204" t="str">
        <f t="shared" si="2"/>
        <v/>
      </c>
    </row>
    <row r="74" spans="2:11" ht="15" customHeight="1" x14ac:dyDescent="0.25">
      <c r="B74" s="339">
        <v>43</v>
      </c>
      <c r="C74" s="748"/>
      <c r="D74" s="748"/>
      <c r="E74" s="713"/>
      <c r="F74" s="749"/>
      <c r="G74" s="351" t="str">
        <f t="shared" si="1"/>
        <v/>
      </c>
      <c r="H74" s="712"/>
      <c r="I74" s="1015"/>
      <c r="J74" s="1016"/>
      <c r="K74" s="204" t="str">
        <f t="shared" si="2"/>
        <v/>
      </c>
    </row>
    <row r="75" spans="2:11" ht="15" customHeight="1" x14ac:dyDescent="0.25">
      <c r="B75" s="339">
        <v>44</v>
      </c>
      <c r="C75" s="748"/>
      <c r="D75" s="748"/>
      <c r="E75" s="713"/>
      <c r="F75" s="749"/>
      <c r="G75" s="351" t="str">
        <f t="shared" si="1"/>
        <v/>
      </c>
      <c r="H75" s="712"/>
      <c r="I75" s="1015"/>
      <c r="J75" s="1016"/>
      <c r="K75" s="204" t="str">
        <f t="shared" si="2"/>
        <v/>
      </c>
    </row>
    <row r="76" spans="2:11" ht="15" customHeight="1" x14ac:dyDescent="0.25">
      <c r="B76" s="339">
        <v>45</v>
      </c>
      <c r="C76" s="748"/>
      <c r="D76" s="748"/>
      <c r="E76" s="713"/>
      <c r="F76" s="749"/>
      <c r="G76" s="351" t="str">
        <f t="shared" si="1"/>
        <v/>
      </c>
      <c r="H76" s="712"/>
      <c r="I76" s="1015"/>
      <c r="J76" s="1016"/>
      <c r="K76" s="204" t="str">
        <f t="shared" si="2"/>
        <v/>
      </c>
    </row>
    <row r="77" spans="2:11" ht="15" customHeight="1" x14ac:dyDescent="0.25">
      <c r="B77" s="339">
        <v>46</v>
      </c>
      <c r="C77" s="748"/>
      <c r="D77" s="748"/>
      <c r="E77" s="713"/>
      <c r="F77" s="749"/>
      <c r="G77" s="351" t="str">
        <f t="shared" si="1"/>
        <v/>
      </c>
      <c r="H77" s="712"/>
      <c r="I77" s="1015"/>
      <c r="J77" s="1016"/>
      <c r="K77" s="204" t="str">
        <f t="shared" si="2"/>
        <v/>
      </c>
    </row>
    <row r="78" spans="2:11" ht="15" customHeight="1" x14ac:dyDescent="0.25">
      <c r="B78" s="339">
        <v>47</v>
      </c>
      <c r="C78" s="748"/>
      <c r="D78" s="748"/>
      <c r="E78" s="713"/>
      <c r="F78" s="749"/>
      <c r="G78" s="351" t="str">
        <f t="shared" si="1"/>
        <v/>
      </c>
      <c r="H78" s="712"/>
      <c r="I78" s="1015"/>
      <c r="J78" s="1016"/>
      <c r="K78" s="204" t="str">
        <f t="shared" si="2"/>
        <v/>
      </c>
    </row>
    <row r="79" spans="2:11" ht="15" customHeight="1" x14ac:dyDescent="0.25">
      <c r="B79" s="339">
        <v>48</v>
      </c>
      <c r="C79" s="748"/>
      <c r="D79" s="748"/>
      <c r="E79" s="713"/>
      <c r="F79" s="749"/>
      <c r="G79" s="351" t="str">
        <f t="shared" si="1"/>
        <v/>
      </c>
      <c r="H79" s="712"/>
      <c r="I79" s="1015"/>
      <c r="J79" s="1016"/>
      <c r="K79" s="204" t="str">
        <f t="shared" si="2"/>
        <v/>
      </c>
    </row>
    <row r="80" spans="2:11" x14ac:dyDescent="0.25">
      <c r="B80" s="339">
        <v>49</v>
      </c>
      <c r="C80" s="748"/>
      <c r="D80" s="748"/>
      <c r="E80" s="713"/>
      <c r="F80" s="749"/>
      <c r="G80" s="351" t="str">
        <f t="shared" si="1"/>
        <v/>
      </c>
      <c r="H80" s="712"/>
      <c r="I80" s="1015"/>
      <c r="J80" s="1016"/>
      <c r="K80" s="204" t="str">
        <f t="shared" si="2"/>
        <v/>
      </c>
    </row>
    <row r="81" spans="2:28" x14ac:dyDescent="0.25">
      <c r="B81" s="339">
        <v>50</v>
      </c>
      <c r="C81" s="748"/>
      <c r="D81" s="748"/>
      <c r="E81" s="713"/>
      <c r="F81" s="749"/>
      <c r="G81" s="351" t="str">
        <f t="shared" si="1"/>
        <v/>
      </c>
      <c r="H81" s="712"/>
      <c r="I81" s="1015"/>
      <c r="J81" s="1016"/>
      <c r="K81" s="204" t="str">
        <f t="shared" si="2"/>
        <v/>
      </c>
    </row>
    <row r="82" spans="2:28" x14ac:dyDescent="0.25">
      <c r="B82" s="143"/>
      <c r="C82" s="143"/>
      <c r="D82" s="143"/>
      <c r="E82" s="143"/>
      <c r="G82" s="352" t="str">
        <f>IF($D$2="", "", IFERROR(SUM($G$32:$G$81),""))</f>
        <v/>
      </c>
      <c r="H82" s="65"/>
      <c r="I82" s="65"/>
      <c r="J82" s="65"/>
    </row>
    <row r="96" spans="2:28" x14ac:dyDescent="0.25">
      <c r="T96" s="204"/>
      <c r="U96" s="204"/>
      <c r="V96" s="204"/>
      <c r="W96" s="204"/>
      <c r="X96" s="204"/>
      <c r="Y96" s="1"/>
      <c r="Z96" s="1"/>
      <c r="AA96" s="1"/>
      <c r="AB96" s="1"/>
    </row>
    <row r="97" spans="20:28" x14ac:dyDescent="0.25">
      <c r="T97" s="204"/>
      <c r="U97" s="204"/>
      <c r="V97" s="204"/>
      <c r="W97" s="204"/>
      <c r="X97" s="204"/>
      <c r="Y97" s="1"/>
      <c r="Z97" s="1"/>
      <c r="AA97" s="1"/>
      <c r="AB97" s="1"/>
    </row>
  </sheetData>
  <sheetProtection algorithmName="SHA-512" hashValue="/RM/5STuG32KJpmAAse1rq6cWR5T5IrlLSDmEFM5+4W6urflmY0S80cJm75ey48FXYXbwbYubKozDtrH1txY0Q==" saltValue="UfMQfJ9RTSx36u7Xq0Gn1g==" spinCount="100000" sheet="1" objects="1" scenarios="1"/>
  <mergeCells count="61">
    <mergeCell ref="I81:J81"/>
    <mergeCell ref="C29:G29"/>
    <mergeCell ref="I77:J77"/>
    <mergeCell ref="I78:J78"/>
    <mergeCell ref="I79:J79"/>
    <mergeCell ref="I80:J80"/>
    <mergeCell ref="I72:J72"/>
    <mergeCell ref="I73:J73"/>
    <mergeCell ref="I74:J74"/>
    <mergeCell ref="I75:J75"/>
    <mergeCell ref="I76:J76"/>
    <mergeCell ref="I67:J67"/>
    <mergeCell ref="I68:J68"/>
    <mergeCell ref="I69:J69"/>
    <mergeCell ref="I70:J70"/>
    <mergeCell ref="I71:J71"/>
    <mergeCell ref="I62:J62"/>
    <mergeCell ref="I63:J63"/>
    <mergeCell ref="I64:J64"/>
    <mergeCell ref="I65:J65"/>
    <mergeCell ref="I66:J66"/>
    <mergeCell ref="I57:J57"/>
    <mergeCell ref="I58:J58"/>
    <mergeCell ref="I59:J59"/>
    <mergeCell ref="I60:J60"/>
    <mergeCell ref="I61:J61"/>
    <mergeCell ref="I52:J52"/>
    <mergeCell ref="I53:J53"/>
    <mergeCell ref="I54:J54"/>
    <mergeCell ref="I55:J55"/>
    <mergeCell ref="I56:J56"/>
    <mergeCell ref="I47:J47"/>
    <mergeCell ref="I48:J48"/>
    <mergeCell ref="I49:J49"/>
    <mergeCell ref="I50:J50"/>
    <mergeCell ref="I51:J51"/>
    <mergeCell ref="I42:J42"/>
    <mergeCell ref="I43:J43"/>
    <mergeCell ref="I44:J44"/>
    <mergeCell ref="I45:J45"/>
    <mergeCell ref="I46:J46"/>
    <mergeCell ref="I37:J37"/>
    <mergeCell ref="I38:J38"/>
    <mergeCell ref="I39:J39"/>
    <mergeCell ref="I40:J40"/>
    <mergeCell ref="I41:J41"/>
    <mergeCell ref="I32:J32"/>
    <mergeCell ref="I33:J33"/>
    <mergeCell ref="I34:J34"/>
    <mergeCell ref="I35:J35"/>
    <mergeCell ref="I36:J36"/>
    <mergeCell ref="C27:G27"/>
    <mergeCell ref="F1:G1"/>
    <mergeCell ref="I31:J31"/>
    <mergeCell ref="C28:G28"/>
    <mergeCell ref="C26:G26"/>
    <mergeCell ref="V2:AB2"/>
    <mergeCell ref="V10:AB10"/>
    <mergeCell ref="U2:U3"/>
    <mergeCell ref="U10:U11"/>
    <mergeCell ref="C25:G25"/>
  </mergeCells>
  <conditionalFormatting sqref="C14:D14">
    <cfRule type="expression" dxfId="79" priority="2">
      <formula>$D$8="Fossil"</formula>
    </cfRule>
    <cfRule type="expression" dxfId="78" priority="3">
      <formula>$D$9="None"</formula>
    </cfRule>
    <cfRule type="expression" dxfId="77" priority="177">
      <formula>$D$8="Electric"</formula>
    </cfRule>
  </conditionalFormatting>
  <conditionalFormatting sqref="C15:D15">
    <cfRule type="expression" dxfId="76" priority="179">
      <formula>$D$9="Electric"</formula>
    </cfRule>
  </conditionalFormatting>
  <conditionalFormatting sqref="C16:D16">
    <cfRule type="expression" dxfId="75" priority="180">
      <formula>$D$9="Electric"</formula>
    </cfRule>
    <cfRule type="expression" dxfId="74" priority="181">
      <formula>$D$9="None"</formula>
    </cfRule>
  </conditionalFormatting>
  <conditionalFormatting sqref="C17:D17">
    <cfRule type="expression" dxfId="73" priority="178">
      <formula>$D$8="Fossil"</formula>
    </cfRule>
  </conditionalFormatting>
  <conditionalFormatting sqref="C15:E15">
    <cfRule type="expression" dxfId="72" priority="182">
      <formula>$D$9="None"</formula>
    </cfRule>
  </conditionalFormatting>
  <conditionalFormatting sqref="E8">
    <cfRule type="expression" dxfId="71" priority="15">
      <formula>$E$8&lt;&gt;""</formula>
    </cfRule>
  </conditionalFormatting>
  <conditionalFormatting sqref="E15">
    <cfRule type="expression" dxfId="70" priority="16">
      <formula>$E$15&lt;&gt;""</formula>
    </cfRule>
  </conditionalFormatting>
  <conditionalFormatting sqref="E16">
    <cfRule type="expression" dxfId="69" priority="183">
      <formula>$D$9="None"</formula>
    </cfRule>
  </conditionalFormatting>
  <conditionalFormatting sqref="E8:H8">
    <cfRule type="expression" dxfId="68" priority="4">
      <formula>$E$8&lt;&gt;""</formula>
    </cfRule>
  </conditionalFormatting>
  <conditionalFormatting sqref="G3">
    <cfRule type="expression" dxfId="67" priority="1">
      <formula>$G$3=0</formula>
    </cfRule>
  </conditionalFormatting>
  <conditionalFormatting sqref="H26">
    <cfRule type="expression" dxfId="66" priority="21">
      <formula>$H$26="Not Inspected"</formula>
    </cfRule>
  </conditionalFormatting>
  <conditionalFormatting sqref="H27">
    <cfRule type="expression" dxfId="65" priority="20">
      <formula>$H$27="Not Inspected"</formula>
    </cfRule>
  </conditionalFormatting>
  <conditionalFormatting sqref="H28">
    <cfRule type="expression" dxfId="64" priority="19">
      <formula>$H$28="Not Inspected"</formula>
    </cfRule>
  </conditionalFormatting>
  <conditionalFormatting sqref="H29">
    <cfRule type="expression" dxfId="63" priority="18">
      <formula>$H$29="Not Inspected"</formula>
    </cfRule>
  </conditionalFormatting>
  <conditionalFormatting sqref="H32:H81">
    <cfRule type="containsText" dxfId="62" priority="24" operator="containsText" text="No">
      <formula>NOT(ISERROR(SEARCH("No",H32)))</formula>
    </cfRule>
  </conditionalFormatting>
  <conditionalFormatting sqref="I32:I81">
    <cfRule type="expression" dxfId="61" priority="17">
      <formula>ISBLANK($I32)</formula>
    </cfRule>
  </conditionalFormatting>
  <conditionalFormatting sqref="K32:K81">
    <cfRule type="expression" dxfId="60" priority="7">
      <formula>$K$32&lt;&gt;""</formula>
    </cfRule>
  </conditionalFormatting>
  <dataValidations count="7">
    <dataValidation type="list" allowBlank="1" showInputMessage="1" showErrorMessage="1" sqref="D7" xr:uid="{490EA9C2-631E-4142-9B0D-271A666C8E6B}">
      <formula1>$AD$4:$AD$8</formula1>
    </dataValidation>
    <dataValidation type="list" allowBlank="1" showInputMessage="1" showErrorMessage="1" sqref="I26:I29 H32:H81" xr:uid="{BF92D97D-78F9-42AE-8E3A-E77D186E979D}">
      <formula1>"Yes, No"</formula1>
    </dataValidation>
    <dataValidation type="list" allowBlank="1" showInputMessage="1" showErrorMessage="1" sqref="H26:H29" xr:uid="{A4F017A1-8628-41C5-AB7C-AED5D4CC408A}">
      <formula1>"Inspected, Not Inspected"</formula1>
    </dataValidation>
    <dataValidation type="list" allowBlank="1" showInputMessage="1" showErrorMessage="1" sqref="D8" xr:uid="{1F9DA0B5-CBD1-4E74-8C9F-DEA4245C7374}">
      <formula1>$S$16:$S$17</formula1>
    </dataValidation>
    <dataValidation type="list" allowBlank="1" showInputMessage="1" showErrorMessage="1" sqref="D9" xr:uid="{9B71581B-DF4C-4704-8617-D204BFB4DE94}">
      <formula1>$S$20:$S$21</formula1>
    </dataValidation>
    <dataValidation type="list" allowBlank="1" showInputMessage="1" showErrorMessage="1" sqref="D6" xr:uid="{39E30504-947C-41A7-AC0A-8BEC84B5C2F9}">
      <formula1>$P$37:$P$38</formula1>
    </dataValidation>
    <dataValidation type="list" allowBlank="1" showInputMessage="1" showErrorMessage="1" sqref="D32:D81" xr:uid="{EC5987A0-F41A-405E-8F84-EB416516FACD}">
      <formula1>$S$30:$S$33</formula1>
    </dataValidation>
  </dataValidations>
  <pageMargins left="0.7" right="0.7" top="0.75" bottom="0.75" header="0.3" footer="0.3"/>
  <pageSetup scale="42" orientation="portrait" r:id="rId1"/>
  <headerFooter>
    <oddFooter>&amp;RAIR LEAKAGE SEALING</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C7DD-CEDA-48C5-A13C-D80FBF3F8AC1}">
  <sheetPr>
    <tabColor theme="9" tint="0.39997558519241921"/>
    <pageSetUpPr fitToPage="1"/>
  </sheetPr>
  <dimension ref="A1:AO97"/>
  <sheetViews>
    <sheetView zoomScaleNormal="100" workbookViewId="0">
      <selection activeCell="F6" sqref="F6:H6"/>
    </sheetView>
  </sheetViews>
  <sheetFormatPr defaultColWidth="9.140625" defaultRowHeight="15" x14ac:dyDescent="0.25"/>
  <cols>
    <col min="1" max="1" width="5.140625" style="1" customWidth="1"/>
    <col min="2" max="2" width="10.140625" style="1" customWidth="1"/>
    <col min="3" max="3" width="8.85546875" style="1" customWidth="1"/>
    <col min="4" max="4" width="14" style="1" customWidth="1"/>
    <col min="5" max="5" width="24.85546875" style="1" customWidth="1"/>
    <col min="6" max="6" width="7.140625" style="1" customWidth="1"/>
    <col min="7" max="7" width="9.140625" style="1"/>
    <col min="8" max="8" width="6.85546875" style="1" customWidth="1"/>
    <col min="9" max="9" width="9.28515625" style="1" customWidth="1"/>
    <col min="10" max="10" width="12.7109375" style="1" customWidth="1"/>
    <col min="11" max="11" width="28" style="1" customWidth="1"/>
    <col min="12" max="12" width="14.5703125" style="1" customWidth="1"/>
    <col min="13" max="13" width="15.140625" style="1" customWidth="1"/>
    <col min="14" max="14" width="15.42578125" style="1" hidden="1" customWidth="1"/>
    <col min="15" max="15" width="15.140625" style="1" bestFit="1" customWidth="1"/>
    <col min="16" max="16" width="12.5703125" style="1" hidden="1" customWidth="1"/>
    <col min="17" max="19" width="11.42578125" style="1" customWidth="1"/>
    <col min="20" max="20" width="8.42578125" style="1" customWidth="1"/>
    <col min="21" max="21" width="13.85546875" style="1" customWidth="1"/>
    <col min="22" max="22" width="13.5703125" style="1" customWidth="1"/>
    <col min="23" max="23" width="6.7109375" style="1" customWidth="1"/>
    <col min="24" max="24" width="16.5703125" style="1" customWidth="1"/>
    <col min="25" max="25" width="12" style="1" customWidth="1"/>
    <col min="26" max="26" width="11" style="1" hidden="1" customWidth="1"/>
    <col min="27" max="27" width="5.28515625" style="1" hidden="1" customWidth="1"/>
    <col min="28" max="28" width="28.140625" style="1" hidden="1" customWidth="1"/>
    <col min="29" max="30" width="4.5703125" style="1" hidden="1" customWidth="1"/>
    <col min="31" max="31" width="24.5703125" style="1" hidden="1" customWidth="1"/>
    <col min="32" max="32" width="5.85546875" style="1" hidden="1" customWidth="1"/>
    <col min="33" max="33" width="20.140625" style="1" hidden="1" customWidth="1"/>
    <col min="34" max="35" width="9.140625" style="1" hidden="1" customWidth="1"/>
    <col min="36" max="36" width="22.7109375" style="1" hidden="1" customWidth="1"/>
    <col min="37" max="37" width="28.140625" style="1" hidden="1" customWidth="1"/>
    <col min="38" max="41" width="9.140625" style="1" hidden="1" customWidth="1"/>
    <col min="42" max="53" width="0" style="1" hidden="1" customWidth="1"/>
    <col min="54" max="16384" width="9.140625" style="1"/>
  </cols>
  <sheetData>
    <row r="1" spans="1:41" ht="15.75" thickBot="1" x14ac:dyDescent="0.3">
      <c r="AK1" s="63">
        <v>1</v>
      </c>
      <c r="AL1" s="63">
        <v>2</v>
      </c>
      <c r="AM1" s="63">
        <v>3</v>
      </c>
      <c r="AN1" s="63">
        <v>4</v>
      </c>
      <c r="AO1" s="63">
        <v>5</v>
      </c>
    </row>
    <row r="2" spans="1:41" ht="15.75" thickBot="1" x14ac:dyDescent="0.3">
      <c r="B2" s="1001" t="s">
        <v>93</v>
      </c>
      <c r="C2" s="1001"/>
      <c r="D2" s="1001"/>
      <c r="E2" s="1001"/>
      <c r="F2" s="1019" t="str">
        <f>IF('App Cust Info'!$K$18="","","DOOR")</f>
        <v/>
      </c>
      <c r="G2" s="1019"/>
      <c r="H2" s="1019"/>
      <c r="L2" s="980" t="s">
        <v>329</v>
      </c>
      <c r="M2" s="981"/>
      <c r="O2" s="201" t="s">
        <v>330</v>
      </c>
      <c r="R2" s="995" t="s">
        <v>94</v>
      </c>
      <c r="S2" s="996"/>
      <c r="T2" s="996"/>
      <c r="U2" s="996"/>
      <c r="V2" s="997"/>
      <c r="AB2" s="71" t="s">
        <v>364</v>
      </c>
      <c r="AE2" s="250" t="s">
        <v>426</v>
      </c>
      <c r="AG2" s="74" t="s">
        <v>209</v>
      </c>
      <c r="AH2" s="73" t="s">
        <v>341</v>
      </c>
      <c r="AI2" s="73" t="s">
        <v>342</v>
      </c>
      <c r="AK2" s="1017" t="s">
        <v>610</v>
      </c>
      <c r="AL2" s="1017"/>
      <c r="AM2" s="1017"/>
      <c r="AN2" s="1017"/>
      <c r="AO2" s="1017"/>
    </row>
    <row r="3" spans="1:41" ht="15.75" customHeight="1" x14ac:dyDescent="0.25">
      <c r="B3" s="1001" t="s">
        <v>334</v>
      </c>
      <c r="C3" s="1001"/>
      <c r="D3" s="1001"/>
      <c r="E3" s="1001"/>
      <c r="F3" s="1020" t="str">
        <f>IF('App Cust Info'!$K$18="", "", 'App Cust Info'!$K$18)</f>
        <v/>
      </c>
      <c r="G3" s="1020"/>
      <c r="H3" s="1020"/>
      <c r="L3" s="119" t="s">
        <v>338</v>
      </c>
      <c r="M3" s="348" t="str">
        <f>IF($B$19&lt;&gt;"", "", IF($F$2="", "", IFERROR($Q$71,"")))</f>
        <v/>
      </c>
      <c r="O3" s="345" t="s">
        <v>492</v>
      </c>
      <c r="R3" s="986"/>
      <c r="S3" s="987"/>
      <c r="T3" s="987"/>
      <c r="U3" s="987"/>
      <c r="V3" s="988"/>
      <c r="AB3" s="368" t="s">
        <v>366</v>
      </c>
      <c r="AE3" s="149" t="s">
        <v>428</v>
      </c>
      <c r="AG3" s="338" t="s">
        <v>211</v>
      </c>
      <c r="AH3" s="340">
        <v>6391</v>
      </c>
      <c r="AI3" s="340">
        <v>721</v>
      </c>
      <c r="AK3" s="1018" t="s">
        <v>611</v>
      </c>
      <c r="AL3" s="396" t="s">
        <v>130</v>
      </c>
      <c r="AM3" s="1008" t="s">
        <v>612</v>
      </c>
      <c r="AN3" s="1008"/>
      <c r="AO3" s="1008"/>
    </row>
    <row r="4" spans="1:41" ht="15.75" customHeight="1" x14ac:dyDescent="0.25">
      <c r="B4" s="1001" t="s">
        <v>414</v>
      </c>
      <c r="C4" s="1001"/>
      <c r="D4" s="1001"/>
      <c r="E4" s="1001"/>
      <c r="F4" s="1020" t="str">
        <f>IFERROR($AB$7,"")</f>
        <v/>
      </c>
      <c r="G4" s="1020"/>
      <c r="H4" s="1020"/>
      <c r="L4" s="119" t="s">
        <v>335</v>
      </c>
      <c r="M4" s="348" t="str">
        <f>IF($B$19&lt;&gt;"", "", IF($F$2="", "", IFERROR($R$71,"")))</f>
        <v/>
      </c>
      <c r="O4" s="347" t="s">
        <v>492</v>
      </c>
      <c r="R4" s="989"/>
      <c r="S4" s="990"/>
      <c r="T4" s="990"/>
      <c r="U4" s="990"/>
      <c r="V4" s="991"/>
      <c r="AB4" s="75" t="s">
        <v>367</v>
      </c>
      <c r="AE4" s="149" t="s">
        <v>434</v>
      </c>
      <c r="AG4" s="338" t="s">
        <v>212</v>
      </c>
      <c r="AH4" s="340">
        <v>7200</v>
      </c>
      <c r="AI4" s="340">
        <v>383</v>
      </c>
      <c r="AK4" s="1018"/>
      <c r="AL4" s="73" t="s">
        <v>613</v>
      </c>
      <c r="AM4" s="383">
        <v>4</v>
      </c>
      <c r="AN4" s="72">
        <v>5</v>
      </c>
      <c r="AO4" s="72">
        <v>6</v>
      </c>
    </row>
    <row r="5" spans="1:41" ht="15.75" customHeight="1" x14ac:dyDescent="0.25">
      <c r="B5" s="1001" t="s">
        <v>350</v>
      </c>
      <c r="C5" s="1001"/>
      <c r="D5" s="1001"/>
      <c r="E5" s="1001"/>
      <c r="F5" s="1020" t="str">
        <f>IF('App Cust Info'!$H$21="", "", 'App Cust Info'!$H$21)</f>
        <v/>
      </c>
      <c r="G5" s="1020"/>
      <c r="H5" s="1020"/>
      <c r="L5" s="119" t="s">
        <v>559</v>
      </c>
      <c r="M5" s="348" t="str">
        <f>IF($B$19&lt;&gt;"", "", IF($F$2="", "", IFERROR($S$71,"")))</f>
        <v/>
      </c>
      <c r="O5" s="346" t="str">
        <f>IF($F$2="", "", IFERROR($M$5/'App Cust Info'!$F$24,""))</f>
        <v/>
      </c>
      <c r="R5" s="989"/>
      <c r="S5" s="990"/>
      <c r="T5" s="990"/>
      <c r="U5" s="990"/>
      <c r="V5" s="991"/>
      <c r="AE5" s="149" t="s">
        <v>435</v>
      </c>
      <c r="AG5" s="338" t="s">
        <v>213</v>
      </c>
      <c r="AH5" s="340">
        <v>6502</v>
      </c>
      <c r="AI5" s="340">
        <v>607</v>
      </c>
      <c r="AK5" s="405" t="s">
        <v>614</v>
      </c>
      <c r="AL5" s="392">
        <f>'DOOR CODE'!C15</f>
        <v>0.6</v>
      </c>
      <c r="AM5" s="392">
        <f>'DOOR CODE'!D15</f>
        <v>0.31</v>
      </c>
      <c r="AN5" s="392">
        <f>'DOOR CODE'!E15</f>
        <v>0.31</v>
      </c>
      <c r="AO5" s="392">
        <f>'DOOR CODE'!F15</f>
        <v>0.31</v>
      </c>
    </row>
    <row r="6" spans="1:41" ht="15.75" customHeight="1" x14ac:dyDescent="0.25">
      <c r="B6" s="1001" t="s">
        <v>99</v>
      </c>
      <c r="C6" s="1001"/>
      <c r="D6" s="1001"/>
      <c r="E6" s="1001"/>
      <c r="F6" s="1025"/>
      <c r="G6" s="1026"/>
      <c r="H6" s="1027"/>
      <c r="L6" s="119" t="s">
        <v>345</v>
      </c>
      <c r="M6" s="359" t="str">
        <f>IF($B$19&lt;&gt;"", "", IF($F$2="", "", IFERROR($T$71,"")))</f>
        <v/>
      </c>
      <c r="O6" s="220"/>
      <c r="R6" s="989"/>
      <c r="S6" s="990"/>
      <c r="T6" s="990"/>
      <c r="U6" s="990"/>
      <c r="V6" s="991"/>
      <c r="AB6" s="71" t="s">
        <v>209</v>
      </c>
      <c r="AE6" s="149" t="s">
        <v>436</v>
      </c>
      <c r="AG6" s="338" t="s">
        <v>214</v>
      </c>
      <c r="AH6" s="340">
        <v>8030</v>
      </c>
      <c r="AI6" s="340">
        <v>406</v>
      </c>
      <c r="AK6" s="405" t="s">
        <v>615</v>
      </c>
      <c r="AL6" s="392">
        <f>'DOOR CODE'!C16</f>
        <v>0.6</v>
      </c>
      <c r="AM6" s="392">
        <f>'DOOR CODE'!D16</f>
        <v>0.37</v>
      </c>
      <c r="AN6" s="392">
        <f>'DOOR CODE'!E16</f>
        <v>0.37</v>
      </c>
      <c r="AO6" s="392">
        <f>'DOOR CODE'!F16</f>
        <v>0.37</v>
      </c>
    </row>
    <row r="7" spans="1:41" ht="15.75" customHeight="1" x14ac:dyDescent="0.25">
      <c r="B7" s="1001" t="s">
        <v>442</v>
      </c>
      <c r="C7" s="1001"/>
      <c r="D7" s="1001"/>
      <c r="E7" s="1001"/>
      <c r="F7" s="1029"/>
      <c r="G7" s="1029"/>
      <c r="H7" s="1029"/>
      <c r="L7" s="119" t="s">
        <v>349</v>
      </c>
      <c r="M7" s="349" t="str">
        <f>IF($B$19&lt;&gt;"", "", IF($F$2="", "", IFERROR($U$71,"")))</f>
        <v/>
      </c>
      <c r="O7" s="221"/>
      <c r="R7" s="989"/>
      <c r="S7" s="990"/>
      <c r="T7" s="990"/>
      <c r="U7" s="990"/>
      <c r="V7" s="991"/>
      <c r="AB7" s="75" t="str">
        <f>IF($F$2="", "", IFERROR(VLOOKUP($F$3,'Zip Lookup'!$B$6:$G$2214, 2,FALSE),""))</f>
        <v/>
      </c>
      <c r="AE7" s="149" t="s">
        <v>437</v>
      </c>
      <c r="AG7" s="338" t="s">
        <v>216</v>
      </c>
      <c r="AH7" s="340">
        <v>4900</v>
      </c>
      <c r="AI7" s="340">
        <v>1017</v>
      </c>
      <c r="AK7" s="405" t="s">
        <v>616</v>
      </c>
      <c r="AL7" s="392">
        <f>'DOOR CODE'!C17</f>
        <v>0.63</v>
      </c>
      <c r="AM7" s="392">
        <f>'DOOR CODE'!D17</f>
        <v>0.31</v>
      </c>
      <c r="AN7" s="392">
        <f>'DOOR CODE'!E17</f>
        <v>0.31</v>
      </c>
      <c r="AO7" s="392">
        <f>'DOOR CODE'!F17</f>
        <v>0.31</v>
      </c>
    </row>
    <row r="8" spans="1:41" ht="15.75" customHeight="1" thickBot="1" x14ac:dyDescent="0.3">
      <c r="B8" s="1001" t="s">
        <v>575</v>
      </c>
      <c r="C8" s="1001"/>
      <c r="D8" s="1001"/>
      <c r="E8" s="1001"/>
      <c r="F8" s="1023"/>
      <c r="G8" s="1023"/>
      <c r="H8" s="1023"/>
      <c r="L8" s="120" t="s">
        <v>351</v>
      </c>
      <c r="M8" s="350" t="str">
        <f>IF($F$2="", "", IFERROR($V$71,""))</f>
        <v/>
      </c>
      <c r="O8" s="222" t="str">
        <f>IF($F$2="","",IFERROR($M$8/'App Cust Info'!$F$26,""))</f>
        <v/>
      </c>
      <c r="R8" s="989"/>
      <c r="S8" s="990"/>
      <c r="T8" s="990"/>
      <c r="U8" s="990"/>
      <c r="V8" s="991"/>
      <c r="AG8" s="338" t="s">
        <v>218</v>
      </c>
      <c r="AH8" s="340">
        <v>6026</v>
      </c>
      <c r="AI8" s="340">
        <v>745</v>
      </c>
      <c r="AK8" s="406" t="s">
        <v>617</v>
      </c>
      <c r="AL8" s="392">
        <f>'DOOR CODE'!C18</f>
        <v>0.67</v>
      </c>
      <c r="AM8" s="392">
        <f>'DOOR CODE'!D18</f>
        <v>0.63</v>
      </c>
      <c r="AN8" s="392">
        <f>'DOOR CODE'!E18</f>
        <v>0.63</v>
      </c>
      <c r="AO8" s="392">
        <f>'DOOR CODE'!F18</f>
        <v>0.63</v>
      </c>
    </row>
    <row r="9" spans="1:41" ht="15.75" customHeight="1" x14ac:dyDescent="0.25">
      <c r="B9" s="1001" t="s">
        <v>576</v>
      </c>
      <c r="C9" s="1001"/>
      <c r="D9" s="1001"/>
      <c r="E9" s="1001"/>
      <c r="F9" s="1024"/>
      <c r="G9" s="1024"/>
      <c r="H9" s="1024"/>
      <c r="I9" s="305" t="str">
        <f>IF(OR($F$7="Electric Heat Only", $F$7="Fuel Heat Only"), "", IF($F$2="", "", IF($F$9="", "You must enter SEER or IEER rating per equipment manufacturer.", "")))</f>
        <v/>
      </c>
      <c r="R9" s="989"/>
      <c r="S9" s="990"/>
      <c r="T9" s="990"/>
      <c r="U9" s="990"/>
      <c r="V9" s="991"/>
      <c r="AB9" s="71" t="s">
        <v>397</v>
      </c>
      <c r="AE9" s="71" t="s">
        <v>448</v>
      </c>
      <c r="AG9" s="338" t="s">
        <v>219</v>
      </c>
      <c r="AH9" s="340">
        <v>6625</v>
      </c>
      <c r="AI9" s="340">
        <v>618</v>
      </c>
    </row>
    <row r="10" spans="1:41" ht="15" customHeight="1" x14ac:dyDescent="0.25">
      <c r="B10" s="1001" t="s">
        <v>447</v>
      </c>
      <c r="C10" s="1001"/>
      <c r="D10" s="1001"/>
      <c r="E10" s="1001"/>
      <c r="F10" s="1024"/>
      <c r="G10" s="1024"/>
      <c r="H10" s="1024"/>
      <c r="I10" s="305" t="str">
        <f>IF($F$10="", "If unknown, leave blank.","")</f>
        <v>If unknown, leave blank.</v>
      </c>
      <c r="R10" s="989"/>
      <c r="S10" s="990"/>
      <c r="T10" s="990"/>
      <c r="U10" s="990"/>
      <c r="V10" s="991"/>
      <c r="AB10" s="300" t="str">
        <f>IF($F$2="", "", IFERROR(VLOOKUP($F$3,'Zip Lookup'!$B$6:$G$2214, 6,FALSE),""))</f>
        <v/>
      </c>
      <c r="AE10" s="75" t="s">
        <v>450</v>
      </c>
      <c r="AG10" s="74" t="s">
        <v>574</v>
      </c>
      <c r="AH10" s="343" t="str">
        <f>IF($F$2="","",IFERROR(VLOOKUP($F$4,$AG$3:$AI$9,2,FALSE),""))</f>
        <v/>
      </c>
      <c r="AI10" s="343" t="str">
        <f>IF($F$2="","",IFERROR(VLOOKUP($F$4,$AG$3:$AI$9,3,FALSE),""))</f>
        <v/>
      </c>
    </row>
    <row r="11" spans="1:41" ht="15" customHeight="1" x14ac:dyDescent="0.25">
      <c r="A11" s="305"/>
      <c r="B11" s="1001" t="s">
        <v>577</v>
      </c>
      <c r="C11" s="1001"/>
      <c r="D11" s="1001"/>
      <c r="E11" s="1001"/>
      <c r="F11" s="1028"/>
      <c r="G11" s="1028"/>
      <c r="H11" s="1028"/>
      <c r="I11" s="305" t="str">
        <f>IF($F$11="", "If unknown, leave blank.","")</f>
        <v>If unknown, leave blank.</v>
      </c>
      <c r="R11" s="989"/>
      <c r="S11" s="990"/>
      <c r="T11" s="990"/>
      <c r="U11" s="990"/>
      <c r="V11" s="991"/>
      <c r="X11" s="251"/>
      <c r="AE11" s="75" t="s">
        <v>452</v>
      </c>
      <c r="AG11" s="407" t="s">
        <v>618</v>
      </c>
    </row>
    <row r="12" spans="1:41" ht="15" customHeight="1" x14ac:dyDescent="0.35">
      <c r="A12" s="305"/>
      <c r="R12" s="989"/>
      <c r="S12" s="990"/>
      <c r="T12" s="990"/>
      <c r="U12" s="990"/>
      <c r="V12" s="991"/>
      <c r="AB12" s="71" t="s">
        <v>611</v>
      </c>
      <c r="AG12" s="260" t="s">
        <v>619</v>
      </c>
      <c r="AH12" s="336" t="str">
        <f>IF($F$2="", "", IFERROR(IF($AH$16="Electric", 1, 0),""))</f>
        <v/>
      </c>
    </row>
    <row r="13" spans="1:41" ht="15" customHeight="1" x14ac:dyDescent="0.35">
      <c r="B13" s="998" t="s">
        <v>122</v>
      </c>
      <c r="C13" s="999"/>
      <c r="D13" s="999"/>
      <c r="E13" s="1000"/>
      <c r="F13" s="1030"/>
      <c r="G13" s="1031"/>
      <c r="H13" s="1032"/>
      <c r="R13" s="989"/>
      <c r="S13" s="990"/>
      <c r="T13" s="990"/>
      <c r="U13" s="990"/>
      <c r="V13" s="991"/>
      <c r="AB13" s="338" t="s">
        <v>614</v>
      </c>
      <c r="AE13" s="73" t="s">
        <v>395</v>
      </c>
      <c r="AG13" s="260" t="s">
        <v>620</v>
      </c>
      <c r="AH13" s="336" t="str">
        <f>IF($F$2="", "", IFERROR(IF($AH$16="Fossil", 1, 0),""))</f>
        <v/>
      </c>
    </row>
    <row r="14" spans="1:41" ht="15" customHeight="1" x14ac:dyDescent="0.35">
      <c r="B14" s="998" t="s">
        <v>449</v>
      </c>
      <c r="C14" s="999"/>
      <c r="D14" s="999"/>
      <c r="E14" s="1000"/>
      <c r="F14" s="1030"/>
      <c r="G14" s="1031"/>
      <c r="H14" s="1032"/>
      <c r="R14" s="989"/>
      <c r="S14" s="990"/>
      <c r="T14" s="990"/>
      <c r="U14" s="990"/>
      <c r="V14" s="991"/>
      <c r="AB14" s="338" t="s">
        <v>615</v>
      </c>
      <c r="AE14" s="264" t="str">
        <f>IF($F$2="", "", IFERROR($F$5,""))</f>
        <v/>
      </c>
      <c r="AG14" s="260" t="s">
        <v>621</v>
      </c>
      <c r="AH14" s="336" t="str">
        <f>IF($F$2="", "", IFERROR(IF($AH$17="Electric", 1, 0),""))</f>
        <v/>
      </c>
    </row>
    <row r="15" spans="1:41" x14ac:dyDescent="0.25">
      <c r="B15" s="998" t="s">
        <v>126</v>
      </c>
      <c r="C15" s="999"/>
      <c r="D15" s="999"/>
      <c r="E15" s="1000"/>
      <c r="F15" s="1033" t="str">
        <f>IF($F$2="", "", IFERROR($F$13+$F$14,""))</f>
        <v/>
      </c>
      <c r="G15" s="1034"/>
      <c r="H15" s="1035"/>
      <c r="R15" s="989"/>
      <c r="S15" s="990"/>
      <c r="T15" s="990"/>
      <c r="U15" s="990"/>
      <c r="V15" s="991"/>
      <c r="AB15" s="338" t="s">
        <v>616</v>
      </c>
    </row>
    <row r="16" spans="1:41" x14ac:dyDescent="0.25">
      <c r="R16" s="989"/>
      <c r="S16" s="990"/>
      <c r="T16" s="990"/>
      <c r="U16" s="990"/>
      <c r="V16" s="991"/>
      <c r="AB16" s="338" t="s">
        <v>617</v>
      </c>
      <c r="AE16" s="73" t="s">
        <v>608</v>
      </c>
      <c r="AG16" s="260" t="s">
        <v>354</v>
      </c>
      <c r="AH16" s="336" t="str">
        <f>IF($F$2="", "", IF(OR($F$7="AC With Electric Heat", $F$7="Air Source Heat Pump", $F$7="Electric Heat Only"), "Electric", "Fossil"))</f>
        <v/>
      </c>
    </row>
    <row r="17" spans="2:36" x14ac:dyDescent="0.25">
      <c r="B17" s="1037" t="s">
        <v>622</v>
      </c>
      <c r="C17" s="1037"/>
      <c r="D17" s="1037"/>
      <c r="E17" s="1037"/>
      <c r="F17" s="1036" t="str" cm="1">
        <f t="array" ref="F17">IF($F$2="","",IF(AND($F$4="NYC", $AH$16="Electric"), "N/A", IFERROR(INDEX('DOOR INCENTIVES'!$I$2:$I$14,MATCH(1,('DOOR INCENTIVES'!$B$2:$B$14=$AE$17)*('DOOR INCENTIVES'!$D$2:$D$14=$AE$14),0)),"")))</f>
        <v/>
      </c>
      <c r="G17" s="1036"/>
      <c r="H17" s="1036"/>
      <c r="O17" s="408"/>
      <c r="R17" s="992"/>
      <c r="S17" s="993"/>
      <c r="T17" s="993"/>
      <c r="U17" s="993"/>
      <c r="V17" s="994"/>
      <c r="AE17" s="264" t="str">
        <f>IF($F$2="", "", IFERROR(IF($F$4="NYC","KEDLI/KEDNY "&amp;$AC$21,IF($AH$16="Electric","NIMO Electric "&amp;$AC$21,IF($AH$16="Fossil","NIMO Gas "&amp;$AC$21,""))),""))</f>
        <v/>
      </c>
      <c r="AG17" s="260" t="s">
        <v>568</v>
      </c>
      <c r="AH17" s="336" t="str">
        <f>IF($F$2="", "", IF(OR($F$7="AC With Electric Heat", $F$7="Air Source Heat Pump", $F$7="AC With Fuel Heat"), "Electric", "None"))</f>
        <v/>
      </c>
    </row>
    <row r="18" spans="2:36" x14ac:dyDescent="0.25">
      <c r="B18" s="146" t="str">
        <f>'App Cust Info'!K66</f>
        <v>V1.0 4/2/26</v>
      </c>
      <c r="AB18" s="73" t="s">
        <v>374</v>
      </c>
    </row>
    <row r="19" spans="2:36" x14ac:dyDescent="0.25">
      <c r="B19" s="1" t="str">
        <f>IF(AND($F$4="NYC",$AH$16="Electric"),"National Grid does not serve the electricity market in NYC/LI.","")</f>
        <v/>
      </c>
      <c r="N19" s="360" t="s">
        <v>623</v>
      </c>
      <c r="O19" s="1021" t="s">
        <v>624</v>
      </c>
      <c r="P19" s="1021"/>
      <c r="Q19" s="1021" t="s">
        <v>132</v>
      </c>
      <c r="R19" s="1021"/>
      <c r="S19" s="1021"/>
      <c r="T19" s="1021"/>
      <c r="U19" s="1021"/>
      <c r="V19" s="1021"/>
      <c r="AB19" s="264" t="s">
        <v>378</v>
      </c>
      <c r="AG19" s="260" t="s">
        <v>625</v>
      </c>
      <c r="AH19" s="344" t="str">
        <f>IFERROR(IF($F$2="","", 20),"")</f>
        <v/>
      </c>
    </row>
    <row r="20" spans="2:36" ht="45" x14ac:dyDescent="0.25">
      <c r="B20" s="206" t="s">
        <v>460</v>
      </c>
      <c r="C20" s="206" t="s">
        <v>461</v>
      </c>
      <c r="D20" s="206" t="s">
        <v>462</v>
      </c>
      <c r="E20" s="206" t="s">
        <v>134</v>
      </c>
      <c r="F20" s="1002" t="s">
        <v>463</v>
      </c>
      <c r="G20" s="1002"/>
      <c r="H20" s="1002" t="s">
        <v>464</v>
      </c>
      <c r="I20" s="1002"/>
      <c r="J20" s="206" t="s">
        <v>626</v>
      </c>
      <c r="K20" s="206" t="s">
        <v>611</v>
      </c>
      <c r="L20" s="206" t="s">
        <v>627</v>
      </c>
      <c r="M20" s="206" t="s">
        <v>628</v>
      </c>
      <c r="N20" s="206" t="s">
        <v>467</v>
      </c>
      <c r="O20" s="206" t="s">
        <v>467</v>
      </c>
      <c r="P20" s="206" t="s">
        <v>472</v>
      </c>
      <c r="Q20" s="206" t="s">
        <v>402</v>
      </c>
      <c r="R20" s="206" t="s">
        <v>403</v>
      </c>
      <c r="S20" s="206" t="s">
        <v>629</v>
      </c>
      <c r="T20" s="206" t="s">
        <v>160</v>
      </c>
      <c r="U20" s="206" t="s">
        <v>630</v>
      </c>
      <c r="V20" s="206" t="s">
        <v>406</v>
      </c>
      <c r="AB20" s="264" t="s">
        <v>380</v>
      </c>
    </row>
    <row r="21" spans="2:36" x14ac:dyDescent="0.25">
      <c r="B21" s="209">
        <v>1</v>
      </c>
      <c r="C21" s="480"/>
      <c r="D21" s="480"/>
      <c r="E21" s="480"/>
      <c r="F21" s="482"/>
      <c r="G21" s="721"/>
      <c r="H21" s="482"/>
      <c r="I21" s="721"/>
      <c r="J21" s="208">
        <f>IF(OR(P21="No", P21=""), 0, IF(ISBLANK(C21),"",IF(OR(G21="",I21=""),"Need Units",(F21*H21*C21)/(IF(G21="Inches",12,1)*IF(I21="Inches",12,1)))))</f>
        <v>0</v>
      </c>
      <c r="K21" s="480"/>
      <c r="L21" s="480"/>
      <c r="M21" s="480"/>
      <c r="N21" s="397" t="str">
        <f>IFERROR(VLOOKUP(K21,$AK$5:$AO$8,2,FALSE),"")</f>
        <v/>
      </c>
      <c r="O21" s="481"/>
      <c r="P21" s="398" t="str">
        <f>IF(OR(K21="",$AB$10="",O21=""),"",IF(O21 &lt;= INDEX($AM$5:$AO$8, MATCH(K21,$AK$5:$AK$8,0), MATCH($AB$10,$AM$4:$AO$4,0)),"Yes","No"))</f>
        <v/>
      </c>
      <c r="Q21" s="256" t="str">
        <f t="shared" ref="Q21:Q52" si="0">IFERROR(IF($F$2="", "", IF(M21="No", 0, ((N21-O21)*J21*$AI$10*$AH$14*24/($F$9*1000)))),"")</f>
        <v/>
      </c>
      <c r="R21" s="256" t="str">
        <f t="shared" ref="R21:R52" si="1">IFERROR(IF($F$2="", "", IF(L21="No", 0, IF(OR($F$7="Fuel Heat Only", $F$7="AC With Fuel Heat"), 0, (N21-O21)*J21*$AH$10*$AH$12*24/($AH$24*1000)))),"")</f>
        <v/>
      </c>
      <c r="S21" s="256" t="str">
        <f>IFERROR(IF($F$2="","", Q21+R21),"")</f>
        <v/>
      </c>
      <c r="T21" s="259" t="str">
        <f t="shared" ref="T21:T52" si="2">IFERROR(IF($F$2="", "", IF(M21="No", 0, ((N21-O21)*J21*$AH$14*$AH$19*$AH$21/($AH$23*1000)))),"")</f>
        <v/>
      </c>
      <c r="U21" s="257" t="str">
        <f t="shared" ref="U21:U52" si="3">IFERROR(IF($F$2="", "", IF(L21="No", 0, (N21-O21)*J21*$AH$10*$AH$13*24/($F$8*1000000))),"")</f>
        <v/>
      </c>
      <c r="V21" s="256" t="str">
        <f>IFERROR(IF($F$2="", "", U21*10),"")</f>
        <v/>
      </c>
      <c r="AB21" s="73" t="s">
        <v>609</v>
      </c>
      <c r="AC21" s="73" t="str">
        <f>IF($F$2="", "", IFERROR($F$6,""))</f>
        <v/>
      </c>
      <c r="AG21" s="260" t="str">
        <f>IF($AB$7="NYC", "CF ("&amp;AB7&amp;")", "CF (Non-NYC)")</f>
        <v>CF (Non-NYC)</v>
      </c>
      <c r="AH21" s="263">
        <f>IFERROR(IF($AB$7="NYC", 0.822, IF($AB$7="ZIP ERROR", "ZIP ERROR", 0.477)),"")</f>
        <v>0.47699999999999998</v>
      </c>
    </row>
    <row r="22" spans="2:36" x14ac:dyDescent="0.25">
      <c r="B22" s="209">
        <v>2</v>
      </c>
      <c r="C22" s="480"/>
      <c r="D22" s="480"/>
      <c r="E22" s="480"/>
      <c r="F22" s="482"/>
      <c r="G22" s="721"/>
      <c r="H22" s="482"/>
      <c r="I22" s="721"/>
      <c r="J22" s="208">
        <f t="shared" ref="J22:J70" si="4">IF(OR(P22="No", P22=""), 0, IF(ISBLANK(C22),"",IF(OR(G22="",I22=""),"Need Units",(F22*H22*C22)/(IF(G22="Inches",12,1)*IF(I22="Inches",12,1)))))</f>
        <v>0</v>
      </c>
      <c r="K22" s="480"/>
      <c r="L22" s="480"/>
      <c r="M22" s="480"/>
      <c r="N22" s="397" t="str">
        <f t="shared" ref="N22:N70" si="5">IFERROR(VLOOKUP(K22,$AK$5:$AO$8,2,FALSE),"")</f>
        <v/>
      </c>
      <c r="O22" s="481"/>
      <c r="P22" s="398" t="str">
        <f>IF(OR(K22="",$AB$10="",O22=""),"",IF(O22 &lt;= INDEX($AM$5:$AO$8, MATCH(K22,$AK$5:$AK$8,0), MATCH($AB$10,$AM$4:$AO$4,0)),"Yes","No"))</f>
        <v/>
      </c>
      <c r="Q22" s="256" t="str">
        <f t="shared" si="0"/>
        <v/>
      </c>
      <c r="R22" s="256" t="str">
        <f t="shared" si="1"/>
        <v/>
      </c>
      <c r="S22" s="256" t="str">
        <f t="shared" ref="S22:S70" si="6">IFERROR(IF($F$2="","", Q22+R22),"")</f>
        <v/>
      </c>
      <c r="T22" s="259" t="str">
        <f t="shared" si="2"/>
        <v/>
      </c>
      <c r="U22" s="257" t="str">
        <f t="shared" si="3"/>
        <v/>
      </c>
      <c r="V22" s="256" t="str">
        <f t="shared" ref="V22:V70" si="7">IFERROR(IF($F$2="", "", U22*10),"")</f>
        <v/>
      </c>
    </row>
    <row r="23" spans="2:36" x14ac:dyDescent="0.25">
      <c r="B23" s="209">
        <v>3</v>
      </c>
      <c r="C23" s="480"/>
      <c r="D23" s="480"/>
      <c r="E23" s="480"/>
      <c r="F23" s="482"/>
      <c r="G23" s="721"/>
      <c r="H23" s="482"/>
      <c r="I23" s="721"/>
      <c r="J23" s="208">
        <f t="shared" si="4"/>
        <v>0</v>
      </c>
      <c r="K23" s="480"/>
      <c r="L23" s="480"/>
      <c r="M23" s="480"/>
      <c r="N23" s="397" t="str">
        <f t="shared" si="5"/>
        <v/>
      </c>
      <c r="O23" s="723"/>
      <c r="P23" s="398" t="str">
        <f t="shared" ref="P23:P70" si="8">IF(OR(K23="",$AB$10="",O23=""),"",IF(O23 &lt;= INDEX($AM$5:$AO$8, MATCH(K23,$AK$5:$AK$8,0), MATCH($AB$10,$AM$4:$AO$4,0)),"Yes","No"))</f>
        <v/>
      </c>
      <c r="Q23" s="256" t="str">
        <f t="shared" si="0"/>
        <v/>
      </c>
      <c r="R23" s="256" t="str">
        <f t="shared" si="1"/>
        <v/>
      </c>
      <c r="S23" s="256" t="str">
        <f t="shared" si="6"/>
        <v/>
      </c>
      <c r="T23" s="259" t="str">
        <f t="shared" si="2"/>
        <v/>
      </c>
      <c r="U23" s="257" t="str">
        <f t="shared" si="3"/>
        <v/>
      </c>
      <c r="V23" s="256" t="str">
        <f t="shared" si="7"/>
        <v/>
      </c>
      <c r="AG23" s="303" t="s">
        <v>591</v>
      </c>
      <c r="AH23" s="344" t="str">
        <f>IF($F$2="", "", IFERROR(IF($F$9="", $I$9, IF($F$10="", ((1.12*$F$9)-(0.02*$F$9^2)),$F$10)),""))</f>
        <v/>
      </c>
      <c r="AI23" s="338" t="s">
        <v>588</v>
      </c>
      <c r="AJ23" s="75"/>
    </row>
    <row r="24" spans="2:36" x14ac:dyDescent="0.25">
      <c r="B24" s="209">
        <v>4</v>
      </c>
      <c r="C24" s="480"/>
      <c r="D24" s="480"/>
      <c r="E24" s="480"/>
      <c r="F24" s="482"/>
      <c r="G24" s="721"/>
      <c r="H24" s="482"/>
      <c r="I24" s="721"/>
      <c r="J24" s="208">
        <f t="shared" si="4"/>
        <v>0</v>
      </c>
      <c r="K24" s="480"/>
      <c r="L24" s="480"/>
      <c r="M24" s="480"/>
      <c r="N24" s="397" t="str">
        <f t="shared" si="5"/>
        <v/>
      </c>
      <c r="O24" s="723"/>
      <c r="P24" s="398" t="str">
        <f t="shared" si="8"/>
        <v/>
      </c>
      <c r="Q24" s="256" t="str">
        <f t="shared" si="0"/>
        <v/>
      </c>
      <c r="R24" s="256" t="str">
        <f t="shared" si="1"/>
        <v/>
      </c>
      <c r="S24" s="256" t="str">
        <f t="shared" si="6"/>
        <v/>
      </c>
      <c r="T24" s="259" t="str">
        <f t="shared" si="2"/>
        <v/>
      </c>
      <c r="U24" s="257" t="str">
        <f t="shared" si="3"/>
        <v/>
      </c>
      <c r="V24" s="256" t="str">
        <f t="shared" si="7"/>
        <v/>
      </c>
      <c r="AG24" s="303" t="s">
        <v>358</v>
      </c>
      <c r="AH24" s="342" t="str">
        <f>IF($F$2="", "", IF(OR($F$7="AC With Electric Heat", $F$7="Electric Heat Only", $F$7="Air Source Heat Pump"), 3.412, IF(OR($F$7="AC With Fuel Heat", $F$7="Fuel Heat Only"),"", $F$11)))</f>
        <v/>
      </c>
      <c r="AI24" s="369" t="s">
        <v>631</v>
      </c>
      <c r="AJ24" s="75"/>
    </row>
    <row r="25" spans="2:36" x14ac:dyDescent="0.25">
      <c r="B25" s="209">
        <v>5</v>
      </c>
      <c r="C25" s="480"/>
      <c r="D25" s="480"/>
      <c r="E25" s="480"/>
      <c r="F25" s="482"/>
      <c r="G25" s="721"/>
      <c r="H25" s="482"/>
      <c r="I25" s="721"/>
      <c r="J25" s="208">
        <f t="shared" si="4"/>
        <v>0</v>
      </c>
      <c r="K25" s="480"/>
      <c r="L25" s="480"/>
      <c r="M25" s="480"/>
      <c r="N25" s="397" t="str">
        <f t="shared" si="5"/>
        <v/>
      </c>
      <c r="O25" s="723"/>
      <c r="P25" s="398" t="str">
        <f t="shared" si="8"/>
        <v/>
      </c>
      <c r="Q25" s="256" t="str">
        <f t="shared" si="0"/>
        <v/>
      </c>
      <c r="R25" s="256" t="str">
        <f t="shared" si="1"/>
        <v/>
      </c>
      <c r="S25" s="256" t="str">
        <f t="shared" si="6"/>
        <v/>
      </c>
      <c r="T25" s="259" t="str">
        <f t="shared" si="2"/>
        <v/>
      </c>
      <c r="U25" s="257" t="str">
        <f t="shared" si="3"/>
        <v/>
      </c>
      <c r="V25" s="256" t="str">
        <f t="shared" si="7"/>
        <v/>
      </c>
    </row>
    <row r="26" spans="2:36" x14ac:dyDescent="0.25">
      <c r="B26" s="209">
        <v>6</v>
      </c>
      <c r="C26" s="480"/>
      <c r="D26" s="480"/>
      <c r="E26" s="480"/>
      <c r="F26" s="482"/>
      <c r="G26" s="721"/>
      <c r="H26" s="482"/>
      <c r="I26" s="721"/>
      <c r="J26" s="208">
        <f t="shared" si="4"/>
        <v>0</v>
      </c>
      <c r="K26" s="480"/>
      <c r="L26" s="480"/>
      <c r="M26" s="480"/>
      <c r="N26" s="397" t="str">
        <f t="shared" si="5"/>
        <v/>
      </c>
      <c r="O26" s="723"/>
      <c r="P26" s="398" t="str">
        <f t="shared" si="8"/>
        <v/>
      </c>
      <c r="Q26" s="256" t="str">
        <f t="shared" si="0"/>
        <v/>
      </c>
      <c r="R26" s="256" t="str">
        <f t="shared" si="1"/>
        <v/>
      </c>
      <c r="S26" s="256" t="str">
        <f t="shared" si="6"/>
        <v/>
      </c>
      <c r="T26" s="259" t="str">
        <f t="shared" si="2"/>
        <v/>
      </c>
      <c r="U26" s="257" t="str">
        <f t="shared" si="3"/>
        <v/>
      </c>
      <c r="V26" s="256" t="str">
        <f t="shared" si="7"/>
        <v/>
      </c>
    </row>
    <row r="27" spans="2:36" x14ac:dyDescent="0.25">
      <c r="B27" s="209">
        <v>7</v>
      </c>
      <c r="C27" s="480"/>
      <c r="D27" s="480"/>
      <c r="E27" s="480"/>
      <c r="F27" s="482"/>
      <c r="G27" s="721"/>
      <c r="H27" s="482"/>
      <c r="I27" s="721"/>
      <c r="J27" s="208">
        <f t="shared" si="4"/>
        <v>0</v>
      </c>
      <c r="K27" s="480"/>
      <c r="L27" s="480"/>
      <c r="M27" s="480"/>
      <c r="N27" s="397" t="str">
        <f t="shared" si="5"/>
        <v/>
      </c>
      <c r="O27" s="723"/>
      <c r="P27" s="398" t="str">
        <f t="shared" si="8"/>
        <v/>
      </c>
      <c r="Q27" s="256" t="str">
        <f t="shared" si="0"/>
        <v/>
      </c>
      <c r="R27" s="256" t="str">
        <f t="shared" si="1"/>
        <v/>
      </c>
      <c r="S27" s="256" t="str">
        <f t="shared" si="6"/>
        <v/>
      </c>
      <c r="T27" s="259" t="str">
        <f t="shared" si="2"/>
        <v/>
      </c>
      <c r="U27" s="257" t="str">
        <f t="shared" si="3"/>
        <v/>
      </c>
      <c r="V27" s="256" t="str">
        <f t="shared" si="7"/>
        <v/>
      </c>
      <c r="AC27" s="63"/>
      <c r="AD27" s="63"/>
    </row>
    <row r="28" spans="2:36" x14ac:dyDescent="0.25">
      <c r="B28" s="209">
        <v>8</v>
      </c>
      <c r="C28" s="480"/>
      <c r="D28" s="480"/>
      <c r="E28" s="480"/>
      <c r="F28" s="482"/>
      <c r="G28" s="721"/>
      <c r="H28" s="482"/>
      <c r="I28" s="721"/>
      <c r="J28" s="208">
        <f t="shared" si="4"/>
        <v>0</v>
      </c>
      <c r="K28" s="480"/>
      <c r="L28" s="480"/>
      <c r="M28" s="480"/>
      <c r="N28" s="397" t="str">
        <f t="shared" si="5"/>
        <v/>
      </c>
      <c r="O28" s="723"/>
      <c r="P28" s="398" t="str">
        <f t="shared" si="8"/>
        <v/>
      </c>
      <c r="Q28" s="256" t="str">
        <f t="shared" si="0"/>
        <v/>
      </c>
      <c r="R28" s="256" t="str">
        <f t="shared" si="1"/>
        <v/>
      </c>
      <c r="S28" s="256" t="str">
        <f t="shared" si="6"/>
        <v/>
      </c>
      <c r="T28" s="259" t="str">
        <f t="shared" si="2"/>
        <v/>
      </c>
      <c r="U28" s="257" t="str">
        <f t="shared" si="3"/>
        <v/>
      </c>
      <c r="V28" s="256" t="str">
        <f t="shared" si="7"/>
        <v/>
      </c>
    </row>
    <row r="29" spans="2:36" x14ac:dyDescent="0.25">
      <c r="B29" s="209">
        <v>9</v>
      </c>
      <c r="C29" s="480"/>
      <c r="D29" s="480"/>
      <c r="E29" s="480"/>
      <c r="F29" s="482"/>
      <c r="G29" s="721"/>
      <c r="H29" s="482"/>
      <c r="I29" s="721"/>
      <c r="J29" s="208">
        <f t="shared" si="4"/>
        <v>0</v>
      </c>
      <c r="K29" s="480"/>
      <c r="L29" s="480"/>
      <c r="M29" s="480"/>
      <c r="N29" s="397" t="str">
        <f t="shared" si="5"/>
        <v/>
      </c>
      <c r="O29" s="723"/>
      <c r="P29" s="398" t="str">
        <f t="shared" si="8"/>
        <v/>
      </c>
      <c r="Q29" s="256" t="str">
        <f t="shared" si="0"/>
        <v/>
      </c>
      <c r="R29" s="256" t="str">
        <f t="shared" si="1"/>
        <v/>
      </c>
      <c r="S29" s="256" t="str">
        <f t="shared" si="6"/>
        <v/>
      </c>
      <c r="T29" s="259" t="str">
        <f t="shared" si="2"/>
        <v/>
      </c>
      <c r="U29" s="257" t="str">
        <f t="shared" si="3"/>
        <v/>
      </c>
      <c r="V29" s="256" t="str">
        <f t="shared" si="7"/>
        <v/>
      </c>
    </row>
    <row r="30" spans="2:36" x14ac:dyDescent="0.25">
      <c r="B30" s="209">
        <v>10</v>
      </c>
      <c r="C30" s="480"/>
      <c r="D30" s="480"/>
      <c r="E30" s="480"/>
      <c r="F30" s="482"/>
      <c r="G30" s="721"/>
      <c r="H30" s="482"/>
      <c r="I30" s="721"/>
      <c r="J30" s="208">
        <f t="shared" si="4"/>
        <v>0</v>
      </c>
      <c r="K30" s="480"/>
      <c r="L30" s="480"/>
      <c r="M30" s="480"/>
      <c r="N30" s="397" t="str">
        <f t="shared" si="5"/>
        <v/>
      </c>
      <c r="O30" s="723"/>
      <c r="P30" s="398" t="str">
        <f t="shared" si="8"/>
        <v/>
      </c>
      <c r="Q30" s="256" t="str">
        <f t="shared" si="0"/>
        <v/>
      </c>
      <c r="R30" s="256" t="str">
        <f t="shared" si="1"/>
        <v/>
      </c>
      <c r="S30" s="256" t="str">
        <f t="shared" si="6"/>
        <v/>
      </c>
      <c r="T30" s="259" t="str">
        <f t="shared" si="2"/>
        <v/>
      </c>
      <c r="U30" s="257" t="str">
        <f t="shared" si="3"/>
        <v/>
      </c>
      <c r="V30" s="256" t="str">
        <f t="shared" si="7"/>
        <v/>
      </c>
    </row>
    <row r="31" spans="2:36" x14ac:dyDescent="0.25">
      <c r="B31" s="209">
        <v>11</v>
      </c>
      <c r="C31" s="480"/>
      <c r="D31" s="480"/>
      <c r="E31" s="480"/>
      <c r="F31" s="482"/>
      <c r="G31" s="721"/>
      <c r="H31" s="482"/>
      <c r="I31" s="721"/>
      <c r="J31" s="208">
        <f t="shared" si="4"/>
        <v>0</v>
      </c>
      <c r="K31" s="480"/>
      <c r="L31" s="480"/>
      <c r="M31" s="480"/>
      <c r="N31" s="397" t="str">
        <f t="shared" si="5"/>
        <v/>
      </c>
      <c r="O31" s="723"/>
      <c r="P31" s="398" t="str">
        <f t="shared" si="8"/>
        <v/>
      </c>
      <c r="Q31" s="256" t="str">
        <f t="shared" si="0"/>
        <v/>
      </c>
      <c r="R31" s="256" t="str">
        <f t="shared" si="1"/>
        <v/>
      </c>
      <c r="S31" s="256" t="str">
        <f t="shared" si="6"/>
        <v/>
      </c>
      <c r="T31" s="259" t="str">
        <f t="shared" si="2"/>
        <v/>
      </c>
      <c r="U31" s="257" t="str">
        <f t="shared" si="3"/>
        <v/>
      </c>
      <c r="V31" s="256" t="str">
        <f t="shared" si="7"/>
        <v/>
      </c>
    </row>
    <row r="32" spans="2:36" x14ac:dyDescent="0.25">
      <c r="B32" s="209">
        <v>12</v>
      </c>
      <c r="C32" s="480"/>
      <c r="D32" s="480"/>
      <c r="E32" s="480"/>
      <c r="F32" s="482"/>
      <c r="G32" s="721"/>
      <c r="H32" s="482"/>
      <c r="I32" s="721"/>
      <c r="J32" s="208">
        <f t="shared" si="4"/>
        <v>0</v>
      </c>
      <c r="K32" s="480"/>
      <c r="L32" s="480"/>
      <c r="M32" s="480"/>
      <c r="N32" s="397" t="str">
        <f t="shared" si="5"/>
        <v/>
      </c>
      <c r="O32" s="723"/>
      <c r="P32" s="398" t="str">
        <f t="shared" si="8"/>
        <v/>
      </c>
      <c r="Q32" s="256" t="str">
        <f t="shared" si="0"/>
        <v/>
      </c>
      <c r="R32" s="256" t="str">
        <f t="shared" si="1"/>
        <v/>
      </c>
      <c r="S32" s="256" t="str">
        <f t="shared" si="6"/>
        <v/>
      </c>
      <c r="T32" s="259" t="str">
        <f t="shared" si="2"/>
        <v/>
      </c>
      <c r="U32" s="257" t="str">
        <f t="shared" si="3"/>
        <v/>
      </c>
      <c r="V32" s="256" t="str">
        <f t="shared" si="7"/>
        <v/>
      </c>
    </row>
    <row r="33" spans="2:22" x14ac:dyDescent="0.25">
      <c r="B33" s="209">
        <v>13</v>
      </c>
      <c r="C33" s="480"/>
      <c r="D33" s="480"/>
      <c r="E33" s="480"/>
      <c r="F33" s="482"/>
      <c r="G33" s="721"/>
      <c r="H33" s="482"/>
      <c r="I33" s="721"/>
      <c r="J33" s="208">
        <f t="shared" si="4"/>
        <v>0</v>
      </c>
      <c r="K33" s="480"/>
      <c r="L33" s="480"/>
      <c r="M33" s="480"/>
      <c r="N33" s="397" t="str">
        <f t="shared" si="5"/>
        <v/>
      </c>
      <c r="O33" s="723"/>
      <c r="P33" s="398" t="str">
        <f t="shared" si="8"/>
        <v/>
      </c>
      <c r="Q33" s="256" t="str">
        <f t="shared" si="0"/>
        <v/>
      </c>
      <c r="R33" s="256" t="str">
        <f t="shared" si="1"/>
        <v/>
      </c>
      <c r="S33" s="256" t="str">
        <f t="shared" si="6"/>
        <v/>
      </c>
      <c r="T33" s="259" t="str">
        <f t="shared" si="2"/>
        <v/>
      </c>
      <c r="U33" s="257" t="str">
        <f t="shared" si="3"/>
        <v/>
      </c>
      <c r="V33" s="256" t="str">
        <f t="shared" si="7"/>
        <v/>
      </c>
    </row>
    <row r="34" spans="2:22" x14ac:dyDescent="0.25">
      <c r="B34" s="209">
        <v>14</v>
      </c>
      <c r="C34" s="480"/>
      <c r="D34" s="480"/>
      <c r="E34" s="480"/>
      <c r="F34" s="482"/>
      <c r="G34" s="721"/>
      <c r="H34" s="482"/>
      <c r="I34" s="721"/>
      <c r="J34" s="208">
        <f t="shared" si="4"/>
        <v>0</v>
      </c>
      <c r="K34" s="480"/>
      <c r="L34" s="480"/>
      <c r="M34" s="480"/>
      <c r="N34" s="397" t="str">
        <f t="shared" si="5"/>
        <v/>
      </c>
      <c r="O34" s="723"/>
      <c r="P34" s="398" t="str">
        <f t="shared" si="8"/>
        <v/>
      </c>
      <c r="Q34" s="256" t="str">
        <f t="shared" si="0"/>
        <v/>
      </c>
      <c r="R34" s="256" t="str">
        <f t="shared" si="1"/>
        <v/>
      </c>
      <c r="S34" s="256" t="str">
        <f t="shared" si="6"/>
        <v/>
      </c>
      <c r="T34" s="259" t="str">
        <f t="shared" si="2"/>
        <v/>
      </c>
      <c r="U34" s="257" t="str">
        <f t="shared" si="3"/>
        <v/>
      </c>
      <c r="V34" s="256" t="str">
        <f t="shared" si="7"/>
        <v/>
      </c>
    </row>
    <row r="35" spans="2:22" x14ac:dyDescent="0.25">
      <c r="B35" s="209">
        <v>15</v>
      </c>
      <c r="C35" s="480"/>
      <c r="D35" s="480"/>
      <c r="E35" s="480"/>
      <c r="F35" s="482"/>
      <c r="G35" s="721"/>
      <c r="H35" s="482"/>
      <c r="I35" s="721"/>
      <c r="J35" s="208">
        <f t="shared" si="4"/>
        <v>0</v>
      </c>
      <c r="K35" s="480"/>
      <c r="L35" s="480"/>
      <c r="M35" s="480"/>
      <c r="N35" s="397" t="str">
        <f t="shared" si="5"/>
        <v/>
      </c>
      <c r="O35" s="723"/>
      <c r="P35" s="398" t="str">
        <f t="shared" si="8"/>
        <v/>
      </c>
      <c r="Q35" s="256" t="str">
        <f t="shared" si="0"/>
        <v/>
      </c>
      <c r="R35" s="256" t="str">
        <f t="shared" si="1"/>
        <v/>
      </c>
      <c r="S35" s="256" t="str">
        <f t="shared" si="6"/>
        <v/>
      </c>
      <c r="T35" s="259" t="str">
        <f t="shared" si="2"/>
        <v/>
      </c>
      <c r="U35" s="257" t="str">
        <f t="shared" si="3"/>
        <v/>
      </c>
      <c r="V35" s="256" t="str">
        <f t="shared" si="7"/>
        <v/>
      </c>
    </row>
    <row r="36" spans="2:22" x14ac:dyDescent="0.25">
      <c r="B36" s="209">
        <v>16</v>
      </c>
      <c r="C36" s="480"/>
      <c r="D36" s="480"/>
      <c r="E36" s="480"/>
      <c r="F36" s="482"/>
      <c r="G36" s="721"/>
      <c r="H36" s="482"/>
      <c r="I36" s="721"/>
      <c r="J36" s="208">
        <f t="shared" si="4"/>
        <v>0</v>
      </c>
      <c r="K36" s="480"/>
      <c r="L36" s="480"/>
      <c r="M36" s="480"/>
      <c r="N36" s="397" t="str">
        <f t="shared" si="5"/>
        <v/>
      </c>
      <c r="O36" s="723"/>
      <c r="P36" s="398" t="str">
        <f t="shared" si="8"/>
        <v/>
      </c>
      <c r="Q36" s="256" t="str">
        <f t="shared" si="0"/>
        <v/>
      </c>
      <c r="R36" s="256" t="str">
        <f t="shared" si="1"/>
        <v/>
      </c>
      <c r="S36" s="256" t="str">
        <f t="shared" si="6"/>
        <v/>
      </c>
      <c r="T36" s="259" t="str">
        <f t="shared" si="2"/>
        <v/>
      </c>
      <c r="U36" s="257" t="str">
        <f t="shared" si="3"/>
        <v/>
      </c>
      <c r="V36" s="256" t="str">
        <f t="shared" si="7"/>
        <v/>
      </c>
    </row>
    <row r="37" spans="2:22" x14ac:dyDescent="0.25">
      <c r="B37" s="209">
        <v>17</v>
      </c>
      <c r="C37" s="480"/>
      <c r="D37" s="480"/>
      <c r="E37" s="480"/>
      <c r="F37" s="482"/>
      <c r="G37" s="721"/>
      <c r="H37" s="482"/>
      <c r="I37" s="721"/>
      <c r="J37" s="208">
        <f t="shared" si="4"/>
        <v>0</v>
      </c>
      <c r="K37" s="480"/>
      <c r="L37" s="480"/>
      <c r="M37" s="480"/>
      <c r="N37" s="397" t="str">
        <f t="shared" si="5"/>
        <v/>
      </c>
      <c r="O37" s="723"/>
      <c r="P37" s="398" t="str">
        <f t="shared" si="8"/>
        <v/>
      </c>
      <c r="Q37" s="256" t="str">
        <f t="shared" si="0"/>
        <v/>
      </c>
      <c r="R37" s="256" t="str">
        <f t="shared" si="1"/>
        <v/>
      </c>
      <c r="S37" s="256" t="str">
        <f t="shared" si="6"/>
        <v/>
      </c>
      <c r="T37" s="259" t="str">
        <f t="shared" si="2"/>
        <v/>
      </c>
      <c r="U37" s="257" t="str">
        <f t="shared" si="3"/>
        <v/>
      </c>
      <c r="V37" s="256" t="str">
        <f t="shared" si="7"/>
        <v/>
      </c>
    </row>
    <row r="38" spans="2:22" x14ac:dyDescent="0.25">
      <c r="B38" s="209">
        <v>18</v>
      </c>
      <c r="C38" s="480"/>
      <c r="D38" s="480"/>
      <c r="E38" s="480"/>
      <c r="F38" s="482"/>
      <c r="G38" s="721"/>
      <c r="H38" s="482"/>
      <c r="I38" s="721"/>
      <c r="J38" s="208">
        <f t="shared" si="4"/>
        <v>0</v>
      </c>
      <c r="K38" s="480"/>
      <c r="L38" s="480"/>
      <c r="M38" s="480"/>
      <c r="N38" s="397" t="str">
        <f t="shared" si="5"/>
        <v/>
      </c>
      <c r="O38" s="723"/>
      <c r="P38" s="398" t="str">
        <f t="shared" si="8"/>
        <v/>
      </c>
      <c r="Q38" s="256" t="str">
        <f t="shared" si="0"/>
        <v/>
      </c>
      <c r="R38" s="256" t="str">
        <f t="shared" si="1"/>
        <v/>
      </c>
      <c r="S38" s="256" t="str">
        <f t="shared" si="6"/>
        <v/>
      </c>
      <c r="T38" s="259" t="str">
        <f t="shared" si="2"/>
        <v/>
      </c>
      <c r="U38" s="257" t="str">
        <f t="shared" si="3"/>
        <v/>
      </c>
      <c r="V38" s="256" t="str">
        <f t="shared" si="7"/>
        <v/>
      </c>
    </row>
    <row r="39" spans="2:22" x14ac:dyDescent="0.25">
      <c r="B39" s="209">
        <v>19</v>
      </c>
      <c r="C39" s="480"/>
      <c r="D39" s="480"/>
      <c r="E39" s="480"/>
      <c r="F39" s="482"/>
      <c r="G39" s="721"/>
      <c r="H39" s="482"/>
      <c r="I39" s="721"/>
      <c r="J39" s="208">
        <f t="shared" si="4"/>
        <v>0</v>
      </c>
      <c r="K39" s="480"/>
      <c r="L39" s="480"/>
      <c r="M39" s="480"/>
      <c r="N39" s="397" t="str">
        <f t="shared" si="5"/>
        <v/>
      </c>
      <c r="O39" s="723"/>
      <c r="P39" s="398" t="str">
        <f t="shared" si="8"/>
        <v/>
      </c>
      <c r="Q39" s="256" t="str">
        <f t="shared" si="0"/>
        <v/>
      </c>
      <c r="R39" s="256" t="str">
        <f t="shared" si="1"/>
        <v/>
      </c>
      <c r="S39" s="256" t="str">
        <f t="shared" si="6"/>
        <v/>
      </c>
      <c r="T39" s="259" t="str">
        <f t="shared" si="2"/>
        <v/>
      </c>
      <c r="U39" s="257" t="str">
        <f t="shared" si="3"/>
        <v/>
      </c>
      <c r="V39" s="256" t="str">
        <f t="shared" si="7"/>
        <v/>
      </c>
    </row>
    <row r="40" spans="2:22" x14ac:dyDescent="0.25">
      <c r="B40" s="209">
        <v>20</v>
      </c>
      <c r="C40" s="480"/>
      <c r="D40" s="480"/>
      <c r="E40" s="480"/>
      <c r="F40" s="482"/>
      <c r="G40" s="721"/>
      <c r="H40" s="482"/>
      <c r="I40" s="721"/>
      <c r="J40" s="208">
        <f t="shared" si="4"/>
        <v>0</v>
      </c>
      <c r="K40" s="480"/>
      <c r="L40" s="480"/>
      <c r="M40" s="480"/>
      <c r="N40" s="397" t="str">
        <f t="shared" si="5"/>
        <v/>
      </c>
      <c r="O40" s="723"/>
      <c r="P40" s="398" t="str">
        <f t="shared" si="8"/>
        <v/>
      </c>
      <c r="Q40" s="256" t="str">
        <f t="shared" si="0"/>
        <v/>
      </c>
      <c r="R40" s="256" t="str">
        <f t="shared" si="1"/>
        <v/>
      </c>
      <c r="S40" s="256" t="str">
        <f t="shared" si="6"/>
        <v/>
      </c>
      <c r="T40" s="259" t="str">
        <f t="shared" si="2"/>
        <v/>
      </c>
      <c r="U40" s="257" t="str">
        <f t="shared" si="3"/>
        <v/>
      </c>
      <c r="V40" s="256" t="str">
        <f t="shared" si="7"/>
        <v/>
      </c>
    </row>
    <row r="41" spans="2:22" x14ac:dyDescent="0.25">
      <c r="B41" s="209">
        <v>21</v>
      </c>
      <c r="C41" s="480"/>
      <c r="D41" s="480"/>
      <c r="E41" s="480"/>
      <c r="F41" s="482"/>
      <c r="G41" s="721"/>
      <c r="H41" s="482"/>
      <c r="I41" s="721"/>
      <c r="J41" s="208">
        <f t="shared" si="4"/>
        <v>0</v>
      </c>
      <c r="K41" s="480"/>
      <c r="L41" s="480"/>
      <c r="M41" s="480"/>
      <c r="N41" s="397" t="str">
        <f t="shared" si="5"/>
        <v/>
      </c>
      <c r="O41" s="723"/>
      <c r="P41" s="398" t="str">
        <f t="shared" si="8"/>
        <v/>
      </c>
      <c r="Q41" s="256" t="str">
        <f t="shared" si="0"/>
        <v/>
      </c>
      <c r="R41" s="256" t="str">
        <f t="shared" si="1"/>
        <v/>
      </c>
      <c r="S41" s="256" t="str">
        <f t="shared" si="6"/>
        <v/>
      </c>
      <c r="T41" s="259" t="str">
        <f t="shared" si="2"/>
        <v/>
      </c>
      <c r="U41" s="257" t="str">
        <f t="shared" si="3"/>
        <v/>
      </c>
      <c r="V41" s="256" t="str">
        <f t="shared" si="7"/>
        <v/>
      </c>
    </row>
    <row r="42" spans="2:22" x14ac:dyDescent="0.25">
      <c r="B42" s="209">
        <v>22</v>
      </c>
      <c r="C42" s="480"/>
      <c r="D42" s="480"/>
      <c r="E42" s="480"/>
      <c r="F42" s="482"/>
      <c r="G42" s="721"/>
      <c r="H42" s="482"/>
      <c r="I42" s="721"/>
      <c r="J42" s="208">
        <f t="shared" si="4"/>
        <v>0</v>
      </c>
      <c r="K42" s="480"/>
      <c r="L42" s="480"/>
      <c r="M42" s="480"/>
      <c r="N42" s="397" t="str">
        <f t="shared" si="5"/>
        <v/>
      </c>
      <c r="O42" s="723"/>
      <c r="P42" s="398" t="str">
        <f t="shared" si="8"/>
        <v/>
      </c>
      <c r="Q42" s="256" t="str">
        <f t="shared" si="0"/>
        <v/>
      </c>
      <c r="R42" s="256" t="str">
        <f t="shared" si="1"/>
        <v/>
      </c>
      <c r="S42" s="256" t="str">
        <f t="shared" si="6"/>
        <v/>
      </c>
      <c r="T42" s="259" t="str">
        <f t="shared" si="2"/>
        <v/>
      </c>
      <c r="U42" s="257" t="str">
        <f t="shared" si="3"/>
        <v/>
      </c>
      <c r="V42" s="256" t="str">
        <f t="shared" si="7"/>
        <v/>
      </c>
    </row>
    <row r="43" spans="2:22" x14ac:dyDescent="0.25">
      <c r="B43" s="209">
        <v>23</v>
      </c>
      <c r="C43" s="480"/>
      <c r="D43" s="480"/>
      <c r="E43" s="480"/>
      <c r="F43" s="482"/>
      <c r="G43" s="721"/>
      <c r="H43" s="482"/>
      <c r="I43" s="721"/>
      <c r="J43" s="208">
        <f t="shared" si="4"/>
        <v>0</v>
      </c>
      <c r="K43" s="480"/>
      <c r="L43" s="480"/>
      <c r="M43" s="480"/>
      <c r="N43" s="397" t="str">
        <f t="shared" si="5"/>
        <v/>
      </c>
      <c r="O43" s="723"/>
      <c r="P43" s="398" t="str">
        <f t="shared" si="8"/>
        <v/>
      </c>
      <c r="Q43" s="256" t="str">
        <f t="shared" si="0"/>
        <v/>
      </c>
      <c r="R43" s="256" t="str">
        <f t="shared" si="1"/>
        <v/>
      </c>
      <c r="S43" s="256" t="str">
        <f t="shared" si="6"/>
        <v/>
      </c>
      <c r="T43" s="259" t="str">
        <f t="shared" si="2"/>
        <v/>
      </c>
      <c r="U43" s="257" t="str">
        <f t="shared" si="3"/>
        <v/>
      </c>
      <c r="V43" s="256" t="str">
        <f t="shared" si="7"/>
        <v/>
      </c>
    </row>
    <row r="44" spans="2:22" x14ac:dyDescent="0.25">
      <c r="B44" s="209">
        <v>24</v>
      </c>
      <c r="C44" s="480"/>
      <c r="D44" s="480"/>
      <c r="E44" s="480"/>
      <c r="F44" s="482"/>
      <c r="G44" s="721"/>
      <c r="H44" s="482"/>
      <c r="I44" s="721"/>
      <c r="J44" s="208">
        <f t="shared" si="4"/>
        <v>0</v>
      </c>
      <c r="K44" s="480"/>
      <c r="L44" s="480"/>
      <c r="M44" s="480"/>
      <c r="N44" s="397" t="str">
        <f t="shared" si="5"/>
        <v/>
      </c>
      <c r="O44" s="723"/>
      <c r="P44" s="398" t="str">
        <f t="shared" si="8"/>
        <v/>
      </c>
      <c r="Q44" s="256" t="str">
        <f t="shared" si="0"/>
        <v/>
      </c>
      <c r="R44" s="256" t="str">
        <f t="shared" si="1"/>
        <v/>
      </c>
      <c r="S44" s="256" t="str">
        <f t="shared" si="6"/>
        <v/>
      </c>
      <c r="T44" s="259" t="str">
        <f t="shared" si="2"/>
        <v/>
      </c>
      <c r="U44" s="257" t="str">
        <f t="shared" si="3"/>
        <v/>
      </c>
      <c r="V44" s="256" t="str">
        <f t="shared" si="7"/>
        <v/>
      </c>
    </row>
    <row r="45" spans="2:22" x14ac:dyDescent="0.25">
      <c r="B45" s="209">
        <v>25</v>
      </c>
      <c r="C45" s="480"/>
      <c r="D45" s="480"/>
      <c r="E45" s="480"/>
      <c r="F45" s="482"/>
      <c r="G45" s="721"/>
      <c r="H45" s="482"/>
      <c r="I45" s="721"/>
      <c r="J45" s="208">
        <f t="shared" si="4"/>
        <v>0</v>
      </c>
      <c r="K45" s="480"/>
      <c r="L45" s="480"/>
      <c r="M45" s="480"/>
      <c r="N45" s="397" t="str">
        <f t="shared" si="5"/>
        <v/>
      </c>
      <c r="O45" s="723"/>
      <c r="P45" s="398" t="str">
        <f t="shared" si="8"/>
        <v/>
      </c>
      <c r="Q45" s="256" t="str">
        <f t="shared" si="0"/>
        <v/>
      </c>
      <c r="R45" s="256" t="str">
        <f t="shared" si="1"/>
        <v/>
      </c>
      <c r="S45" s="256" t="str">
        <f t="shared" si="6"/>
        <v/>
      </c>
      <c r="T45" s="259" t="str">
        <f t="shared" si="2"/>
        <v/>
      </c>
      <c r="U45" s="257" t="str">
        <f t="shared" si="3"/>
        <v/>
      </c>
      <c r="V45" s="256" t="str">
        <f t="shared" si="7"/>
        <v/>
      </c>
    </row>
    <row r="46" spans="2:22" x14ac:dyDescent="0.25">
      <c r="B46" s="209">
        <v>26</v>
      </c>
      <c r="C46" s="480"/>
      <c r="D46" s="480"/>
      <c r="E46" s="480"/>
      <c r="F46" s="482"/>
      <c r="G46" s="721"/>
      <c r="H46" s="482"/>
      <c r="I46" s="721"/>
      <c r="J46" s="208">
        <f t="shared" si="4"/>
        <v>0</v>
      </c>
      <c r="K46" s="480"/>
      <c r="L46" s="480"/>
      <c r="M46" s="480"/>
      <c r="N46" s="397" t="str">
        <f t="shared" si="5"/>
        <v/>
      </c>
      <c r="O46" s="723"/>
      <c r="P46" s="398" t="str">
        <f t="shared" si="8"/>
        <v/>
      </c>
      <c r="Q46" s="256" t="str">
        <f t="shared" si="0"/>
        <v/>
      </c>
      <c r="R46" s="256" t="str">
        <f t="shared" si="1"/>
        <v/>
      </c>
      <c r="S46" s="256" t="str">
        <f t="shared" si="6"/>
        <v/>
      </c>
      <c r="T46" s="259" t="str">
        <f t="shared" si="2"/>
        <v/>
      </c>
      <c r="U46" s="257" t="str">
        <f t="shared" si="3"/>
        <v/>
      </c>
      <c r="V46" s="256" t="str">
        <f t="shared" si="7"/>
        <v/>
      </c>
    </row>
    <row r="47" spans="2:22" x14ac:dyDescent="0.25">
      <c r="B47" s="209">
        <v>27</v>
      </c>
      <c r="C47" s="480"/>
      <c r="D47" s="480"/>
      <c r="E47" s="480"/>
      <c r="F47" s="482"/>
      <c r="G47" s="721"/>
      <c r="H47" s="482"/>
      <c r="I47" s="721"/>
      <c r="J47" s="208">
        <f t="shared" si="4"/>
        <v>0</v>
      </c>
      <c r="K47" s="480"/>
      <c r="L47" s="480"/>
      <c r="M47" s="480"/>
      <c r="N47" s="397" t="str">
        <f t="shared" si="5"/>
        <v/>
      </c>
      <c r="O47" s="723"/>
      <c r="P47" s="398" t="str">
        <f t="shared" si="8"/>
        <v/>
      </c>
      <c r="Q47" s="256" t="str">
        <f t="shared" si="0"/>
        <v/>
      </c>
      <c r="R47" s="256" t="str">
        <f t="shared" si="1"/>
        <v/>
      </c>
      <c r="S47" s="256" t="str">
        <f t="shared" si="6"/>
        <v/>
      </c>
      <c r="T47" s="259" t="str">
        <f t="shared" si="2"/>
        <v/>
      </c>
      <c r="U47" s="257" t="str">
        <f t="shared" si="3"/>
        <v/>
      </c>
      <c r="V47" s="256" t="str">
        <f t="shared" si="7"/>
        <v/>
      </c>
    </row>
    <row r="48" spans="2:22" x14ac:dyDescent="0.25">
      <c r="B48" s="209">
        <v>28</v>
      </c>
      <c r="C48" s="480"/>
      <c r="D48" s="480"/>
      <c r="E48" s="480"/>
      <c r="F48" s="482"/>
      <c r="G48" s="721"/>
      <c r="H48" s="482"/>
      <c r="I48" s="721"/>
      <c r="J48" s="208">
        <f t="shared" si="4"/>
        <v>0</v>
      </c>
      <c r="K48" s="480"/>
      <c r="L48" s="480"/>
      <c r="M48" s="480"/>
      <c r="N48" s="397" t="str">
        <f t="shared" si="5"/>
        <v/>
      </c>
      <c r="O48" s="723"/>
      <c r="P48" s="398" t="str">
        <f t="shared" si="8"/>
        <v/>
      </c>
      <c r="Q48" s="256" t="str">
        <f t="shared" si="0"/>
        <v/>
      </c>
      <c r="R48" s="256" t="str">
        <f t="shared" si="1"/>
        <v/>
      </c>
      <c r="S48" s="256" t="str">
        <f t="shared" si="6"/>
        <v/>
      </c>
      <c r="T48" s="259" t="str">
        <f t="shared" si="2"/>
        <v/>
      </c>
      <c r="U48" s="257" t="str">
        <f t="shared" si="3"/>
        <v/>
      </c>
      <c r="V48" s="256" t="str">
        <f t="shared" si="7"/>
        <v/>
      </c>
    </row>
    <row r="49" spans="2:22" x14ac:dyDescent="0.25">
      <c r="B49" s="209">
        <v>29</v>
      </c>
      <c r="C49" s="480"/>
      <c r="D49" s="480"/>
      <c r="E49" s="480"/>
      <c r="F49" s="482"/>
      <c r="G49" s="721"/>
      <c r="H49" s="482"/>
      <c r="I49" s="721"/>
      <c r="J49" s="208">
        <f t="shared" si="4"/>
        <v>0</v>
      </c>
      <c r="K49" s="480"/>
      <c r="L49" s="480"/>
      <c r="M49" s="480"/>
      <c r="N49" s="397" t="str">
        <f t="shared" si="5"/>
        <v/>
      </c>
      <c r="O49" s="723"/>
      <c r="P49" s="398" t="str">
        <f t="shared" si="8"/>
        <v/>
      </c>
      <c r="Q49" s="256" t="str">
        <f t="shared" si="0"/>
        <v/>
      </c>
      <c r="R49" s="256" t="str">
        <f t="shared" si="1"/>
        <v/>
      </c>
      <c r="S49" s="256" t="str">
        <f t="shared" si="6"/>
        <v/>
      </c>
      <c r="T49" s="259" t="str">
        <f t="shared" si="2"/>
        <v/>
      </c>
      <c r="U49" s="257" t="str">
        <f t="shared" si="3"/>
        <v/>
      </c>
      <c r="V49" s="256" t="str">
        <f t="shared" si="7"/>
        <v/>
      </c>
    </row>
    <row r="50" spans="2:22" x14ac:dyDescent="0.25">
      <c r="B50" s="209">
        <v>30</v>
      </c>
      <c r="C50" s="480"/>
      <c r="D50" s="480"/>
      <c r="E50" s="480"/>
      <c r="F50" s="482"/>
      <c r="G50" s="721"/>
      <c r="H50" s="482"/>
      <c r="I50" s="721"/>
      <c r="J50" s="208">
        <f t="shared" si="4"/>
        <v>0</v>
      </c>
      <c r="K50" s="480"/>
      <c r="L50" s="480"/>
      <c r="M50" s="480"/>
      <c r="N50" s="397" t="str">
        <f t="shared" si="5"/>
        <v/>
      </c>
      <c r="O50" s="723"/>
      <c r="P50" s="398" t="str">
        <f t="shared" si="8"/>
        <v/>
      </c>
      <c r="Q50" s="256" t="str">
        <f t="shared" si="0"/>
        <v/>
      </c>
      <c r="R50" s="256" t="str">
        <f t="shared" si="1"/>
        <v/>
      </c>
      <c r="S50" s="256" t="str">
        <f t="shared" si="6"/>
        <v/>
      </c>
      <c r="T50" s="259" t="str">
        <f t="shared" si="2"/>
        <v/>
      </c>
      <c r="U50" s="257" t="str">
        <f t="shared" si="3"/>
        <v/>
      </c>
      <c r="V50" s="256" t="str">
        <f t="shared" si="7"/>
        <v/>
      </c>
    </row>
    <row r="51" spans="2:22" x14ac:dyDescent="0.25">
      <c r="B51" s="209">
        <v>31</v>
      </c>
      <c r="C51" s="480"/>
      <c r="D51" s="480"/>
      <c r="E51" s="480"/>
      <c r="F51" s="482"/>
      <c r="G51" s="721"/>
      <c r="H51" s="482"/>
      <c r="I51" s="721"/>
      <c r="J51" s="208">
        <f t="shared" si="4"/>
        <v>0</v>
      </c>
      <c r="K51" s="480"/>
      <c r="L51" s="480"/>
      <c r="M51" s="480"/>
      <c r="N51" s="397" t="str">
        <f t="shared" si="5"/>
        <v/>
      </c>
      <c r="O51" s="723"/>
      <c r="P51" s="398" t="str">
        <f t="shared" si="8"/>
        <v/>
      </c>
      <c r="Q51" s="256" t="str">
        <f t="shared" si="0"/>
        <v/>
      </c>
      <c r="R51" s="256" t="str">
        <f t="shared" si="1"/>
        <v/>
      </c>
      <c r="S51" s="256" t="str">
        <f t="shared" si="6"/>
        <v/>
      </c>
      <c r="T51" s="259" t="str">
        <f t="shared" si="2"/>
        <v/>
      </c>
      <c r="U51" s="257" t="str">
        <f t="shared" si="3"/>
        <v/>
      </c>
      <c r="V51" s="256" t="str">
        <f t="shared" si="7"/>
        <v/>
      </c>
    </row>
    <row r="52" spans="2:22" x14ac:dyDescent="0.25">
      <c r="B52" s="209">
        <v>32</v>
      </c>
      <c r="C52" s="480"/>
      <c r="D52" s="480"/>
      <c r="E52" s="480"/>
      <c r="F52" s="482"/>
      <c r="G52" s="721"/>
      <c r="H52" s="482"/>
      <c r="I52" s="721"/>
      <c r="J52" s="208">
        <f t="shared" si="4"/>
        <v>0</v>
      </c>
      <c r="K52" s="480"/>
      <c r="L52" s="480"/>
      <c r="M52" s="480"/>
      <c r="N52" s="397" t="str">
        <f t="shared" si="5"/>
        <v/>
      </c>
      <c r="O52" s="723"/>
      <c r="P52" s="398" t="str">
        <f t="shared" si="8"/>
        <v/>
      </c>
      <c r="Q52" s="256" t="str">
        <f t="shared" si="0"/>
        <v/>
      </c>
      <c r="R52" s="256" t="str">
        <f t="shared" si="1"/>
        <v/>
      </c>
      <c r="S52" s="256" t="str">
        <f t="shared" si="6"/>
        <v/>
      </c>
      <c r="T52" s="259" t="str">
        <f t="shared" si="2"/>
        <v/>
      </c>
      <c r="U52" s="257" t="str">
        <f t="shared" si="3"/>
        <v/>
      </c>
      <c r="V52" s="256" t="str">
        <f t="shared" si="7"/>
        <v/>
      </c>
    </row>
    <row r="53" spans="2:22" x14ac:dyDescent="0.25">
      <c r="B53" s="209">
        <v>33</v>
      </c>
      <c r="C53" s="480"/>
      <c r="D53" s="480"/>
      <c r="E53" s="480"/>
      <c r="F53" s="482"/>
      <c r="G53" s="721"/>
      <c r="H53" s="482"/>
      <c r="I53" s="721"/>
      <c r="J53" s="208">
        <f t="shared" si="4"/>
        <v>0</v>
      </c>
      <c r="K53" s="480"/>
      <c r="L53" s="480"/>
      <c r="M53" s="480"/>
      <c r="N53" s="397" t="str">
        <f t="shared" si="5"/>
        <v/>
      </c>
      <c r="O53" s="723"/>
      <c r="P53" s="398" t="str">
        <f t="shared" si="8"/>
        <v/>
      </c>
      <c r="Q53" s="256" t="str">
        <f t="shared" ref="Q53:Q70" si="9">IFERROR(IF($F$2="", "", IF(M53="No", 0, ((N53-O53)*J53*$AI$10*$AH$14*24/($F$9*1000)))),"")</f>
        <v/>
      </c>
      <c r="R53" s="256" t="str">
        <f t="shared" ref="R53:R70" si="10">IFERROR(IF($F$2="", "", IF(L53="No", 0, IF(OR($F$7="Fuel Heat Only", $F$7="AC With Fuel Heat"), 0, (N53-O53)*J53*$AH$10*$AH$12*24/($AH$24*1000)))),"")</f>
        <v/>
      </c>
      <c r="S53" s="256" t="str">
        <f t="shared" si="6"/>
        <v/>
      </c>
      <c r="T53" s="259" t="str">
        <f t="shared" ref="T53:T70" si="11">IFERROR(IF($F$2="", "", IF(M53="No", 0, ((N53-O53)*J53*$AH$14*$AH$19*$AH$21/($AH$23*1000)))),"")</f>
        <v/>
      </c>
      <c r="U53" s="257" t="str">
        <f t="shared" ref="U53:U70" si="12">IFERROR(IF($F$2="", "", IF(L53="No", 0, (N53-O53)*J53*$AH$10*$AH$13*24/($F$8*1000000))),"")</f>
        <v/>
      </c>
      <c r="V53" s="256" t="str">
        <f t="shared" si="7"/>
        <v/>
      </c>
    </row>
    <row r="54" spans="2:22" x14ac:dyDescent="0.25">
      <c r="B54" s="209">
        <v>34</v>
      </c>
      <c r="C54" s="480"/>
      <c r="D54" s="480"/>
      <c r="E54" s="480"/>
      <c r="F54" s="482"/>
      <c r="G54" s="721"/>
      <c r="H54" s="482"/>
      <c r="I54" s="721"/>
      <c r="J54" s="208">
        <f t="shared" si="4"/>
        <v>0</v>
      </c>
      <c r="K54" s="480"/>
      <c r="L54" s="480"/>
      <c r="M54" s="480"/>
      <c r="N54" s="397" t="str">
        <f t="shared" si="5"/>
        <v/>
      </c>
      <c r="O54" s="723"/>
      <c r="P54" s="398" t="str">
        <f t="shared" si="8"/>
        <v/>
      </c>
      <c r="Q54" s="256" t="str">
        <f t="shared" si="9"/>
        <v/>
      </c>
      <c r="R54" s="256" t="str">
        <f t="shared" si="10"/>
        <v/>
      </c>
      <c r="S54" s="256" t="str">
        <f t="shared" si="6"/>
        <v/>
      </c>
      <c r="T54" s="259" t="str">
        <f t="shared" si="11"/>
        <v/>
      </c>
      <c r="U54" s="257" t="str">
        <f t="shared" si="12"/>
        <v/>
      </c>
      <c r="V54" s="256" t="str">
        <f t="shared" si="7"/>
        <v/>
      </c>
    </row>
    <row r="55" spans="2:22" x14ac:dyDescent="0.25">
      <c r="B55" s="209">
        <v>35</v>
      </c>
      <c r="C55" s="480"/>
      <c r="D55" s="480"/>
      <c r="E55" s="480"/>
      <c r="F55" s="482"/>
      <c r="G55" s="721"/>
      <c r="H55" s="482"/>
      <c r="I55" s="721"/>
      <c r="J55" s="208">
        <f t="shared" si="4"/>
        <v>0</v>
      </c>
      <c r="K55" s="480"/>
      <c r="L55" s="480"/>
      <c r="M55" s="480"/>
      <c r="N55" s="397" t="str">
        <f t="shared" si="5"/>
        <v/>
      </c>
      <c r="O55" s="723"/>
      <c r="P55" s="398" t="str">
        <f t="shared" si="8"/>
        <v/>
      </c>
      <c r="Q55" s="256" t="str">
        <f t="shared" si="9"/>
        <v/>
      </c>
      <c r="R55" s="256" t="str">
        <f t="shared" si="10"/>
        <v/>
      </c>
      <c r="S55" s="256" t="str">
        <f t="shared" si="6"/>
        <v/>
      </c>
      <c r="T55" s="259" t="str">
        <f t="shared" si="11"/>
        <v/>
      </c>
      <c r="U55" s="257" t="str">
        <f t="shared" si="12"/>
        <v/>
      </c>
      <c r="V55" s="256" t="str">
        <f t="shared" si="7"/>
        <v/>
      </c>
    </row>
    <row r="56" spans="2:22" x14ac:dyDescent="0.25">
      <c r="B56" s="209">
        <v>36</v>
      </c>
      <c r="C56" s="480"/>
      <c r="D56" s="480"/>
      <c r="E56" s="480"/>
      <c r="F56" s="482"/>
      <c r="G56" s="721"/>
      <c r="H56" s="482"/>
      <c r="I56" s="721"/>
      <c r="J56" s="208">
        <f t="shared" si="4"/>
        <v>0</v>
      </c>
      <c r="K56" s="480"/>
      <c r="L56" s="480"/>
      <c r="M56" s="480"/>
      <c r="N56" s="397" t="str">
        <f t="shared" si="5"/>
        <v/>
      </c>
      <c r="O56" s="723"/>
      <c r="P56" s="398" t="str">
        <f t="shared" si="8"/>
        <v/>
      </c>
      <c r="Q56" s="256" t="str">
        <f t="shared" si="9"/>
        <v/>
      </c>
      <c r="R56" s="256" t="str">
        <f t="shared" si="10"/>
        <v/>
      </c>
      <c r="S56" s="256" t="str">
        <f t="shared" si="6"/>
        <v/>
      </c>
      <c r="T56" s="259" t="str">
        <f t="shared" si="11"/>
        <v/>
      </c>
      <c r="U56" s="257" t="str">
        <f t="shared" si="12"/>
        <v/>
      </c>
      <c r="V56" s="256" t="str">
        <f t="shared" si="7"/>
        <v/>
      </c>
    </row>
    <row r="57" spans="2:22" x14ac:dyDescent="0.25">
      <c r="B57" s="209">
        <v>37</v>
      </c>
      <c r="C57" s="480"/>
      <c r="D57" s="480"/>
      <c r="E57" s="480"/>
      <c r="F57" s="482"/>
      <c r="G57" s="721"/>
      <c r="H57" s="482"/>
      <c r="I57" s="721"/>
      <c r="J57" s="208">
        <f t="shared" si="4"/>
        <v>0</v>
      </c>
      <c r="K57" s="480"/>
      <c r="L57" s="480"/>
      <c r="M57" s="480"/>
      <c r="N57" s="397" t="str">
        <f t="shared" si="5"/>
        <v/>
      </c>
      <c r="O57" s="723"/>
      <c r="P57" s="398" t="str">
        <f t="shared" si="8"/>
        <v/>
      </c>
      <c r="Q57" s="256" t="str">
        <f t="shared" si="9"/>
        <v/>
      </c>
      <c r="R57" s="256" t="str">
        <f t="shared" si="10"/>
        <v/>
      </c>
      <c r="S57" s="256" t="str">
        <f t="shared" si="6"/>
        <v/>
      </c>
      <c r="T57" s="259" t="str">
        <f t="shared" si="11"/>
        <v/>
      </c>
      <c r="U57" s="257" t="str">
        <f t="shared" si="12"/>
        <v/>
      </c>
      <c r="V57" s="256" t="str">
        <f t="shared" si="7"/>
        <v/>
      </c>
    </row>
    <row r="58" spans="2:22" x14ac:dyDescent="0.25">
      <c r="B58" s="209">
        <v>38</v>
      </c>
      <c r="C58" s="480"/>
      <c r="D58" s="480"/>
      <c r="E58" s="480"/>
      <c r="F58" s="482"/>
      <c r="G58" s="721"/>
      <c r="H58" s="482"/>
      <c r="I58" s="721"/>
      <c r="J58" s="208">
        <f t="shared" si="4"/>
        <v>0</v>
      </c>
      <c r="K58" s="480"/>
      <c r="L58" s="480"/>
      <c r="M58" s="480"/>
      <c r="N58" s="397" t="str">
        <f t="shared" si="5"/>
        <v/>
      </c>
      <c r="O58" s="723"/>
      <c r="P58" s="398" t="str">
        <f t="shared" si="8"/>
        <v/>
      </c>
      <c r="Q58" s="256" t="str">
        <f t="shared" si="9"/>
        <v/>
      </c>
      <c r="R58" s="256" t="str">
        <f t="shared" si="10"/>
        <v/>
      </c>
      <c r="S58" s="256" t="str">
        <f t="shared" si="6"/>
        <v/>
      </c>
      <c r="T58" s="259" t="str">
        <f t="shared" si="11"/>
        <v/>
      </c>
      <c r="U58" s="257" t="str">
        <f t="shared" si="12"/>
        <v/>
      </c>
      <c r="V58" s="256" t="str">
        <f t="shared" si="7"/>
        <v/>
      </c>
    </row>
    <row r="59" spans="2:22" x14ac:dyDescent="0.25">
      <c r="B59" s="209">
        <v>39</v>
      </c>
      <c r="C59" s="480"/>
      <c r="D59" s="480"/>
      <c r="E59" s="480"/>
      <c r="F59" s="482"/>
      <c r="G59" s="721"/>
      <c r="H59" s="482"/>
      <c r="I59" s="721"/>
      <c r="J59" s="208">
        <f t="shared" si="4"/>
        <v>0</v>
      </c>
      <c r="K59" s="480"/>
      <c r="L59" s="480"/>
      <c r="M59" s="480"/>
      <c r="N59" s="397" t="str">
        <f t="shared" si="5"/>
        <v/>
      </c>
      <c r="O59" s="723"/>
      <c r="P59" s="398" t="str">
        <f t="shared" si="8"/>
        <v/>
      </c>
      <c r="Q59" s="256" t="str">
        <f t="shared" si="9"/>
        <v/>
      </c>
      <c r="R59" s="256" t="str">
        <f t="shared" si="10"/>
        <v/>
      </c>
      <c r="S59" s="256" t="str">
        <f t="shared" si="6"/>
        <v/>
      </c>
      <c r="T59" s="259" t="str">
        <f t="shared" si="11"/>
        <v/>
      </c>
      <c r="U59" s="257" t="str">
        <f t="shared" si="12"/>
        <v/>
      </c>
      <c r="V59" s="256" t="str">
        <f t="shared" si="7"/>
        <v/>
      </c>
    </row>
    <row r="60" spans="2:22" x14ac:dyDescent="0.25">
      <c r="B60" s="209">
        <v>40</v>
      </c>
      <c r="C60" s="480"/>
      <c r="D60" s="480"/>
      <c r="E60" s="480"/>
      <c r="F60" s="482"/>
      <c r="G60" s="721"/>
      <c r="H60" s="482"/>
      <c r="I60" s="721"/>
      <c r="J60" s="208">
        <f t="shared" si="4"/>
        <v>0</v>
      </c>
      <c r="K60" s="480"/>
      <c r="L60" s="480"/>
      <c r="M60" s="480"/>
      <c r="N60" s="397" t="str">
        <f t="shared" si="5"/>
        <v/>
      </c>
      <c r="O60" s="723"/>
      <c r="P60" s="398" t="str">
        <f t="shared" si="8"/>
        <v/>
      </c>
      <c r="Q60" s="256" t="str">
        <f t="shared" si="9"/>
        <v/>
      </c>
      <c r="R60" s="256" t="str">
        <f t="shared" si="10"/>
        <v/>
      </c>
      <c r="S60" s="256" t="str">
        <f t="shared" si="6"/>
        <v/>
      </c>
      <c r="T60" s="259" t="str">
        <f t="shared" si="11"/>
        <v/>
      </c>
      <c r="U60" s="257" t="str">
        <f t="shared" si="12"/>
        <v/>
      </c>
      <c r="V60" s="256" t="str">
        <f t="shared" si="7"/>
        <v/>
      </c>
    </row>
    <row r="61" spans="2:22" x14ac:dyDescent="0.25">
      <c r="B61" s="209">
        <v>41</v>
      </c>
      <c r="C61" s="480"/>
      <c r="D61" s="480"/>
      <c r="E61" s="480"/>
      <c r="F61" s="482"/>
      <c r="G61" s="721"/>
      <c r="H61" s="482"/>
      <c r="I61" s="721"/>
      <c r="J61" s="208">
        <f t="shared" si="4"/>
        <v>0</v>
      </c>
      <c r="K61" s="480"/>
      <c r="L61" s="480"/>
      <c r="M61" s="480"/>
      <c r="N61" s="397" t="str">
        <f t="shared" si="5"/>
        <v/>
      </c>
      <c r="O61" s="723"/>
      <c r="P61" s="398" t="str">
        <f t="shared" si="8"/>
        <v/>
      </c>
      <c r="Q61" s="256" t="str">
        <f t="shared" si="9"/>
        <v/>
      </c>
      <c r="R61" s="256" t="str">
        <f t="shared" si="10"/>
        <v/>
      </c>
      <c r="S61" s="256" t="str">
        <f t="shared" si="6"/>
        <v/>
      </c>
      <c r="T61" s="259" t="str">
        <f t="shared" si="11"/>
        <v/>
      </c>
      <c r="U61" s="257" t="str">
        <f t="shared" si="12"/>
        <v/>
      </c>
      <c r="V61" s="256" t="str">
        <f t="shared" si="7"/>
        <v/>
      </c>
    </row>
    <row r="62" spans="2:22" x14ac:dyDescent="0.25">
      <c r="B62" s="209">
        <v>42</v>
      </c>
      <c r="C62" s="480"/>
      <c r="D62" s="480"/>
      <c r="E62" s="480"/>
      <c r="F62" s="482"/>
      <c r="G62" s="721"/>
      <c r="H62" s="482"/>
      <c r="I62" s="721"/>
      <c r="J62" s="208">
        <f t="shared" si="4"/>
        <v>0</v>
      </c>
      <c r="K62" s="480"/>
      <c r="L62" s="480"/>
      <c r="M62" s="480"/>
      <c r="N62" s="397" t="str">
        <f t="shared" si="5"/>
        <v/>
      </c>
      <c r="O62" s="723"/>
      <c r="P62" s="398" t="str">
        <f t="shared" si="8"/>
        <v/>
      </c>
      <c r="Q62" s="256" t="str">
        <f t="shared" si="9"/>
        <v/>
      </c>
      <c r="R62" s="256" t="str">
        <f t="shared" si="10"/>
        <v/>
      </c>
      <c r="S62" s="256" t="str">
        <f t="shared" si="6"/>
        <v/>
      </c>
      <c r="T62" s="259" t="str">
        <f t="shared" si="11"/>
        <v/>
      </c>
      <c r="U62" s="257" t="str">
        <f t="shared" si="12"/>
        <v/>
      </c>
      <c r="V62" s="256" t="str">
        <f t="shared" si="7"/>
        <v/>
      </c>
    </row>
    <row r="63" spans="2:22" x14ac:dyDescent="0.25">
      <c r="B63" s="209">
        <v>43</v>
      </c>
      <c r="C63" s="480"/>
      <c r="D63" s="480"/>
      <c r="E63" s="480"/>
      <c r="F63" s="482"/>
      <c r="G63" s="721"/>
      <c r="H63" s="482"/>
      <c r="I63" s="721"/>
      <c r="J63" s="208">
        <f t="shared" si="4"/>
        <v>0</v>
      </c>
      <c r="K63" s="480"/>
      <c r="L63" s="480"/>
      <c r="M63" s="480"/>
      <c r="N63" s="397" t="str">
        <f t="shared" si="5"/>
        <v/>
      </c>
      <c r="O63" s="723"/>
      <c r="P63" s="398" t="str">
        <f t="shared" si="8"/>
        <v/>
      </c>
      <c r="Q63" s="256" t="str">
        <f t="shared" si="9"/>
        <v/>
      </c>
      <c r="R63" s="256" t="str">
        <f t="shared" si="10"/>
        <v/>
      </c>
      <c r="S63" s="256" t="str">
        <f t="shared" si="6"/>
        <v/>
      </c>
      <c r="T63" s="259" t="str">
        <f t="shared" si="11"/>
        <v/>
      </c>
      <c r="U63" s="257" t="str">
        <f t="shared" si="12"/>
        <v/>
      </c>
      <c r="V63" s="256" t="str">
        <f t="shared" si="7"/>
        <v/>
      </c>
    </row>
    <row r="64" spans="2:22" x14ac:dyDescent="0.25">
      <c r="B64" s="209">
        <v>44</v>
      </c>
      <c r="C64" s="480"/>
      <c r="D64" s="480"/>
      <c r="E64" s="480"/>
      <c r="F64" s="482"/>
      <c r="G64" s="721"/>
      <c r="H64" s="482"/>
      <c r="I64" s="721"/>
      <c r="J64" s="208">
        <f t="shared" si="4"/>
        <v>0</v>
      </c>
      <c r="K64" s="480"/>
      <c r="L64" s="480"/>
      <c r="M64" s="480"/>
      <c r="N64" s="397" t="str">
        <f t="shared" si="5"/>
        <v/>
      </c>
      <c r="O64" s="723"/>
      <c r="P64" s="398" t="str">
        <f t="shared" si="8"/>
        <v/>
      </c>
      <c r="Q64" s="256" t="str">
        <f t="shared" si="9"/>
        <v/>
      </c>
      <c r="R64" s="256" t="str">
        <f t="shared" si="10"/>
        <v/>
      </c>
      <c r="S64" s="256" t="str">
        <f t="shared" si="6"/>
        <v/>
      </c>
      <c r="T64" s="259" t="str">
        <f t="shared" si="11"/>
        <v/>
      </c>
      <c r="U64" s="257" t="str">
        <f t="shared" si="12"/>
        <v/>
      </c>
      <c r="V64" s="256" t="str">
        <f t="shared" si="7"/>
        <v/>
      </c>
    </row>
    <row r="65" spans="2:22" x14ac:dyDescent="0.25">
      <c r="B65" s="209">
        <v>45</v>
      </c>
      <c r="C65" s="480"/>
      <c r="D65" s="480"/>
      <c r="E65" s="480"/>
      <c r="F65" s="482"/>
      <c r="G65" s="721"/>
      <c r="H65" s="482"/>
      <c r="I65" s="721"/>
      <c r="J65" s="208">
        <f t="shared" si="4"/>
        <v>0</v>
      </c>
      <c r="K65" s="480"/>
      <c r="L65" s="480"/>
      <c r="M65" s="480"/>
      <c r="N65" s="397" t="str">
        <f t="shared" si="5"/>
        <v/>
      </c>
      <c r="O65" s="723"/>
      <c r="P65" s="398" t="str">
        <f t="shared" si="8"/>
        <v/>
      </c>
      <c r="Q65" s="256" t="str">
        <f t="shared" si="9"/>
        <v/>
      </c>
      <c r="R65" s="256" t="str">
        <f t="shared" si="10"/>
        <v/>
      </c>
      <c r="S65" s="256" t="str">
        <f t="shared" si="6"/>
        <v/>
      </c>
      <c r="T65" s="259" t="str">
        <f t="shared" si="11"/>
        <v/>
      </c>
      <c r="U65" s="257" t="str">
        <f t="shared" si="12"/>
        <v/>
      </c>
      <c r="V65" s="256" t="str">
        <f t="shared" si="7"/>
        <v/>
      </c>
    </row>
    <row r="66" spans="2:22" x14ac:dyDescent="0.25">
      <c r="B66" s="209">
        <v>46</v>
      </c>
      <c r="C66" s="480"/>
      <c r="D66" s="480"/>
      <c r="E66" s="480"/>
      <c r="F66" s="482"/>
      <c r="G66" s="721"/>
      <c r="H66" s="482"/>
      <c r="I66" s="721"/>
      <c r="J66" s="208">
        <f t="shared" si="4"/>
        <v>0</v>
      </c>
      <c r="K66" s="480"/>
      <c r="L66" s="480"/>
      <c r="M66" s="480"/>
      <c r="N66" s="397" t="str">
        <f t="shared" si="5"/>
        <v/>
      </c>
      <c r="O66" s="723"/>
      <c r="P66" s="398" t="str">
        <f t="shared" si="8"/>
        <v/>
      </c>
      <c r="Q66" s="256" t="str">
        <f t="shared" si="9"/>
        <v/>
      </c>
      <c r="R66" s="256" t="str">
        <f t="shared" si="10"/>
        <v/>
      </c>
      <c r="S66" s="256" t="str">
        <f t="shared" si="6"/>
        <v/>
      </c>
      <c r="T66" s="259" t="str">
        <f t="shared" si="11"/>
        <v/>
      </c>
      <c r="U66" s="257" t="str">
        <f t="shared" si="12"/>
        <v/>
      </c>
      <c r="V66" s="256" t="str">
        <f t="shared" si="7"/>
        <v/>
      </c>
    </row>
    <row r="67" spans="2:22" x14ac:dyDescent="0.25">
      <c r="B67" s="209">
        <v>47</v>
      </c>
      <c r="C67" s="480"/>
      <c r="D67" s="480"/>
      <c r="E67" s="480"/>
      <c r="F67" s="482"/>
      <c r="G67" s="721"/>
      <c r="H67" s="482"/>
      <c r="I67" s="721"/>
      <c r="J67" s="208">
        <f t="shared" si="4"/>
        <v>0</v>
      </c>
      <c r="K67" s="480"/>
      <c r="L67" s="480"/>
      <c r="M67" s="480"/>
      <c r="N67" s="397" t="str">
        <f t="shared" si="5"/>
        <v/>
      </c>
      <c r="O67" s="723"/>
      <c r="P67" s="398" t="str">
        <f t="shared" si="8"/>
        <v/>
      </c>
      <c r="Q67" s="256" t="str">
        <f t="shared" si="9"/>
        <v/>
      </c>
      <c r="R67" s="256" t="str">
        <f t="shared" si="10"/>
        <v/>
      </c>
      <c r="S67" s="256" t="str">
        <f t="shared" si="6"/>
        <v/>
      </c>
      <c r="T67" s="259" t="str">
        <f t="shared" si="11"/>
        <v/>
      </c>
      <c r="U67" s="257" t="str">
        <f t="shared" si="12"/>
        <v/>
      </c>
      <c r="V67" s="256" t="str">
        <f t="shared" si="7"/>
        <v/>
      </c>
    </row>
    <row r="68" spans="2:22" x14ac:dyDescent="0.25">
      <c r="B68" s="209">
        <v>48</v>
      </c>
      <c r="C68" s="480"/>
      <c r="D68" s="480"/>
      <c r="E68" s="480"/>
      <c r="F68" s="482"/>
      <c r="G68" s="721"/>
      <c r="H68" s="482"/>
      <c r="I68" s="721"/>
      <c r="J68" s="208">
        <f t="shared" si="4"/>
        <v>0</v>
      </c>
      <c r="K68" s="480"/>
      <c r="L68" s="480"/>
      <c r="M68" s="480"/>
      <c r="N68" s="397" t="str">
        <f t="shared" si="5"/>
        <v/>
      </c>
      <c r="O68" s="723"/>
      <c r="P68" s="398" t="str">
        <f t="shared" si="8"/>
        <v/>
      </c>
      <c r="Q68" s="256" t="str">
        <f t="shared" si="9"/>
        <v/>
      </c>
      <c r="R68" s="256" t="str">
        <f t="shared" si="10"/>
        <v/>
      </c>
      <c r="S68" s="256" t="str">
        <f t="shared" si="6"/>
        <v/>
      </c>
      <c r="T68" s="259" t="str">
        <f t="shared" si="11"/>
        <v/>
      </c>
      <c r="U68" s="257" t="str">
        <f t="shared" si="12"/>
        <v/>
      </c>
      <c r="V68" s="256" t="str">
        <f t="shared" si="7"/>
        <v/>
      </c>
    </row>
    <row r="69" spans="2:22" x14ac:dyDescent="0.25">
      <c r="B69" s="209">
        <v>49</v>
      </c>
      <c r="C69" s="480"/>
      <c r="D69" s="480"/>
      <c r="E69" s="480"/>
      <c r="F69" s="482"/>
      <c r="G69" s="721"/>
      <c r="H69" s="482"/>
      <c r="I69" s="721"/>
      <c r="J69" s="208">
        <f t="shared" si="4"/>
        <v>0</v>
      </c>
      <c r="K69" s="480"/>
      <c r="L69" s="480"/>
      <c r="M69" s="480"/>
      <c r="N69" s="397" t="str">
        <f t="shared" si="5"/>
        <v/>
      </c>
      <c r="O69" s="723"/>
      <c r="P69" s="398" t="str">
        <f t="shared" si="8"/>
        <v/>
      </c>
      <c r="Q69" s="256" t="str">
        <f t="shared" si="9"/>
        <v/>
      </c>
      <c r="R69" s="256" t="str">
        <f t="shared" si="10"/>
        <v/>
      </c>
      <c r="S69" s="256" t="str">
        <f t="shared" si="6"/>
        <v/>
      </c>
      <c r="T69" s="259" t="str">
        <f t="shared" si="11"/>
        <v/>
      </c>
      <c r="U69" s="257" t="str">
        <f t="shared" si="12"/>
        <v/>
      </c>
      <c r="V69" s="256" t="str">
        <f t="shared" si="7"/>
        <v/>
      </c>
    </row>
    <row r="70" spans="2:22" x14ac:dyDescent="0.25">
      <c r="B70" s="209">
        <v>50</v>
      </c>
      <c r="C70" s="480"/>
      <c r="D70" s="480"/>
      <c r="E70" s="480"/>
      <c r="F70" s="482"/>
      <c r="G70" s="721"/>
      <c r="H70" s="482"/>
      <c r="I70" s="721"/>
      <c r="J70" s="208">
        <f t="shared" si="4"/>
        <v>0</v>
      </c>
      <c r="K70" s="480"/>
      <c r="L70" s="480"/>
      <c r="M70" s="480"/>
      <c r="N70" s="397" t="str">
        <f t="shared" si="5"/>
        <v/>
      </c>
      <c r="O70" s="723"/>
      <c r="P70" s="398" t="str">
        <f t="shared" si="8"/>
        <v/>
      </c>
      <c r="Q70" s="256" t="str">
        <f t="shared" si="9"/>
        <v/>
      </c>
      <c r="R70" s="256" t="str">
        <f t="shared" si="10"/>
        <v/>
      </c>
      <c r="S70" s="256" t="str">
        <f t="shared" si="6"/>
        <v/>
      </c>
      <c r="T70" s="259" t="str">
        <f t="shared" si="11"/>
        <v/>
      </c>
      <c r="U70" s="257" t="str">
        <f t="shared" si="12"/>
        <v/>
      </c>
      <c r="V70" s="256" t="str">
        <f t="shared" si="7"/>
        <v/>
      </c>
    </row>
    <row r="71" spans="2:22" x14ac:dyDescent="0.25">
      <c r="J71" s="246">
        <f>SUM(J21:J70)</f>
        <v>0</v>
      </c>
      <c r="Q71" s="246">
        <f t="shared" ref="Q71:V71" si="13">SUM(Q21:Q70)</f>
        <v>0</v>
      </c>
      <c r="R71" s="246">
        <f t="shared" si="13"/>
        <v>0</v>
      </c>
      <c r="S71" s="246">
        <f t="shared" si="13"/>
        <v>0</v>
      </c>
      <c r="T71" s="267">
        <f t="shared" si="13"/>
        <v>0</v>
      </c>
      <c r="U71" s="258">
        <f t="shared" si="13"/>
        <v>0</v>
      </c>
      <c r="V71" s="246">
        <f t="shared" si="13"/>
        <v>0</v>
      </c>
    </row>
    <row r="95" spans="2:2" x14ac:dyDescent="0.25">
      <c r="B95" s="266" t="s">
        <v>632</v>
      </c>
    </row>
    <row r="96" spans="2:2" hidden="1" x14ac:dyDescent="0.25"/>
    <row r="97" spans="2:8" hidden="1" x14ac:dyDescent="0.25">
      <c r="B97" s="1001" t="s">
        <v>344</v>
      </c>
      <c r="C97" s="1001"/>
      <c r="D97" s="1001"/>
      <c r="E97" s="1001"/>
      <c r="F97" s="1022" t="s">
        <v>367</v>
      </c>
      <c r="G97" s="1022"/>
      <c r="H97" s="1022"/>
    </row>
  </sheetData>
  <sheetProtection algorithmName="SHA-512" hashValue="OhuIXJqYrdoxl6PdpthSqyTbFLOMqb5BG05kv8Jw8qiWqD//tqbUiUIT3SYgiORrQhl+vz6d+ue48UxaL0W0dQ==" saltValue="XjAftbXdoB3TS13pX1/w6w==" spinCount="100000" sheet="1" objects="1" scenarios="1"/>
  <mergeCells count="40">
    <mergeCell ref="B97:E97"/>
    <mergeCell ref="B11:E11"/>
    <mergeCell ref="B13:E13"/>
    <mergeCell ref="B14:E14"/>
    <mergeCell ref="B15:E15"/>
    <mergeCell ref="B17:E17"/>
    <mergeCell ref="Q19:V19"/>
    <mergeCell ref="O19:P19"/>
    <mergeCell ref="F97:H97"/>
    <mergeCell ref="F4:H4"/>
    <mergeCell ref="F8:H8"/>
    <mergeCell ref="F9:H9"/>
    <mergeCell ref="F6:H6"/>
    <mergeCell ref="F10:H10"/>
    <mergeCell ref="F11:H11"/>
    <mergeCell ref="F5:H5"/>
    <mergeCell ref="F7:H7"/>
    <mergeCell ref="F14:H14"/>
    <mergeCell ref="F13:H13"/>
    <mergeCell ref="F15:H15"/>
    <mergeCell ref="F17:H17"/>
    <mergeCell ref="F20:G20"/>
    <mergeCell ref="H20:I20"/>
    <mergeCell ref="B2:E2"/>
    <mergeCell ref="B3:E3"/>
    <mergeCell ref="B4:E4"/>
    <mergeCell ref="B5:E5"/>
    <mergeCell ref="B7:E7"/>
    <mergeCell ref="B8:E8"/>
    <mergeCell ref="B9:E9"/>
    <mergeCell ref="F2:H2"/>
    <mergeCell ref="F3:H3"/>
    <mergeCell ref="B6:E6"/>
    <mergeCell ref="AK2:AO2"/>
    <mergeCell ref="AK3:AK4"/>
    <mergeCell ref="AM3:AO3"/>
    <mergeCell ref="L2:M2"/>
    <mergeCell ref="B10:E10"/>
    <mergeCell ref="R3:V17"/>
    <mergeCell ref="R2:V2"/>
  </mergeCells>
  <conditionalFormatting sqref="B19">
    <cfRule type="expression" dxfId="59" priority="13">
      <formula>$B$19&lt;&gt;""</formula>
    </cfRule>
  </conditionalFormatting>
  <conditionalFormatting sqref="B19:F19">
    <cfRule type="expression" dxfId="58" priority="10">
      <formula>$B$19&lt;&gt;""</formula>
    </cfRule>
  </conditionalFormatting>
  <conditionalFormatting sqref="B8:H8">
    <cfRule type="expression" dxfId="57" priority="196">
      <formula>$F$7="Electric Heat Only"</formula>
    </cfRule>
    <cfRule type="expression" dxfId="56" priority="197">
      <formula>$AH$16="Electric"</formula>
    </cfRule>
  </conditionalFormatting>
  <conditionalFormatting sqref="B11:H11">
    <cfRule type="expression" dxfId="55" priority="198">
      <formula>$F$7=""</formula>
    </cfRule>
    <cfRule type="expression" dxfId="54" priority="199">
      <formula>$F$7="Electric Heat Only"</formula>
    </cfRule>
    <cfRule type="expression" dxfId="53" priority="200">
      <formula>$F$7="Fuel Heat Only"</formula>
    </cfRule>
    <cfRule type="expression" dxfId="52" priority="201">
      <formula>$F$7="AC With Fuel Heat"</formula>
    </cfRule>
  </conditionalFormatting>
  <conditionalFormatting sqref="B9:I9">
    <cfRule type="expression" dxfId="51" priority="202">
      <formula>$F$7="Electric Heat Only"</formula>
    </cfRule>
    <cfRule type="expression" dxfId="50" priority="203">
      <formula>$F$7="Fuel Heat Only"</formula>
    </cfRule>
  </conditionalFormatting>
  <conditionalFormatting sqref="B10:I10">
    <cfRule type="expression" dxfId="49" priority="205">
      <formula>$F$7="Fuel Heat Only"</formula>
    </cfRule>
  </conditionalFormatting>
  <conditionalFormatting sqref="B10:I11">
    <cfRule type="expression" dxfId="48" priority="8">
      <formula>$F$7="Electric Heat Only"</formula>
    </cfRule>
  </conditionalFormatting>
  <conditionalFormatting sqref="B11:I11">
    <cfRule type="expression" dxfId="47" priority="7">
      <formula>$F$7="AC With Electric Heat"</formula>
    </cfRule>
    <cfRule type="expression" dxfId="46" priority="22">
      <formula>$AH$16="Fossil"</formula>
    </cfRule>
  </conditionalFormatting>
  <conditionalFormatting sqref="I9">
    <cfRule type="expression" dxfId="45" priority="41">
      <formula>$I$9&lt;&gt;""</formula>
    </cfRule>
  </conditionalFormatting>
  <conditionalFormatting sqref="M3">
    <cfRule type="expression" dxfId="44" priority="4">
      <formula>$M$3=0</formula>
    </cfRule>
  </conditionalFormatting>
  <conditionalFormatting sqref="M4">
    <cfRule type="expression" dxfId="43" priority="3">
      <formula>$M$4=0</formula>
    </cfRule>
  </conditionalFormatting>
  <conditionalFormatting sqref="M5">
    <cfRule type="expression" dxfId="42" priority="2">
      <formula>$M$5=0</formula>
    </cfRule>
  </conditionalFormatting>
  <conditionalFormatting sqref="M6">
    <cfRule type="expression" dxfId="41" priority="1">
      <formula>$M$6=0</formula>
    </cfRule>
  </conditionalFormatting>
  <conditionalFormatting sqref="M7">
    <cfRule type="expression" dxfId="40" priority="6">
      <formula>$M$7=0</formula>
    </cfRule>
  </conditionalFormatting>
  <conditionalFormatting sqref="M8">
    <cfRule type="expression" dxfId="39" priority="5">
      <formula>$M$8=0</formula>
    </cfRule>
  </conditionalFormatting>
  <conditionalFormatting sqref="P21:V70">
    <cfRule type="expression" dxfId="38" priority="179">
      <formula>$T21="No"</formula>
    </cfRule>
  </conditionalFormatting>
  <dataValidations count="6">
    <dataValidation type="list" allowBlank="1" showInputMessage="1" showErrorMessage="1" sqref="F7" xr:uid="{3A8FE018-3DA6-488D-B6AF-CBF1D88D5530}">
      <formula1>$AE$3:$AE$7</formula1>
    </dataValidation>
    <dataValidation type="list" allowBlank="1" showInputMessage="1" showErrorMessage="1" sqref="L21:M70" xr:uid="{FDF7E2E2-17D5-4E66-9206-767DFAB0A2A9}">
      <formula1>"Yes, No"</formula1>
    </dataValidation>
    <dataValidation type="list" allowBlank="1" showInputMessage="1" showErrorMessage="1" sqref="G21:G70 I21:I70" xr:uid="{92368F5E-4DEB-43AC-B06D-FAC0BEBB08A2}">
      <formula1>$AE$10:$AE$11</formula1>
    </dataValidation>
    <dataValidation type="list" allowBlank="1" showInputMessage="1" showErrorMessage="1" sqref="F97" xr:uid="{EEF0E281-DE3C-49B0-9CFD-2913976ABEB7}">
      <formula1>$AB$3:$AB$4</formula1>
    </dataValidation>
    <dataValidation type="list" allowBlank="1" showInputMessage="1" showErrorMessage="1" sqref="K21:K70" xr:uid="{75428797-DC81-43AF-AAE6-E96B1E6D07B1}">
      <formula1>$AK$5:$AK$8</formula1>
    </dataValidation>
    <dataValidation type="list" allowBlank="1" showInputMessage="1" showErrorMessage="1" sqref="F6:H6" xr:uid="{6F39EF75-A8D0-4BC4-AC27-B081BE934EC7}">
      <formula1>$AB$19:$AB$20</formula1>
    </dataValidation>
  </dataValidations>
  <pageMargins left="0.7" right="0.7" top="0.75" bottom="0.75" header="0.3" footer="0.3"/>
  <pageSetup scale="47" orientation="landscape" r:id="rId1"/>
  <headerFooter>
    <oddFooter>&amp;RDOORS</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CE827-4E69-43B5-841E-8356DA94FFDA}">
  <sheetPr>
    <tabColor theme="9" tint="0.39997558519241921"/>
    <pageSetUpPr fitToPage="1"/>
  </sheetPr>
  <dimension ref="B2:S40"/>
  <sheetViews>
    <sheetView zoomScaleNormal="100" workbookViewId="0">
      <selection activeCell="C5" sqref="C5"/>
    </sheetView>
  </sheetViews>
  <sheetFormatPr defaultColWidth="9.140625" defaultRowHeight="15" x14ac:dyDescent="0.25"/>
  <cols>
    <col min="1" max="1" width="4.140625" style="1" customWidth="1"/>
    <col min="2" max="2" width="54.5703125" style="1" customWidth="1"/>
    <col min="3" max="3" width="22.140625" style="1" customWidth="1"/>
    <col min="4" max="4" width="4.5703125" style="1" customWidth="1"/>
    <col min="5" max="9" width="9.140625" style="1"/>
    <col min="10" max="10" width="11.28515625" style="1" customWidth="1"/>
    <col min="11" max="11" width="6.28515625" style="1" customWidth="1"/>
    <col min="12" max="12" width="9.28515625" style="1" customWidth="1"/>
    <col min="13" max="13" width="9.140625" style="1"/>
    <col min="14" max="14" width="20.42578125" style="1" hidden="1" customWidth="1"/>
    <col min="15" max="15" width="9.140625" style="1" hidden="1" customWidth="1"/>
    <col min="16" max="16" width="20.140625" style="1" hidden="1" customWidth="1"/>
    <col min="17" max="19" width="9.140625" style="1" hidden="1" customWidth="1"/>
    <col min="20" max="20" width="9.140625" style="1" customWidth="1"/>
    <col min="21" max="16384" width="9.140625" style="1"/>
  </cols>
  <sheetData>
    <row r="2" spans="2:17" x14ac:dyDescent="0.25">
      <c r="B2" s="113" t="s">
        <v>93</v>
      </c>
      <c r="C2" s="121" t="str">
        <f>IF('App Cust Info'!$K$18="","","AIR CURTAIN")</f>
        <v/>
      </c>
      <c r="N2" s="380" t="s">
        <v>426</v>
      </c>
      <c r="P2" s="260" t="s">
        <v>354</v>
      </c>
      <c r="Q2" s="336" t="str">
        <f>IF($C$2="", "", IF(OR($C$6="AC With Electric Heat", $C$6="Air Source Heat Pump", $C$6="Electric Heat Only"), "Electric", "Fossil"))</f>
        <v/>
      </c>
    </row>
    <row r="3" spans="2:17" x14ac:dyDescent="0.25">
      <c r="B3" s="113" t="s">
        <v>334</v>
      </c>
      <c r="C3" s="111" t="str">
        <f>IF('App Cust Info'!$K$18="", "", 'App Cust Info'!$K$18)</f>
        <v/>
      </c>
      <c r="N3" s="381" t="s">
        <v>428</v>
      </c>
      <c r="P3" s="260" t="s">
        <v>568</v>
      </c>
      <c r="Q3" s="336" t="str">
        <f>IF($C$2="", "", IF(OR($C$6="AC With Electric Heat", $C$6="Air Source Heat Pump", $C$6="AC With Fuel Heat"), "Electric", "None"))</f>
        <v/>
      </c>
    </row>
    <row r="4" spans="2:17" x14ac:dyDescent="0.25">
      <c r="B4" s="113" t="s">
        <v>414</v>
      </c>
      <c r="C4" s="111" t="str">
        <f>IF($C$2="", "", IFERROR(VLOOKUP($C$3,'Zip Lookup'!$B$6:$G$2214, 2,FALSE),""))</f>
        <v/>
      </c>
      <c r="N4" s="381" t="s">
        <v>434</v>
      </c>
    </row>
    <row r="5" spans="2:17" x14ac:dyDescent="0.25">
      <c r="B5" s="112" t="s">
        <v>99</v>
      </c>
      <c r="C5" s="707"/>
      <c r="N5" s="381" t="s">
        <v>435</v>
      </c>
    </row>
    <row r="6" spans="2:17" x14ac:dyDescent="0.25">
      <c r="B6" s="113" t="s">
        <v>442</v>
      </c>
      <c r="C6" s="717"/>
      <c r="D6" s="1" t="str">
        <f>IF(AND($C$4="NYC", $Q$2="Electric"), "National Grid does not serve the electricity market in NYC/LI.","")</f>
        <v/>
      </c>
      <c r="N6" s="381" t="s">
        <v>436</v>
      </c>
    </row>
    <row r="7" spans="2:17" x14ac:dyDescent="0.25">
      <c r="B7" s="112" t="s">
        <v>350</v>
      </c>
      <c r="C7" s="111" t="str">
        <f>IF('App Cust Info'!$H$21="", "", 'App Cust Info'!$H$21)</f>
        <v/>
      </c>
      <c r="N7" s="381" t="s">
        <v>437</v>
      </c>
    </row>
    <row r="8" spans="2:17" x14ac:dyDescent="0.25">
      <c r="B8" s="112" t="s">
        <v>633</v>
      </c>
      <c r="C8" s="750"/>
    </row>
    <row r="9" spans="2:17" x14ac:dyDescent="0.25">
      <c r="B9" s="112" t="s">
        <v>634</v>
      </c>
      <c r="C9" s="751"/>
      <c r="N9" s="73" t="s">
        <v>395</v>
      </c>
    </row>
    <row r="10" spans="2:17" x14ac:dyDescent="0.25">
      <c r="B10" s="337" t="s">
        <v>635</v>
      </c>
      <c r="C10" s="751"/>
      <c r="N10" s="264" t="str">
        <f>IF($C$2="", "", IFERROR($C$7,""))</f>
        <v/>
      </c>
    </row>
    <row r="11" spans="2:17" x14ac:dyDescent="0.25">
      <c r="B11" s="112" t="s">
        <v>636</v>
      </c>
      <c r="C11" s="752"/>
    </row>
    <row r="12" spans="2:17" ht="16.5" customHeight="1" x14ac:dyDescent="0.25">
      <c r="B12" s="112" t="s">
        <v>637</v>
      </c>
      <c r="C12" s="753"/>
      <c r="N12" s="73" t="s">
        <v>374</v>
      </c>
    </row>
    <row r="13" spans="2:17" ht="15" customHeight="1" x14ac:dyDescent="0.25">
      <c r="B13" s="112" t="s">
        <v>638</v>
      </c>
      <c r="C13" s="754"/>
      <c r="D13" s="305" t="str">
        <f>IF($C$13="", "If unknown, leave blank.","")</f>
        <v>If unknown, leave blank.</v>
      </c>
      <c r="N13" s="264" t="s">
        <v>378</v>
      </c>
    </row>
    <row r="14" spans="2:17" ht="15" customHeight="1" x14ac:dyDescent="0.25">
      <c r="B14" s="112" t="s">
        <v>639</v>
      </c>
      <c r="C14" s="754"/>
      <c r="D14" s="305" t="str">
        <f>IF($C$14="", "If unknown, leave blank.","")</f>
        <v>If unknown, leave blank.</v>
      </c>
      <c r="N14" s="264" t="s">
        <v>380</v>
      </c>
    </row>
    <row r="15" spans="2:17" ht="18" x14ac:dyDescent="0.25">
      <c r="B15" s="112" t="s">
        <v>640</v>
      </c>
      <c r="C15" s="755"/>
      <c r="N15" s="73" t="s">
        <v>609</v>
      </c>
      <c r="O15" s="73" t="str">
        <f>IF($C$2="", "", IFERROR($C$5,""))</f>
        <v/>
      </c>
    </row>
    <row r="16" spans="2:17" ht="15" customHeight="1" x14ac:dyDescent="0.25">
      <c r="B16" s="112" t="s">
        <v>641</v>
      </c>
      <c r="C16" s="756"/>
    </row>
    <row r="17" spans="2:14" x14ac:dyDescent="0.25">
      <c r="B17" s="112" t="s">
        <v>642</v>
      </c>
      <c r="C17" s="756"/>
      <c r="N17" s="73" t="s">
        <v>608</v>
      </c>
    </row>
    <row r="18" spans="2:14" x14ac:dyDescent="0.25">
      <c r="N18" s="264" t="str">
        <f>IF($C$2="", "", IFERROR(IF($C$4="NYC", "KEDLI/KEDNY "&amp;$C$5, IF(OR($C$6="Fuel Heat Only", $C$6="AC With Fuel Heat"), "NIMO GAS "&amp;$C$5, "NIMO ELECTRIC "&amp;$C$5)),""))</f>
        <v/>
      </c>
    </row>
    <row r="19" spans="2:14" x14ac:dyDescent="0.25">
      <c r="B19" s="112" t="s">
        <v>122</v>
      </c>
      <c r="C19" s="720"/>
    </row>
    <row r="20" spans="2:14" x14ac:dyDescent="0.25">
      <c r="B20" s="112" t="s">
        <v>449</v>
      </c>
      <c r="C20" s="720"/>
    </row>
    <row r="21" spans="2:14" x14ac:dyDescent="0.25">
      <c r="B21" s="112" t="s">
        <v>126</v>
      </c>
      <c r="C21" s="110" t="str">
        <f>IF($C$2="", "", IFERROR($C$19+$C$20,""))</f>
        <v/>
      </c>
    </row>
    <row r="23" spans="2:14" x14ac:dyDescent="0.25">
      <c r="B23" s="202" t="s">
        <v>643</v>
      </c>
      <c r="C23" s="370" t="str" cm="1">
        <f t="array" ref="C23">IF($C$2="","",IFERROR(IF($D$6&lt;&gt;"", "N/A", INDEX('AIR CURTAIN INCENTIVES'!$I$4:$I$15,MATCH(1,('AIR CURTAIN INCENTIVES'!$B$4:$B$15=$N$18)*('AIR CURTAIN INCENTIVES'!$D$4:$D$15=$C$7),0))),""))</f>
        <v/>
      </c>
    </row>
    <row r="24" spans="2:14" x14ac:dyDescent="0.25">
      <c r="B24" s="146" t="str">
        <f>'App Cust Info'!K66</f>
        <v>V1.0 4/2/26</v>
      </c>
    </row>
    <row r="25" spans="2:14" x14ac:dyDescent="0.25">
      <c r="B25" s="403" t="s">
        <v>94</v>
      </c>
      <c r="C25" s="404"/>
    </row>
    <row r="26" spans="2:14" x14ac:dyDescent="0.25">
      <c r="B26" s="986"/>
      <c r="C26" s="988"/>
    </row>
    <row r="27" spans="2:14" x14ac:dyDescent="0.25">
      <c r="B27" s="989"/>
      <c r="C27" s="991"/>
    </row>
    <row r="28" spans="2:14" x14ac:dyDescent="0.25">
      <c r="B28" s="989"/>
      <c r="C28" s="991"/>
    </row>
    <row r="29" spans="2:14" x14ac:dyDescent="0.25">
      <c r="B29" s="989"/>
      <c r="C29" s="991"/>
    </row>
    <row r="30" spans="2:14" x14ac:dyDescent="0.25">
      <c r="B30" s="989"/>
      <c r="C30" s="991"/>
    </row>
    <row r="31" spans="2:14" x14ac:dyDescent="0.25">
      <c r="B31" s="989"/>
      <c r="C31" s="991"/>
    </row>
    <row r="32" spans="2:14" x14ac:dyDescent="0.25">
      <c r="B32" s="989"/>
      <c r="C32" s="991"/>
    </row>
    <row r="33" spans="2:3" x14ac:dyDescent="0.25">
      <c r="B33" s="989"/>
      <c r="C33" s="991"/>
    </row>
    <row r="34" spans="2:3" x14ac:dyDescent="0.25">
      <c r="B34" s="989"/>
      <c r="C34" s="991"/>
    </row>
    <row r="35" spans="2:3" x14ac:dyDescent="0.25">
      <c r="B35" s="989"/>
      <c r="C35" s="991"/>
    </row>
    <row r="36" spans="2:3" x14ac:dyDescent="0.25">
      <c r="B36" s="989"/>
      <c r="C36" s="991"/>
    </row>
    <row r="37" spans="2:3" x14ac:dyDescent="0.25">
      <c r="B37" s="989"/>
      <c r="C37" s="991"/>
    </row>
    <row r="38" spans="2:3" x14ac:dyDescent="0.25">
      <c r="B38" s="989"/>
      <c r="C38" s="991"/>
    </row>
    <row r="39" spans="2:3" x14ac:dyDescent="0.25">
      <c r="B39" s="989"/>
      <c r="C39" s="991"/>
    </row>
    <row r="40" spans="2:3" x14ac:dyDescent="0.25">
      <c r="B40" s="992"/>
      <c r="C40" s="994"/>
    </row>
  </sheetData>
  <sheetProtection algorithmName="SHA-512" hashValue="6iRF2fPR8XdwzpU8QQFNoVsnRYOChg1GZ4Czko+LaUI+BGGvLi/ZMrvBEUgIHIhG4OR8N9LiPY6ZigTxouTj5g==" saltValue="OZisy8GUmo6Wqo2FESPvOw==" spinCount="100000" sheet="1" objects="1" scenarios="1"/>
  <mergeCells count="1">
    <mergeCell ref="B26:C40"/>
  </mergeCells>
  <conditionalFormatting sqref="C6:D6">
    <cfRule type="expression" dxfId="37" priority="2">
      <formula>$D$6&lt;&gt;""</formula>
    </cfRule>
  </conditionalFormatting>
  <conditionalFormatting sqref="D13:D14">
    <cfRule type="expression" dxfId="36" priority="4">
      <formula>$F$6="Electric Heat Only"</formula>
    </cfRule>
    <cfRule type="expression" dxfId="35" priority="5">
      <formula>$F$6="Fuel Heat Only"</formula>
    </cfRule>
  </conditionalFormatting>
  <conditionalFormatting sqref="D6:J6">
    <cfRule type="expression" dxfId="34" priority="1">
      <formula>$D$6&lt;&gt;""</formula>
    </cfRule>
  </conditionalFormatting>
  <dataValidations count="3">
    <dataValidation type="list" allowBlank="1" showInputMessage="1" showErrorMessage="1" sqref="C8" xr:uid="{387EDC2F-9372-4BDB-9573-CE60C6589489}">
      <formula1>"Yes, No"</formula1>
    </dataValidation>
    <dataValidation type="list" allowBlank="1" showInputMessage="1" showErrorMessage="1" sqref="C6" xr:uid="{BA0B29C3-8EB9-41E4-B00E-F91FF6640E0F}">
      <formula1>$N$3:$N$7</formula1>
    </dataValidation>
    <dataValidation type="list" allowBlank="1" showInputMessage="1" showErrorMessage="1" sqref="C5" xr:uid="{A722FB5B-4A09-4DB6-9F63-338AB09B51EB}">
      <formula1>$N$13:$N$14</formula1>
    </dataValidation>
  </dataValidations>
  <pageMargins left="0.7" right="0.7" top="0.75" bottom="0.75" header="0.3" footer="0.3"/>
  <pageSetup orientation="portrait" r:id="rId1"/>
  <headerFooter>
    <oddFooter>&amp;RAIR CURTAIN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29864-CA1A-4C4F-9C61-EF1BCC71281D}">
  <dimension ref="B1:I63"/>
  <sheetViews>
    <sheetView zoomScale="120" zoomScaleNormal="120" workbookViewId="0">
      <selection activeCell="C15" sqref="C15:I15"/>
    </sheetView>
  </sheetViews>
  <sheetFormatPr defaultColWidth="9.140625" defaultRowHeight="15" x14ac:dyDescent="0.25"/>
  <cols>
    <col min="1" max="1" width="4.42578125" style="163" customWidth="1"/>
    <col min="2" max="2" width="15.85546875" style="163" customWidth="1"/>
    <col min="3" max="3" width="13.42578125" style="163" customWidth="1"/>
    <col min="4" max="4" width="16" style="163" customWidth="1"/>
    <col min="5" max="6" width="9.140625" style="163"/>
    <col min="7" max="7" width="12.7109375" style="163" customWidth="1"/>
    <col min="8" max="8" width="19.140625" style="163" customWidth="1"/>
    <col min="9" max="9" width="16.140625" style="163" customWidth="1"/>
    <col min="10" max="16384" width="9.140625" style="163"/>
  </cols>
  <sheetData>
    <row r="1" spans="2:9" ht="15.75" x14ac:dyDescent="0.25">
      <c r="B1" s="1044" t="s">
        <v>48</v>
      </c>
      <c r="C1" s="1044"/>
      <c r="D1" s="1044"/>
      <c r="E1" s="1044"/>
      <c r="F1" s="1044"/>
      <c r="G1" s="1044"/>
      <c r="H1" s="1044"/>
      <c r="I1" s="1044"/>
    </row>
    <row r="2" spans="2:9" ht="15.75" x14ac:dyDescent="0.25">
      <c r="B2" s="147"/>
      <c r="C2" s="779"/>
      <c r="D2" s="779"/>
      <c r="E2" s="1055" t="str">
        <f>IFERROR(IF('Pipe Insulation'!$D$7=0, "", IF('Pipe Insulation'!$D$7="Large C &amp; I (LCI)", "New York - Electric and Gas Large Commercial and Industrial Program", "New York - Electric and Gas Small Business Program")),"")</f>
        <v/>
      </c>
      <c r="F2" s="1055"/>
      <c r="G2" s="1055"/>
      <c r="H2" s="1055"/>
      <c r="I2" s="1056"/>
    </row>
    <row r="3" spans="2:9" ht="23.25" x14ac:dyDescent="0.35">
      <c r="B3" s="148"/>
      <c r="C3" s="780"/>
      <c r="D3" s="780"/>
      <c r="E3" s="1057" t="s">
        <v>644</v>
      </c>
      <c r="F3" s="1057"/>
      <c r="G3" s="1057"/>
      <c r="H3" s="1057"/>
      <c r="I3" s="1058"/>
    </row>
    <row r="4" spans="2:9" ht="5.25" customHeight="1" x14ac:dyDescent="0.25">
      <c r="B4" s="99"/>
      <c r="C4" s="99"/>
      <c r="D4" s="99"/>
      <c r="E4" s="99"/>
      <c r="F4" s="99"/>
      <c r="G4" s="99"/>
      <c r="H4" s="99"/>
      <c r="I4" s="99"/>
    </row>
    <row r="5" spans="2:9" x14ac:dyDescent="0.25">
      <c r="B5" s="775" t="s">
        <v>645</v>
      </c>
      <c r="C5" s="781" t="str">
        <f>IF('App Cust Info'!$B$12="", "", 'App Cust Info'!$B$12)</f>
        <v/>
      </c>
      <c r="D5" s="777"/>
      <c r="E5" s="777"/>
      <c r="F5" s="777"/>
      <c r="G5" s="778"/>
      <c r="H5" s="775" t="s">
        <v>646</v>
      </c>
      <c r="I5" s="782" t="s">
        <v>367</v>
      </c>
    </row>
    <row r="6" spans="2:9" x14ac:dyDescent="0.25">
      <c r="B6" s="775" t="s">
        <v>134</v>
      </c>
      <c r="C6" s="776" t="str">
        <f>IF($C$5="", "", 'App Cust Info'!$B$18&amp;", "&amp;'App Cust Info'!$F$18&amp;", "&amp;'App Cust Info'!$I$18&amp;" "&amp;'App Cust Info'!$K$18)</f>
        <v/>
      </c>
      <c r="D6" s="777"/>
      <c r="E6" s="777"/>
      <c r="F6" s="777"/>
      <c r="G6" s="778"/>
      <c r="H6" s="775" t="s">
        <v>647</v>
      </c>
      <c r="I6" s="757"/>
    </row>
    <row r="7" spans="2:9" x14ac:dyDescent="0.25">
      <c r="B7" s="775" t="s">
        <v>648</v>
      </c>
      <c r="C7" s="776" t="str">
        <f>IF($C$5="","","Pipe Insulation")</f>
        <v/>
      </c>
      <c r="D7" s="777"/>
      <c r="E7" s="777"/>
      <c r="F7" s="777"/>
      <c r="G7" s="778"/>
      <c r="H7" s="775" t="s">
        <v>649</v>
      </c>
      <c r="I7" s="757"/>
    </row>
    <row r="8" spans="2:9" ht="6" customHeight="1" x14ac:dyDescent="0.25">
      <c r="B8" s="99"/>
      <c r="C8" s="99"/>
      <c r="D8" s="99"/>
      <c r="E8" s="99"/>
      <c r="F8" s="99"/>
      <c r="G8" s="99"/>
      <c r="H8" s="99"/>
      <c r="I8" s="99"/>
    </row>
    <row r="9" spans="2:9" ht="15" customHeight="1" x14ac:dyDescent="0.25">
      <c r="B9" s="1059" t="s">
        <v>650</v>
      </c>
      <c r="C9" s="1059"/>
      <c r="D9" s="1059"/>
      <c r="E9" s="1059"/>
      <c r="F9" s="1059"/>
      <c r="G9" s="1059"/>
      <c r="H9" s="1059"/>
      <c r="I9" s="1059"/>
    </row>
    <row r="10" spans="2:9" x14ac:dyDescent="0.25">
      <c r="B10" s="1059"/>
      <c r="C10" s="1059"/>
      <c r="D10" s="1059"/>
      <c r="E10" s="1059"/>
      <c r="F10" s="1059"/>
      <c r="G10" s="1059"/>
      <c r="H10" s="1059"/>
      <c r="I10" s="1059"/>
    </row>
    <row r="11" spans="2:9" x14ac:dyDescent="0.25">
      <c r="B11" s="1059"/>
      <c r="C11" s="1059"/>
      <c r="D11" s="1059"/>
      <c r="E11" s="1059"/>
      <c r="F11" s="1059"/>
      <c r="G11" s="1059"/>
      <c r="H11" s="1059"/>
      <c r="I11" s="1059"/>
    </row>
    <row r="12" spans="2:9" ht="6.75" customHeight="1" x14ac:dyDescent="0.25"/>
    <row r="13" spans="2:9" ht="27.75" customHeight="1" x14ac:dyDescent="0.25">
      <c r="B13" s="758" t="s">
        <v>651</v>
      </c>
      <c r="C13" s="1060" t="s">
        <v>652</v>
      </c>
      <c r="D13" s="1039"/>
      <c r="E13" s="1039"/>
      <c r="F13" s="1039"/>
      <c r="G13" s="1039"/>
      <c r="H13" s="1039"/>
      <c r="I13" s="1040"/>
    </row>
    <row r="14" spans="2:9" ht="15.75" x14ac:dyDescent="0.25">
      <c r="B14" s="761"/>
      <c r="C14" s="762" t="s">
        <v>653</v>
      </c>
      <c r="D14" s="763"/>
      <c r="E14" s="763"/>
      <c r="F14" s="763"/>
      <c r="G14" s="763"/>
      <c r="H14" s="763"/>
      <c r="I14" s="764"/>
    </row>
    <row r="15" spans="2:9" ht="27.75" customHeight="1" x14ac:dyDescent="0.25">
      <c r="B15" s="758" t="s">
        <v>651</v>
      </c>
      <c r="C15" s="1038" t="s">
        <v>654</v>
      </c>
      <c r="D15" s="1039"/>
      <c r="E15" s="1039"/>
      <c r="F15" s="1039"/>
      <c r="G15" s="1039"/>
      <c r="H15" s="1039"/>
      <c r="I15" s="1040"/>
    </row>
    <row r="16" spans="2:9" x14ac:dyDescent="0.25">
      <c r="B16" s="150"/>
      <c r="C16" s="1061" t="s">
        <v>655</v>
      </c>
      <c r="D16" s="1062"/>
      <c r="E16" s="1062"/>
      <c r="F16" s="1062"/>
      <c r="G16" s="1062"/>
      <c r="H16" s="1062"/>
      <c r="I16" s="1063"/>
    </row>
    <row r="17" spans="2:9" ht="27.75" customHeight="1" x14ac:dyDescent="0.25">
      <c r="B17" s="758" t="s">
        <v>651</v>
      </c>
      <c r="C17" s="1038" t="s">
        <v>656</v>
      </c>
      <c r="D17" s="1039"/>
      <c r="E17" s="1039"/>
      <c r="F17" s="1039"/>
      <c r="G17" s="1039"/>
      <c r="H17" s="1039"/>
      <c r="I17" s="1040"/>
    </row>
    <row r="18" spans="2:9" x14ac:dyDescent="0.25">
      <c r="B18" s="150"/>
      <c r="C18" s="1041" t="s">
        <v>657</v>
      </c>
      <c r="D18" s="1042"/>
      <c r="E18" s="1042"/>
      <c r="F18" s="1042"/>
      <c r="G18" s="1042"/>
      <c r="H18" s="1042"/>
      <c r="I18" s="1043"/>
    </row>
    <row r="19" spans="2:9" ht="51.75" customHeight="1" x14ac:dyDescent="0.25">
      <c r="B19" s="758" t="s">
        <v>651</v>
      </c>
      <c r="C19" s="1038" t="s">
        <v>658</v>
      </c>
      <c r="D19" s="1039"/>
      <c r="E19" s="1039"/>
      <c r="F19" s="1039"/>
      <c r="G19" s="1039"/>
      <c r="H19" s="1039"/>
      <c r="I19" s="1040"/>
    </row>
    <row r="20" spans="2:9" x14ac:dyDescent="0.25">
      <c r="B20" s="150"/>
      <c r="C20" s="1041" t="s">
        <v>659</v>
      </c>
      <c r="D20" s="1042"/>
      <c r="E20" s="1042"/>
      <c r="F20" s="1042"/>
      <c r="G20" s="1042"/>
      <c r="H20" s="1042"/>
      <c r="I20" s="1043"/>
    </row>
    <row r="21" spans="2:9" ht="41.25" customHeight="1" x14ac:dyDescent="0.25">
      <c r="B21" s="758" t="s">
        <v>651</v>
      </c>
      <c r="C21" s="1038" t="s">
        <v>660</v>
      </c>
      <c r="D21" s="1039"/>
      <c r="E21" s="1039"/>
      <c r="F21" s="1039"/>
      <c r="G21" s="1039"/>
      <c r="H21" s="1039"/>
      <c r="I21" s="1040"/>
    </row>
    <row r="22" spans="2:9" ht="66.75" customHeight="1" x14ac:dyDescent="0.25">
      <c r="B22" s="150"/>
      <c r="C22" s="1052" t="s">
        <v>661</v>
      </c>
      <c r="D22" s="1053"/>
      <c r="E22" s="1053"/>
      <c r="F22" s="1053"/>
      <c r="G22" s="1053"/>
      <c r="H22" s="1053"/>
      <c r="I22" s="1054"/>
    </row>
    <row r="24" spans="2:9" ht="22.5" customHeight="1" x14ac:dyDescent="0.25">
      <c r="B24" s="1047"/>
      <c r="C24" s="1048"/>
      <c r="D24" s="150"/>
    </row>
    <row r="25" spans="2:9" ht="24.75" customHeight="1" x14ac:dyDescent="0.25">
      <c r="B25" s="1045" t="s">
        <v>662</v>
      </c>
      <c r="C25" s="1045"/>
      <c r="D25" s="765" t="s">
        <v>70</v>
      </c>
    </row>
    <row r="27" spans="2:9" x14ac:dyDescent="0.25">
      <c r="B27" s="1049" t="s">
        <v>663</v>
      </c>
      <c r="C27" s="1049"/>
      <c r="D27" s="1049"/>
      <c r="E27" s="1049"/>
      <c r="F27" s="1049"/>
      <c r="G27" s="1049"/>
      <c r="H27" s="1049"/>
      <c r="I27" s="1049"/>
    </row>
    <row r="28" spans="2:9" ht="18" customHeight="1" x14ac:dyDescent="0.25">
      <c r="B28" s="1050" t="s">
        <v>664</v>
      </c>
      <c r="C28" s="1050"/>
      <c r="D28" s="1050"/>
      <c r="E28" s="1050"/>
      <c r="F28" s="1050"/>
      <c r="G28" s="1050"/>
      <c r="H28" s="1050"/>
      <c r="I28" s="1050"/>
    </row>
    <row r="29" spans="2:9" x14ac:dyDescent="0.25">
      <c r="B29" s="1050"/>
      <c r="C29" s="1050"/>
      <c r="D29" s="1050"/>
      <c r="E29" s="1050"/>
      <c r="F29" s="1050"/>
      <c r="G29" s="1050"/>
      <c r="H29" s="1050"/>
      <c r="I29" s="1050"/>
    </row>
    <row r="30" spans="2:9" x14ac:dyDescent="0.25">
      <c r="B30" s="1050"/>
      <c r="C30" s="1050"/>
      <c r="D30" s="1050"/>
      <c r="E30" s="1050"/>
      <c r="F30" s="1050"/>
      <c r="G30" s="1050"/>
      <c r="H30" s="1050"/>
      <c r="I30" s="1050"/>
    </row>
    <row r="31" spans="2:9" x14ac:dyDescent="0.25">
      <c r="B31" s="768"/>
      <c r="C31" s="768"/>
      <c r="D31" s="768"/>
      <c r="E31" s="768"/>
      <c r="F31" s="768"/>
      <c r="G31" s="768"/>
      <c r="H31" s="768"/>
      <c r="I31" s="768"/>
    </row>
    <row r="32" spans="2:9" x14ac:dyDescent="0.25">
      <c r="B32" s="151"/>
      <c r="C32" s="152"/>
      <c r="D32" s="153" t="s">
        <v>665</v>
      </c>
      <c r="E32" s="154" t="b">
        <v>0</v>
      </c>
      <c r="F32" s="152"/>
      <c r="G32" s="153" t="s">
        <v>666</v>
      </c>
      <c r="H32" s="154" t="b">
        <v>0</v>
      </c>
      <c r="I32" s="155"/>
    </row>
    <row r="34" spans="2:9" ht="15" customHeight="1" x14ac:dyDescent="0.25">
      <c r="B34" s="769" t="s">
        <v>667</v>
      </c>
      <c r="C34" s="770"/>
      <c r="D34" s="770"/>
      <c r="E34" s="770"/>
      <c r="F34" s="770"/>
      <c r="G34" s="770"/>
      <c r="H34" s="770"/>
      <c r="I34" s="771"/>
    </row>
    <row r="35" spans="2:9" x14ac:dyDescent="0.25">
      <c r="B35" s="156" t="s">
        <v>668</v>
      </c>
      <c r="C35" s="157" t="b">
        <v>0</v>
      </c>
      <c r="D35" s="158" t="s">
        <v>669</v>
      </c>
      <c r="E35" s="157" t="b">
        <v>0</v>
      </c>
      <c r="F35" s="166"/>
      <c r="G35" s="166"/>
      <c r="H35" s="166"/>
      <c r="I35" s="167"/>
    </row>
    <row r="36" spans="2:9" ht="10.5" customHeight="1" x14ac:dyDescent="0.25"/>
    <row r="37" spans="2:9" x14ac:dyDescent="0.25">
      <c r="B37" s="772" t="s">
        <v>670</v>
      </c>
    </row>
    <row r="38" spans="2:9" ht="6.75" customHeight="1" x14ac:dyDescent="0.25">
      <c r="B38" s="772"/>
    </row>
    <row r="39" spans="2:9" x14ac:dyDescent="0.25">
      <c r="B39" s="773" t="s">
        <v>671</v>
      </c>
      <c r="C39" s="160"/>
      <c r="D39" s="160"/>
      <c r="E39" s="160"/>
      <c r="F39" s="160"/>
      <c r="G39" s="160"/>
      <c r="H39" s="160"/>
      <c r="I39" s="161"/>
    </row>
    <row r="40" spans="2:9" x14ac:dyDescent="0.25">
      <c r="B40" s="156" t="s">
        <v>668</v>
      </c>
      <c r="C40" s="157" t="b">
        <v>0</v>
      </c>
      <c r="D40" s="158" t="s">
        <v>669</v>
      </c>
      <c r="E40" s="157" t="b">
        <v>0</v>
      </c>
      <c r="F40" s="166"/>
      <c r="G40" s="166"/>
      <c r="H40" s="166"/>
      <c r="I40" s="167"/>
    </row>
    <row r="42" spans="2:9" ht="24" customHeight="1" x14ac:dyDescent="0.25">
      <c r="B42" s="1047"/>
      <c r="C42" s="1048"/>
      <c r="D42" s="150"/>
      <c r="E42" s="1047"/>
      <c r="F42" s="1051"/>
      <c r="G42" s="1048"/>
      <c r="H42" s="150"/>
    </row>
    <row r="43" spans="2:9" x14ac:dyDescent="0.25">
      <c r="B43" s="1045" t="s">
        <v>672</v>
      </c>
      <c r="C43" s="1045"/>
      <c r="D43" s="765" t="s">
        <v>70</v>
      </c>
      <c r="E43" s="1046" t="s">
        <v>673</v>
      </c>
      <c r="F43" s="1046"/>
      <c r="G43" s="1046"/>
      <c r="H43" s="765" t="s">
        <v>70</v>
      </c>
    </row>
    <row r="45" spans="2:9" x14ac:dyDescent="0.25">
      <c r="B45" s="774" t="s">
        <v>674</v>
      </c>
    </row>
    <row r="46" spans="2:9" x14ac:dyDescent="0.25">
      <c r="B46" s="159"/>
      <c r="C46" s="160"/>
      <c r="D46" s="160"/>
      <c r="E46" s="160"/>
      <c r="F46" s="160"/>
      <c r="G46" s="160"/>
      <c r="H46" s="160"/>
      <c r="I46" s="161"/>
    </row>
    <row r="47" spans="2:9" x14ac:dyDescent="0.25">
      <c r="B47" s="162"/>
      <c r="I47" s="164"/>
    </row>
    <row r="48" spans="2:9" x14ac:dyDescent="0.25">
      <c r="B48" s="162"/>
      <c r="I48" s="164"/>
    </row>
    <row r="49" spans="2:9" x14ac:dyDescent="0.25">
      <c r="B49" s="162"/>
      <c r="I49" s="164"/>
    </row>
    <row r="50" spans="2:9" x14ac:dyDescent="0.25">
      <c r="B50" s="162"/>
      <c r="I50" s="164"/>
    </row>
    <row r="51" spans="2:9" x14ac:dyDescent="0.25">
      <c r="B51" s="162"/>
      <c r="I51" s="164"/>
    </row>
    <row r="52" spans="2:9" x14ac:dyDescent="0.25">
      <c r="B52" s="162"/>
      <c r="I52" s="164"/>
    </row>
    <row r="53" spans="2:9" x14ac:dyDescent="0.25">
      <c r="B53" s="162"/>
      <c r="I53" s="164"/>
    </row>
    <row r="54" spans="2:9" x14ac:dyDescent="0.25">
      <c r="B54" s="162"/>
      <c r="I54" s="164"/>
    </row>
    <row r="55" spans="2:9" x14ac:dyDescent="0.25">
      <c r="B55" s="162"/>
      <c r="I55" s="164"/>
    </row>
    <row r="56" spans="2:9" x14ac:dyDescent="0.25">
      <c r="B56" s="162"/>
      <c r="I56" s="164"/>
    </row>
    <row r="57" spans="2:9" x14ac:dyDescent="0.25">
      <c r="B57" s="162"/>
      <c r="I57" s="164"/>
    </row>
    <row r="58" spans="2:9" x14ac:dyDescent="0.25">
      <c r="B58" s="162"/>
      <c r="I58" s="164"/>
    </row>
    <row r="59" spans="2:9" x14ac:dyDescent="0.25">
      <c r="B59" s="162"/>
      <c r="I59" s="164"/>
    </row>
    <row r="60" spans="2:9" x14ac:dyDescent="0.25">
      <c r="B60" s="162"/>
      <c r="I60" s="164"/>
    </row>
    <row r="61" spans="2:9" x14ac:dyDescent="0.25">
      <c r="B61" s="162"/>
      <c r="I61" s="164"/>
    </row>
    <row r="62" spans="2:9" x14ac:dyDescent="0.25">
      <c r="B62" s="162"/>
      <c r="I62" s="164"/>
    </row>
    <row r="63" spans="2:9" x14ac:dyDescent="0.25">
      <c r="B63" s="165"/>
      <c r="C63" s="166"/>
      <c r="D63" s="166"/>
      <c r="E63" s="166"/>
      <c r="F63" s="166"/>
      <c r="G63" s="166"/>
      <c r="H63" s="166"/>
      <c r="I63" s="167"/>
    </row>
  </sheetData>
  <sheetProtection algorithmName="SHA-512" hashValue="wj2BPM5XUbKtjavnMLMMVwCnaV6BTSOnhhH4ZCW5xc/iTIe2Fq5kccqef9A1O2dbH8fxGVkHejf+cA+mDjy2Rw==" saltValue="BIib8Hn+iSpzJoD0KvO1rQ==" spinCount="100000" sheet="1" selectLockedCells="1"/>
  <mergeCells count="21">
    <mergeCell ref="B1:I1"/>
    <mergeCell ref="B43:C43"/>
    <mergeCell ref="E43:G43"/>
    <mergeCell ref="B24:C24"/>
    <mergeCell ref="B25:C25"/>
    <mergeCell ref="B27:I27"/>
    <mergeCell ref="B28:I30"/>
    <mergeCell ref="B42:C42"/>
    <mergeCell ref="E42:G42"/>
    <mergeCell ref="C22:I22"/>
    <mergeCell ref="E2:I2"/>
    <mergeCell ref="E3:I3"/>
    <mergeCell ref="B9:I11"/>
    <mergeCell ref="C13:I13"/>
    <mergeCell ref="C15:I15"/>
    <mergeCell ref="C16:I16"/>
    <mergeCell ref="C17:I17"/>
    <mergeCell ref="C18:I18"/>
    <mergeCell ref="C19:I19"/>
    <mergeCell ref="C20:I20"/>
    <mergeCell ref="C21:I21"/>
  </mergeCells>
  <conditionalFormatting sqref="I6">
    <cfRule type="expression" dxfId="33" priority="2">
      <formula>ISBLANK($I$6)</formula>
    </cfRule>
  </conditionalFormatting>
  <conditionalFormatting sqref="I7">
    <cfRule type="expression" dxfId="32" priority="1">
      <formula>ISBLANK($I$7)</formula>
    </cfRule>
  </conditionalFormatting>
  <pageMargins left="0.7" right="0.7" top="0.75" bottom="0.75" header="0.3" footer="0.3"/>
  <pageSetup scale="77" orientation="portrait" r:id="rId1"/>
  <headerFooter>
    <oddFooter>&amp;R&amp;P</oddFooter>
  </headerFooter>
  <rowBreaks count="1" manualBreakCount="1">
    <brk id="44"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locked="0" defaultSize="0" autoFill="0" autoLine="0" autoPict="0">
                <anchor moveWithCells="1">
                  <from>
                    <xdr:col>1</xdr:col>
                    <xdr:colOff>28575</xdr:colOff>
                    <xdr:row>14</xdr:row>
                    <xdr:rowOff>333375</xdr:rowOff>
                  </from>
                  <to>
                    <xdr:col>1</xdr:col>
                    <xdr:colOff>514350</xdr:colOff>
                    <xdr:row>16</xdr:row>
                    <xdr:rowOff>9525</xdr:rowOff>
                  </to>
                </anchor>
              </controlPr>
            </control>
          </mc:Choice>
        </mc:AlternateContent>
        <mc:AlternateContent xmlns:mc="http://schemas.openxmlformats.org/markup-compatibility/2006">
          <mc:Choice Requires="x14">
            <control shapeId="193538" r:id="rId5" name="Check Box 2">
              <controlPr locked="0" defaultSize="0" autoFill="0" autoLine="0" autoPict="0">
                <anchor moveWithCells="1">
                  <from>
                    <xdr:col>1</xdr:col>
                    <xdr:colOff>438150</xdr:colOff>
                    <xdr:row>14</xdr:row>
                    <xdr:rowOff>333375</xdr:rowOff>
                  </from>
                  <to>
                    <xdr:col>1</xdr:col>
                    <xdr:colOff>923925</xdr:colOff>
                    <xdr:row>16</xdr:row>
                    <xdr:rowOff>9525</xdr:rowOff>
                  </to>
                </anchor>
              </controlPr>
            </control>
          </mc:Choice>
        </mc:AlternateContent>
        <mc:AlternateContent xmlns:mc="http://schemas.openxmlformats.org/markup-compatibility/2006">
          <mc:Choice Requires="x14">
            <control shapeId="193539" r:id="rId6" name="Check Box 3">
              <controlPr locked="0" defaultSize="0" autoFill="0" autoLine="0" autoPict="0">
                <anchor moveWithCells="1">
                  <from>
                    <xdr:col>1</xdr:col>
                    <xdr:colOff>28575</xdr:colOff>
                    <xdr:row>16</xdr:row>
                    <xdr:rowOff>333375</xdr:rowOff>
                  </from>
                  <to>
                    <xdr:col>1</xdr:col>
                    <xdr:colOff>514350</xdr:colOff>
                    <xdr:row>18</xdr:row>
                    <xdr:rowOff>9525</xdr:rowOff>
                  </to>
                </anchor>
              </controlPr>
            </control>
          </mc:Choice>
        </mc:AlternateContent>
        <mc:AlternateContent xmlns:mc="http://schemas.openxmlformats.org/markup-compatibility/2006">
          <mc:Choice Requires="x14">
            <control shapeId="193540" r:id="rId7" name="Check Box 4">
              <controlPr locked="0" defaultSize="0" autoFill="0" autoLine="0" autoPict="0">
                <anchor moveWithCells="1">
                  <from>
                    <xdr:col>1</xdr:col>
                    <xdr:colOff>438150</xdr:colOff>
                    <xdr:row>16</xdr:row>
                    <xdr:rowOff>333375</xdr:rowOff>
                  </from>
                  <to>
                    <xdr:col>1</xdr:col>
                    <xdr:colOff>923925</xdr:colOff>
                    <xdr:row>18</xdr:row>
                    <xdr:rowOff>9525</xdr:rowOff>
                  </to>
                </anchor>
              </controlPr>
            </control>
          </mc:Choice>
        </mc:AlternateContent>
        <mc:AlternateContent xmlns:mc="http://schemas.openxmlformats.org/markup-compatibility/2006">
          <mc:Choice Requires="x14">
            <control shapeId="193541" r:id="rId8" name="Check Box 5">
              <controlPr locked="0" defaultSize="0" autoFill="0" autoLine="0" autoPict="0">
                <anchor moveWithCells="1">
                  <from>
                    <xdr:col>1</xdr:col>
                    <xdr:colOff>47625</xdr:colOff>
                    <xdr:row>18</xdr:row>
                    <xdr:rowOff>638175</xdr:rowOff>
                  </from>
                  <to>
                    <xdr:col>1</xdr:col>
                    <xdr:colOff>533400</xdr:colOff>
                    <xdr:row>20</xdr:row>
                    <xdr:rowOff>9525</xdr:rowOff>
                  </to>
                </anchor>
              </controlPr>
            </control>
          </mc:Choice>
        </mc:AlternateContent>
        <mc:AlternateContent xmlns:mc="http://schemas.openxmlformats.org/markup-compatibility/2006">
          <mc:Choice Requires="x14">
            <control shapeId="193542" r:id="rId9" name="Check Box 6">
              <controlPr locked="0" defaultSize="0" autoFill="0" autoLine="0" autoPict="0">
                <anchor moveWithCells="1">
                  <from>
                    <xdr:col>1</xdr:col>
                    <xdr:colOff>428625</xdr:colOff>
                    <xdr:row>18</xdr:row>
                    <xdr:rowOff>647700</xdr:rowOff>
                  </from>
                  <to>
                    <xdr:col>1</xdr:col>
                    <xdr:colOff>914400</xdr:colOff>
                    <xdr:row>20</xdr:row>
                    <xdr:rowOff>9525</xdr:rowOff>
                  </to>
                </anchor>
              </controlPr>
            </control>
          </mc:Choice>
        </mc:AlternateContent>
        <mc:AlternateContent xmlns:mc="http://schemas.openxmlformats.org/markup-compatibility/2006">
          <mc:Choice Requires="x14">
            <control shapeId="193543" r:id="rId10" name="Check Box 7">
              <controlPr locked="0" defaultSize="0" autoFill="0" autoLine="0" autoPict="0">
                <anchor moveWithCells="1">
                  <from>
                    <xdr:col>1</xdr:col>
                    <xdr:colOff>57150</xdr:colOff>
                    <xdr:row>21</xdr:row>
                    <xdr:rowOff>9525</xdr:rowOff>
                  </from>
                  <to>
                    <xdr:col>1</xdr:col>
                    <xdr:colOff>542925</xdr:colOff>
                    <xdr:row>21</xdr:row>
                    <xdr:rowOff>228600</xdr:rowOff>
                  </to>
                </anchor>
              </controlPr>
            </control>
          </mc:Choice>
        </mc:AlternateContent>
        <mc:AlternateContent xmlns:mc="http://schemas.openxmlformats.org/markup-compatibility/2006">
          <mc:Choice Requires="x14">
            <control shapeId="193544" r:id="rId11" name="Check Box 8">
              <controlPr locked="0" defaultSize="0" autoFill="0" autoLine="0" autoPict="0">
                <anchor moveWithCells="1">
                  <from>
                    <xdr:col>1</xdr:col>
                    <xdr:colOff>419100</xdr:colOff>
                    <xdr:row>21</xdr:row>
                    <xdr:rowOff>9525</xdr:rowOff>
                  </from>
                  <to>
                    <xdr:col>1</xdr:col>
                    <xdr:colOff>904875</xdr:colOff>
                    <xdr:row>21</xdr:row>
                    <xdr:rowOff>228600</xdr:rowOff>
                  </to>
                </anchor>
              </controlPr>
            </control>
          </mc:Choice>
        </mc:AlternateContent>
        <mc:AlternateContent xmlns:mc="http://schemas.openxmlformats.org/markup-compatibility/2006">
          <mc:Choice Requires="x14">
            <control shapeId="193545" r:id="rId12" name="Check Box 9">
              <controlPr locked="0" defaultSize="0" autoFill="0" autoLine="0" autoPict="0">
                <anchor moveWithCells="1">
                  <from>
                    <xdr:col>1</xdr:col>
                    <xdr:colOff>419100</xdr:colOff>
                    <xdr:row>21</xdr:row>
                    <xdr:rowOff>304800</xdr:rowOff>
                  </from>
                  <to>
                    <xdr:col>1</xdr:col>
                    <xdr:colOff>904875</xdr:colOff>
                    <xdr:row>21</xdr:row>
                    <xdr:rowOff>523875</xdr:rowOff>
                  </to>
                </anchor>
              </controlPr>
            </control>
          </mc:Choice>
        </mc:AlternateContent>
        <mc:AlternateContent xmlns:mc="http://schemas.openxmlformats.org/markup-compatibility/2006">
          <mc:Choice Requires="x14">
            <control shapeId="193546" r:id="rId13" name="Check Box 10">
              <controlPr locked="0" defaultSize="0" autoFill="0" autoLine="0" autoPict="0">
                <anchor moveWithCells="1">
                  <from>
                    <xdr:col>1</xdr:col>
                    <xdr:colOff>428625</xdr:colOff>
                    <xdr:row>21</xdr:row>
                    <xdr:rowOff>590550</xdr:rowOff>
                  </from>
                  <to>
                    <xdr:col>1</xdr:col>
                    <xdr:colOff>914400</xdr:colOff>
                    <xdr:row>21</xdr:row>
                    <xdr:rowOff>809625</xdr:rowOff>
                  </to>
                </anchor>
              </controlPr>
            </control>
          </mc:Choice>
        </mc:AlternateContent>
        <mc:AlternateContent xmlns:mc="http://schemas.openxmlformats.org/markup-compatibility/2006">
          <mc:Choice Requires="x14">
            <control shapeId="193547" r:id="rId14" name="Check Box 11">
              <controlPr locked="0" defaultSize="0" autoFill="0" autoLine="0" autoPict="0">
                <anchor moveWithCells="1">
                  <from>
                    <xdr:col>1</xdr:col>
                    <xdr:colOff>57150</xdr:colOff>
                    <xdr:row>21</xdr:row>
                    <xdr:rowOff>314325</xdr:rowOff>
                  </from>
                  <to>
                    <xdr:col>1</xdr:col>
                    <xdr:colOff>542925</xdr:colOff>
                    <xdr:row>21</xdr:row>
                    <xdr:rowOff>533400</xdr:rowOff>
                  </to>
                </anchor>
              </controlPr>
            </control>
          </mc:Choice>
        </mc:AlternateContent>
        <mc:AlternateContent xmlns:mc="http://schemas.openxmlformats.org/markup-compatibility/2006">
          <mc:Choice Requires="x14">
            <control shapeId="193548" r:id="rId15" name="Check Box 12">
              <controlPr locked="0" defaultSize="0" autoFill="0" autoLine="0" autoPict="0">
                <anchor moveWithCells="1">
                  <from>
                    <xdr:col>1</xdr:col>
                    <xdr:colOff>66675</xdr:colOff>
                    <xdr:row>21</xdr:row>
                    <xdr:rowOff>590550</xdr:rowOff>
                  </from>
                  <to>
                    <xdr:col>1</xdr:col>
                    <xdr:colOff>552450</xdr:colOff>
                    <xdr:row>21</xdr:row>
                    <xdr:rowOff>809625</xdr:rowOff>
                  </to>
                </anchor>
              </controlPr>
            </control>
          </mc:Choice>
        </mc:AlternateContent>
        <mc:AlternateContent xmlns:mc="http://schemas.openxmlformats.org/markup-compatibility/2006">
          <mc:Choice Requires="x14">
            <control shapeId="193549" r:id="rId16" name="Check Box 13">
              <controlPr locked="0" defaultSize="0" autoFill="0" autoLine="0" autoPict="0">
                <anchor moveWithCells="1">
                  <from>
                    <xdr:col>1</xdr:col>
                    <xdr:colOff>57150</xdr:colOff>
                    <xdr:row>13</xdr:row>
                    <xdr:rowOff>0</xdr:rowOff>
                  </from>
                  <to>
                    <xdr:col>1</xdr:col>
                    <xdr:colOff>542925</xdr:colOff>
                    <xdr:row>14</xdr:row>
                    <xdr:rowOff>19050</xdr:rowOff>
                  </to>
                </anchor>
              </controlPr>
            </control>
          </mc:Choice>
        </mc:AlternateContent>
        <mc:AlternateContent xmlns:mc="http://schemas.openxmlformats.org/markup-compatibility/2006">
          <mc:Choice Requires="x14">
            <control shapeId="193550" r:id="rId17" name="Check Box 14">
              <controlPr locked="0" defaultSize="0" autoFill="0" autoLine="0" autoPict="0">
                <anchor moveWithCells="1">
                  <from>
                    <xdr:col>1</xdr:col>
                    <xdr:colOff>400050</xdr:colOff>
                    <xdr:row>13</xdr:row>
                    <xdr:rowOff>0</xdr:rowOff>
                  </from>
                  <to>
                    <xdr:col>1</xdr:col>
                    <xdr:colOff>885825</xdr:colOff>
                    <xdr:row>14</xdr:row>
                    <xdr:rowOff>19050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C7DB-DD67-4244-92C9-E7D424411E97}">
  <dimension ref="B1:J515"/>
  <sheetViews>
    <sheetView zoomScale="120" zoomScaleNormal="120" workbookViewId="0">
      <selection activeCell="F10" sqref="F10"/>
    </sheetView>
  </sheetViews>
  <sheetFormatPr defaultColWidth="9.140625" defaultRowHeight="15" x14ac:dyDescent="0.25"/>
  <cols>
    <col min="1" max="1" width="4.28515625" style="784" customWidth="1"/>
    <col min="2" max="2" width="7.42578125" style="783" customWidth="1"/>
    <col min="3" max="3" width="27.140625" style="783" customWidth="1"/>
    <col min="4" max="4" width="39.140625" style="783" customWidth="1"/>
    <col min="5" max="5" width="12.42578125" style="783" customWidth="1"/>
    <col min="6" max="6" width="23" style="783" bestFit="1" customWidth="1"/>
    <col min="7" max="7" width="9.42578125" style="783" customWidth="1"/>
    <col min="8" max="8" width="25.85546875" style="783" bestFit="1" customWidth="1"/>
    <col min="9" max="9" width="11.140625" style="783" customWidth="1"/>
    <col min="10" max="10" width="6.42578125" style="783" customWidth="1"/>
    <col min="11" max="16384" width="9.140625" style="784"/>
  </cols>
  <sheetData>
    <row r="1" spans="2:10" ht="15.75" x14ac:dyDescent="0.25">
      <c r="C1" s="1044" t="s">
        <v>48</v>
      </c>
      <c r="D1" s="1044"/>
      <c r="E1" s="1044"/>
      <c r="F1" s="1044"/>
      <c r="G1" s="1044"/>
      <c r="H1" s="1044"/>
      <c r="I1" s="1044"/>
      <c r="J1" s="784"/>
    </row>
    <row r="2" spans="2:10" ht="27.75" customHeight="1" x14ac:dyDescent="0.25">
      <c r="C2" s="147"/>
      <c r="D2" s="779"/>
      <c r="E2" s="779"/>
      <c r="F2" s="779"/>
      <c r="G2" s="779"/>
      <c r="H2" s="786"/>
      <c r="I2" s="787" t="str">
        <f>'Roof Insulation - MRD'!$E$2</f>
        <v/>
      </c>
      <c r="J2" s="784"/>
    </row>
    <row r="3" spans="2:10" ht="27.75" customHeight="1" x14ac:dyDescent="0.35">
      <c r="C3" s="148"/>
      <c r="D3" s="780"/>
      <c r="E3" s="780"/>
      <c r="F3" s="1057" t="s">
        <v>644</v>
      </c>
      <c r="G3" s="1057"/>
      <c r="H3" s="1057"/>
      <c r="I3" s="1058"/>
      <c r="J3" s="784"/>
    </row>
    <row r="4" spans="2:10" x14ac:dyDescent="0.25">
      <c r="C4" s="99"/>
      <c r="D4" s="99"/>
      <c r="E4" s="99"/>
      <c r="F4" s="1"/>
      <c r="G4" s="1"/>
      <c r="H4" s="99"/>
      <c r="I4" s="99"/>
      <c r="J4" s="784"/>
    </row>
    <row r="5" spans="2:10" x14ac:dyDescent="0.25">
      <c r="C5" s="775" t="s">
        <v>645</v>
      </c>
      <c r="D5" s="781" t="str">
        <f>IF('Pipe Insulation - MRD'!$C$5="", "", 'Pipe Insulation - MRD'!$C$5)</f>
        <v/>
      </c>
      <c r="E5" s="705"/>
      <c r="F5" s="705"/>
      <c r="G5" s="706"/>
      <c r="H5" s="775" t="s">
        <v>646</v>
      </c>
      <c r="I5" s="782" t="str">
        <f>IF('Pipe Insulation - MRD'!$I$5="", "", 'Pipe Insulation - MRD'!$I$5)</f>
        <v>Retrofit</v>
      </c>
      <c r="J5" s="784"/>
    </row>
    <row r="6" spans="2:10" x14ac:dyDescent="0.25">
      <c r="C6" s="775" t="s">
        <v>134</v>
      </c>
      <c r="D6" s="776" t="str">
        <f>IF('Pipe Insulation - MRD'!$C$6="",  "", 'Pipe Insulation - MRD'!$C$6)</f>
        <v/>
      </c>
      <c r="E6" s="705"/>
      <c r="F6" s="705"/>
      <c r="G6" s="706"/>
      <c r="H6" s="775" t="s">
        <v>647</v>
      </c>
      <c r="I6" s="788" t="str">
        <f>IF('Pipe Insulation - MRD'!$I$6="", "", 'Pipe Insulation - MRD'!$I$6)</f>
        <v/>
      </c>
      <c r="J6" s="784"/>
    </row>
    <row r="7" spans="2:10" x14ac:dyDescent="0.25">
      <c r="C7" s="775" t="s">
        <v>648</v>
      </c>
      <c r="D7" s="776" t="str">
        <f>IF('Pipe Insulation - MRD'!$C$7="", "", 'Pipe Insulation - MRD'!$C$7)</f>
        <v/>
      </c>
      <c r="E7" s="705"/>
      <c r="F7" s="705"/>
      <c r="G7" s="706"/>
      <c r="H7" s="775" t="s">
        <v>649</v>
      </c>
      <c r="I7" s="788" t="str">
        <f>IF('Pipe Insulation - MRD'!$I$7="", "", 'Pipe Insulation - MRD'!$I$7)</f>
        <v/>
      </c>
      <c r="J7" s="784"/>
    </row>
    <row r="8" spans="2:10" x14ac:dyDescent="0.25">
      <c r="C8" s="163"/>
      <c r="D8" s="163"/>
      <c r="E8" s="163"/>
      <c r="F8" s="163"/>
      <c r="G8" s="163"/>
      <c r="I8" s="784"/>
      <c r="J8" s="784"/>
    </row>
    <row r="9" spans="2:10" s="64" customFormat="1" ht="45" x14ac:dyDescent="0.25">
      <c r="B9" s="206" t="s">
        <v>133</v>
      </c>
      <c r="C9" s="206" t="s">
        <v>134</v>
      </c>
      <c r="D9" s="206" t="s">
        <v>135</v>
      </c>
      <c r="E9" s="206" t="s">
        <v>136</v>
      </c>
      <c r="F9" s="206" t="s">
        <v>138</v>
      </c>
      <c r="G9" s="206" t="s">
        <v>675</v>
      </c>
      <c r="H9" s="206" t="s">
        <v>676</v>
      </c>
      <c r="I9" s="206" t="s">
        <v>677</v>
      </c>
      <c r="J9" s="206" t="s">
        <v>678</v>
      </c>
    </row>
    <row r="10" spans="2:10" s="1" customFormat="1" x14ac:dyDescent="0.25">
      <c r="B10" s="76">
        <f>'Pipe Insulation'!B34</f>
        <v>1</v>
      </c>
      <c r="C10" s="76" t="str">
        <f>IF('Pipe Insulation'!C34="", "", 'Pipe Insulation'!C34)</f>
        <v/>
      </c>
      <c r="D10" s="76" t="str">
        <f>IF('Pipe Insulation'!D34="", "", 'Pipe Insulation'!D34)</f>
        <v/>
      </c>
      <c r="E10" s="69" t="str">
        <f>IF('Pipe Insulation'!E34="", "", 'Pipe Insulation'!E34)</f>
        <v/>
      </c>
      <c r="F10" s="76" t="str">
        <f>IFERROR(VLOOKUP('Pipe Insulation'!G34,'Pipe Insulation'!$AM$142:$AN$149,2,FALSE),"")</f>
        <v/>
      </c>
      <c r="G10" s="86" t="str">
        <f>IF('Pipe Insulation'!W34="", "", 'Pipe Insulation'!W34)</f>
        <v/>
      </c>
      <c r="H10" s="76" t="str">
        <f>IFERROR(VLOOKUP('Pipe Insulation'!Y34,'Pipe Insulation'!$AM$152:$AN$153,2,FALSE),"")</f>
        <v/>
      </c>
      <c r="I10" s="68" t="str">
        <f>IF('Pipe Insulation'!Z34="", "", 'Pipe Insulation'!Z34)</f>
        <v/>
      </c>
      <c r="J10" s="480"/>
    </row>
    <row r="11" spans="2:10" s="1" customFormat="1" x14ac:dyDescent="0.25">
      <c r="B11" s="76">
        <f>'Pipe Insulation'!B35</f>
        <v>2</v>
      </c>
      <c r="C11" s="76" t="str">
        <f>IF('Pipe Insulation'!C35="", "", 'Pipe Insulation'!C35)</f>
        <v/>
      </c>
      <c r="D11" s="76" t="str">
        <f>IF('Pipe Insulation'!D35="", "", 'Pipe Insulation'!D35)</f>
        <v/>
      </c>
      <c r="E11" s="69" t="str">
        <f>IF('Pipe Insulation'!E35="", "", 'Pipe Insulation'!E35)</f>
        <v/>
      </c>
      <c r="F11" s="76" t="str">
        <f>IFERROR(VLOOKUP('Pipe Insulation'!G35,'Pipe Insulation'!$AM$142:$AN$149,2,FALSE),"")</f>
        <v/>
      </c>
      <c r="G11" s="86" t="str">
        <f>IF('Pipe Insulation'!W35="", "", 'Pipe Insulation'!W35)</f>
        <v/>
      </c>
      <c r="H11" s="76" t="str">
        <f>IFERROR(VLOOKUP('Pipe Insulation'!Y35,'Pipe Insulation'!$AM$152:$AN$153,2,FALSE),"")</f>
        <v/>
      </c>
      <c r="I11" s="68" t="str">
        <f>IF('Pipe Insulation'!Z35="", "", 'Pipe Insulation'!Z35)</f>
        <v/>
      </c>
      <c r="J11" s="480"/>
    </row>
    <row r="12" spans="2:10" s="1" customFormat="1" x14ac:dyDescent="0.25">
      <c r="B12" s="76">
        <f>'Pipe Insulation'!B36</f>
        <v>3</v>
      </c>
      <c r="C12" s="76" t="str">
        <f>IF('Pipe Insulation'!C36="", "", 'Pipe Insulation'!C36)</f>
        <v/>
      </c>
      <c r="D12" s="76" t="str">
        <f>IF('Pipe Insulation'!D36="", "", 'Pipe Insulation'!D36)</f>
        <v/>
      </c>
      <c r="E12" s="69" t="str">
        <f>IF('Pipe Insulation'!E36="", "", 'Pipe Insulation'!E36)</f>
        <v/>
      </c>
      <c r="F12" s="76" t="str">
        <f>IFERROR(VLOOKUP('Pipe Insulation'!G36,'Pipe Insulation'!$AM$142:$AN$149,2,FALSE),"")</f>
        <v/>
      </c>
      <c r="G12" s="86" t="str">
        <f>IF('Pipe Insulation'!W36="", "", 'Pipe Insulation'!W36)</f>
        <v/>
      </c>
      <c r="H12" s="76" t="str">
        <f>IFERROR(VLOOKUP('Pipe Insulation'!Y36,'Pipe Insulation'!$AM$152:$AN$153,2,FALSE),"")</f>
        <v/>
      </c>
      <c r="I12" s="68" t="str">
        <f>IF('Pipe Insulation'!Z36="", "", 'Pipe Insulation'!Z36)</f>
        <v/>
      </c>
      <c r="J12" s="480"/>
    </row>
    <row r="13" spans="2:10" s="1" customFormat="1" x14ac:dyDescent="0.25">
      <c r="B13" s="76">
        <f>'Pipe Insulation'!B37</f>
        <v>4</v>
      </c>
      <c r="C13" s="76" t="str">
        <f>IF('Pipe Insulation'!C37="", "", 'Pipe Insulation'!C37)</f>
        <v/>
      </c>
      <c r="D13" s="76" t="str">
        <f>IF('Pipe Insulation'!D37="", "", 'Pipe Insulation'!D37)</f>
        <v/>
      </c>
      <c r="E13" s="69" t="str">
        <f>IF('Pipe Insulation'!E37="", "", 'Pipe Insulation'!E37)</f>
        <v/>
      </c>
      <c r="F13" s="76" t="str">
        <f>IFERROR(VLOOKUP('Pipe Insulation'!G37,'Pipe Insulation'!$AM$142:$AN$149,2,FALSE),"")</f>
        <v/>
      </c>
      <c r="G13" s="86" t="str">
        <f>IF('Pipe Insulation'!W37="", "", 'Pipe Insulation'!W37)</f>
        <v/>
      </c>
      <c r="H13" s="76" t="str">
        <f>IFERROR(VLOOKUP('Pipe Insulation'!Y37,'Pipe Insulation'!$AM$152:$AN$153,2,FALSE),"")</f>
        <v/>
      </c>
      <c r="I13" s="68" t="str">
        <f>IF('Pipe Insulation'!Z37="", "", 'Pipe Insulation'!Z37)</f>
        <v/>
      </c>
      <c r="J13" s="480"/>
    </row>
    <row r="14" spans="2:10" s="1" customFormat="1" x14ac:dyDescent="0.25">
      <c r="B14" s="76">
        <f>'Pipe Insulation'!B38</f>
        <v>5</v>
      </c>
      <c r="C14" s="76" t="str">
        <f>IF('Pipe Insulation'!C38="", "", 'Pipe Insulation'!C38)</f>
        <v/>
      </c>
      <c r="D14" s="76" t="str">
        <f>IF('Pipe Insulation'!D38="", "", 'Pipe Insulation'!D38)</f>
        <v/>
      </c>
      <c r="E14" s="69" t="str">
        <f>IF('Pipe Insulation'!E38="", "", 'Pipe Insulation'!E38)</f>
        <v/>
      </c>
      <c r="F14" s="76" t="str">
        <f>IFERROR(VLOOKUP('Pipe Insulation'!G38,'Pipe Insulation'!$AM$142:$AN$149,2,FALSE),"")</f>
        <v/>
      </c>
      <c r="G14" s="86" t="str">
        <f>IF('Pipe Insulation'!W38="", "", 'Pipe Insulation'!W38)</f>
        <v/>
      </c>
      <c r="H14" s="76" t="str">
        <f>IFERROR(VLOOKUP('Pipe Insulation'!Y38,'Pipe Insulation'!$AM$152:$AN$153,2,FALSE),"")</f>
        <v/>
      </c>
      <c r="I14" s="68" t="str">
        <f>IF('Pipe Insulation'!Z38="", "", 'Pipe Insulation'!Z38)</f>
        <v/>
      </c>
      <c r="J14" s="480"/>
    </row>
    <row r="15" spans="2:10" s="1" customFormat="1" x14ac:dyDescent="0.25">
      <c r="B15" s="76">
        <f>'Pipe Insulation'!B39</f>
        <v>6</v>
      </c>
      <c r="C15" s="76" t="str">
        <f>IF('Pipe Insulation'!C39="", "", 'Pipe Insulation'!C39)</f>
        <v/>
      </c>
      <c r="D15" s="76" t="str">
        <f>IF('Pipe Insulation'!D39="", "", 'Pipe Insulation'!D39)</f>
        <v/>
      </c>
      <c r="E15" s="69" t="str">
        <f>IF('Pipe Insulation'!E39="", "", 'Pipe Insulation'!E39)</f>
        <v/>
      </c>
      <c r="F15" s="76" t="str">
        <f>IFERROR(VLOOKUP('Pipe Insulation'!G39,'Pipe Insulation'!$AM$142:$AN$149,2,FALSE),"")</f>
        <v/>
      </c>
      <c r="G15" s="86" t="str">
        <f>IF('Pipe Insulation'!W39="", "", 'Pipe Insulation'!W39)</f>
        <v/>
      </c>
      <c r="H15" s="76" t="str">
        <f>IFERROR(VLOOKUP('Pipe Insulation'!Y39,'Pipe Insulation'!$AM$152:$AN$153,2,FALSE),"")</f>
        <v/>
      </c>
      <c r="I15" s="68" t="str">
        <f>IF('Pipe Insulation'!Z39="", "", 'Pipe Insulation'!Z39)</f>
        <v/>
      </c>
      <c r="J15" s="480"/>
    </row>
    <row r="16" spans="2:10" s="1" customFormat="1" x14ac:dyDescent="0.25">
      <c r="B16" s="76">
        <f>'Pipe Insulation'!B40</f>
        <v>7</v>
      </c>
      <c r="C16" s="76" t="str">
        <f>IF('Pipe Insulation'!C40="", "", 'Pipe Insulation'!C40)</f>
        <v/>
      </c>
      <c r="D16" s="76" t="str">
        <f>IF('Pipe Insulation'!D40="", "", 'Pipe Insulation'!D40)</f>
        <v/>
      </c>
      <c r="E16" s="69" t="str">
        <f>IF('Pipe Insulation'!E40="", "", 'Pipe Insulation'!E40)</f>
        <v/>
      </c>
      <c r="F16" s="76" t="str">
        <f>IFERROR(VLOOKUP('Pipe Insulation'!G40,'Pipe Insulation'!$AM$142:$AN$149,2,FALSE),"")</f>
        <v/>
      </c>
      <c r="G16" s="86" t="str">
        <f>IF('Pipe Insulation'!W40="", "", 'Pipe Insulation'!W40)</f>
        <v/>
      </c>
      <c r="H16" s="76" t="str">
        <f>IFERROR(VLOOKUP('Pipe Insulation'!Y40,'Pipe Insulation'!$AM$152:$AN$153,2,FALSE),"")</f>
        <v/>
      </c>
      <c r="I16" s="68" t="str">
        <f>IF('Pipe Insulation'!Z40="", "", 'Pipe Insulation'!Z40)</f>
        <v/>
      </c>
      <c r="J16" s="480"/>
    </row>
    <row r="17" spans="2:10" s="1" customFormat="1" x14ac:dyDescent="0.25">
      <c r="B17" s="76">
        <f>'Pipe Insulation'!B41</f>
        <v>8</v>
      </c>
      <c r="C17" s="76" t="str">
        <f>IF('Pipe Insulation'!C41="", "", 'Pipe Insulation'!C41)</f>
        <v/>
      </c>
      <c r="D17" s="76" t="str">
        <f>IF('Pipe Insulation'!D41="", "", 'Pipe Insulation'!D41)</f>
        <v/>
      </c>
      <c r="E17" s="69" t="str">
        <f>IF('Pipe Insulation'!E41="", "", 'Pipe Insulation'!E41)</f>
        <v/>
      </c>
      <c r="F17" s="76" t="str">
        <f>IFERROR(VLOOKUP('Pipe Insulation'!G41,'Pipe Insulation'!$AM$142:$AN$149,2,FALSE),"")</f>
        <v/>
      </c>
      <c r="G17" s="86" t="str">
        <f>IF('Pipe Insulation'!W41="", "", 'Pipe Insulation'!W41)</f>
        <v/>
      </c>
      <c r="H17" s="76" t="str">
        <f>IFERROR(VLOOKUP('Pipe Insulation'!Y41,'Pipe Insulation'!$AM$152:$AN$153,2,FALSE),"")</f>
        <v/>
      </c>
      <c r="I17" s="68" t="str">
        <f>IF('Pipe Insulation'!Z41="", "", 'Pipe Insulation'!Z41)</f>
        <v/>
      </c>
      <c r="J17" s="480"/>
    </row>
    <row r="18" spans="2:10" s="1" customFormat="1" x14ac:dyDescent="0.25">
      <c r="B18" s="76">
        <f>'Pipe Insulation'!B42</f>
        <v>9</v>
      </c>
      <c r="C18" s="76" t="str">
        <f>IF('Pipe Insulation'!C42="", "", 'Pipe Insulation'!C42)</f>
        <v/>
      </c>
      <c r="D18" s="76" t="str">
        <f>IF('Pipe Insulation'!D42="", "", 'Pipe Insulation'!D42)</f>
        <v/>
      </c>
      <c r="E18" s="69" t="str">
        <f>IF('Pipe Insulation'!E42="", "", 'Pipe Insulation'!E42)</f>
        <v/>
      </c>
      <c r="F18" s="76" t="str">
        <f>IFERROR(VLOOKUP('Pipe Insulation'!G42,'Pipe Insulation'!$AM$142:$AN$149,2,FALSE),"")</f>
        <v/>
      </c>
      <c r="G18" s="86" t="str">
        <f>IF('Pipe Insulation'!W42="", "", 'Pipe Insulation'!W42)</f>
        <v/>
      </c>
      <c r="H18" s="76" t="str">
        <f>IFERROR(VLOOKUP('Pipe Insulation'!Y42,'Pipe Insulation'!$AM$152:$AN$153,2,FALSE),"")</f>
        <v/>
      </c>
      <c r="I18" s="68" t="str">
        <f>IF('Pipe Insulation'!Z42="", "", 'Pipe Insulation'!Z42)</f>
        <v/>
      </c>
      <c r="J18" s="480"/>
    </row>
    <row r="19" spans="2:10" s="1" customFormat="1" x14ac:dyDescent="0.25">
      <c r="B19" s="76">
        <f>'Pipe Insulation'!B43</f>
        <v>10</v>
      </c>
      <c r="C19" s="76" t="str">
        <f>IF('Pipe Insulation'!C43="", "", 'Pipe Insulation'!C43)</f>
        <v/>
      </c>
      <c r="D19" s="76" t="str">
        <f>IF('Pipe Insulation'!D43="", "", 'Pipe Insulation'!D43)</f>
        <v/>
      </c>
      <c r="E19" s="69" t="str">
        <f>IF('Pipe Insulation'!E43="", "", 'Pipe Insulation'!E43)</f>
        <v/>
      </c>
      <c r="F19" s="76" t="str">
        <f>IFERROR(VLOOKUP('Pipe Insulation'!G43,'Pipe Insulation'!$AM$142:$AN$149,2,FALSE),"")</f>
        <v/>
      </c>
      <c r="G19" s="86" t="str">
        <f>IF('Pipe Insulation'!W43="", "", 'Pipe Insulation'!W43)</f>
        <v/>
      </c>
      <c r="H19" s="76" t="str">
        <f>IFERROR(VLOOKUP('Pipe Insulation'!Y43,'Pipe Insulation'!$AM$152:$AN$153,2,FALSE),"")</f>
        <v/>
      </c>
      <c r="I19" s="68" t="str">
        <f>IF('Pipe Insulation'!Z43="", "", 'Pipe Insulation'!Z43)</f>
        <v/>
      </c>
      <c r="J19" s="480"/>
    </row>
    <row r="20" spans="2:10" s="1" customFormat="1" x14ac:dyDescent="0.25">
      <c r="B20" s="76">
        <f>'Pipe Insulation'!B44</f>
        <v>11</v>
      </c>
      <c r="C20" s="76" t="str">
        <f>IF('Pipe Insulation'!C44="", "", 'Pipe Insulation'!C44)</f>
        <v/>
      </c>
      <c r="D20" s="76" t="str">
        <f>IF('Pipe Insulation'!D44="", "", 'Pipe Insulation'!D44)</f>
        <v/>
      </c>
      <c r="E20" s="69" t="str">
        <f>IF('Pipe Insulation'!E44="", "", 'Pipe Insulation'!E44)</f>
        <v/>
      </c>
      <c r="F20" s="76" t="str">
        <f>IFERROR(VLOOKUP('Pipe Insulation'!G44,'Pipe Insulation'!$AM$142:$AN$149,2,FALSE),"")</f>
        <v/>
      </c>
      <c r="G20" s="86" t="str">
        <f>IF('Pipe Insulation'!W44="", "", 'Pipe Insulation'!W44)</f>
        <v/>
      </c>
      <c r="H20" s="76" t="str">
        <f>IFERROR(VLOOKUP('Pipe Insulation'!Y44,'Pipe Insulation'!$AM$152:$AN$153,2,FALSE),"")</f>
        <v/>
      </c>
      <c r="I20" s="68" t="str">
        <f>IF('Pipe Insulation'!Z44="", "", 'Pipe Insulation'!Z44)</f>
        <v/>
      </c>
      <c r="J20" s="480"/>
    </row>
    <row r="21" spans="2:10" s="1" customFormat="1" x14ac:dyDescent="0.25">
      <c r="B21" s="76">
        <f>'Pipe Insulation'!B45</f>
        <v>12</v>
      </c>
      <c r="C21" s="76" t="str">
        <f>IF('Pipe Insulation'!C45="", "", 'Pipe Insulation'!C45)</f>
        <v/>
      </c>
      <c r="D21" s="76" t="str">
        <f>IF('Pipe Insulation'!D45="", "", 'Pipe Insulation'!D45)</f>
        <v/>
      </c>
      <c r="E21" s="69" t="str">
        <f>IF('Pipe Insulation'!E45="", "", 'Pipe Insulation'!E45)</f>
        <v/>
      </c>
      <c r="F21" s="76" t="str">
        <f>IFERROR(VLOOKUP('Pipe Insulation'!G45,'Pipe Insulation'!$AM$142:$AN$149,2,FALSE),"")</f>
        <v/>
      </c>
      <c r="G21" s="86" t="str">
        <f>IF('Pipe Insulation'!W45="", "", 'Pipe Insulation'!W45)</f>
        <v/>
      </c>
      <c r="H21" s="76" t="str">
        <f>IFERROR(VLOOKUP('Pipe Insulation'!Y45,'Pipe Insulation'!$AM$152:$AN$153,2,FALSE),"")</f>
        <v/>
      </c>
      <c r="I21" s="68" t="str">
        <f>IF('Pipe Insulation'!Z45="", "", 'Pipe Insulation'!Z45)</f>
        <v/>
      </c>
      <c r="J21" s="480"/>
    </row>
    <row r="22" spans="2:10" s="1" customFormat="1" x14ac:dyDescent="0.25">
      <c r="B22" s="76">
        <f>'Pipe Insulation'!B46</f>
        <v>13</v>
      </c>
      <c r="C22" s="76" t="str">
        <f>IF('Pipe Insulation'!C46="", "", 'Pipe Insulation'!C46)</f>
        <v/>
      </c>
      <c r="D22" s="76" t="str">
        <f>IF('Pipe Insulation'!D46="", "", 'Pipe Insulation'!D46)</f>
        <v/>
      </c>
      <c r="E22" s="69" t="str">
        <f>IF('Pipe Insulation'!E46="", "", 'Pipe Insulation'!E46)</f>
        <v/>
      </c>
      <c r="F22" s="76" t="str">
        <f>IFERROR(VLOOKUP('Pipe Insulation'!G46,'Pipe Insulation'!$AM$142:$AN$149,2,FALSE),"")</f>
        <v/>
      </c>
      <c r="G22" s="86" t="str">
        <f>IF('Pipe Insulation'!W46="", "", 'Pipe Insulation'!W46)</f>
        <v/>
      </c>
      <c r="H22" s="76" t="str">
        <f>IFERROR(VLOOKUP('Pipe Insulation'!Y46,'Pipe Insulation'!$AM$152:$AN$153,2,FALSE),"")</f>
        <v/>
      </c>
      <c r="I22" s="68" t="str">
        <f>IF('Pipe Insulation'!Z46="", "", 'Pipe Insulation'!Z46)</f>
        <v/>
      </c>
      <c r="J22" s="480"/>
    </row>
    <row r="23" spans="2:10" s="1" customFormat="1" x14ac:dyDescent="0.25">
      <c r="B23" s="76">
        <f>'Pipe Insulation'!B47</f>
        <v>14</v>
      </c>
      <c r="C23" s="76" t="str">
        <f>IF('Pipe Insulation'!C47="", "", 'Pipe Insulation'!C47)</f>
        <v/>
      </c>
      <c r="D23" s="76" t="str">
        <f>IF('Pipe Insulation'!D47="", "", 'Pipe Insulation'!D47)</f>
        <v/>
      </c>
      <c r="E23" s="69" t="str">
        <f>IF('Pipe Insulation'!E47="", "", 'Pipe Insulation'!E47)</f>
        <v/>
      </c>
      <c r="F23" s="76" t="str">
        <f>IFERROR(VLOOKUP('Pipe Insulation'!G47,'Pipe Insulation'!$AM$142:$AN$149,2,FALSE),"")</f>
        <v/>
      </c>
      <c r="G23" s="86" t="str">
        <f>IF('Pipe Insulation'!W47="", "", 'Pipe Insulation'!W47)</f>
        <v/>
      </c>
      <c r="H23" s="76" t="str">
        <f>IFERROR(VLOOKUP('Pipe Insulation'!Y47,'Pipe Insulation'!$AM$152:$AN$153,2,FALSE),"")</f>
        <v/>
      </c>
      <c r="I23" s="68" t="str">
        <f>IF('Pipe Insulation'!Z47="", "", 'Pipe Insulation'!Z47)</f>
        <v/>
      </c>
      <c r="J23" s="480"/>
    </row>
    <row r="24" spans="2:10" s="1" customFormat="1" x14ac:dyDescent="0.25">
      <c r="B24" s="76">
        <f>'Pipe Insulation'!B48</f>
        <v>15</v>
      </c>
      <c r="C24" s="76" t="str">
        <f>IF('Pipe Insulation'!C48="", "", 'Pipe Insulation'!C48)</f>
        <v/>
      </c>
      <c r="D24" s="76" t="str">
        <f>IF('Pipe Insulation'!D48="", "", 'Pipe Insulation'!D48)</f>
        <v/>
      </c>
      <c r="E24" s="69" t="str">
        <f>IF('Pipe Insulation'!E48="", "", 'Pipe Insulation'!E48)</f>
        <v/>
      </c>
      <c r="F24" s="76" t="str">
        <f>IFERROR(VLOOKUP('Pipe Insulation'!G48,'Pipe Insulation'!$AM$142:$AN$149,2,FALSE),"")</f>
        <v/>
      </c>
      <c r="G24" s="86" t="str">
        <f>IF('Pipe Insulation'!W48="", "", 'Pipe Insulation'!W48)</f>
        <v/>
      </c>
      <c r="H24" s="76" t="str">
        <f>IFERROR(VLOOKUP('Pipe Insulation'!Y48,'Pipe Insulation'!$AM$152:$AN$153,2,FALSE),"")</f>
        <v/>
      </c>
      <c r="I24" s="68" t="str">
        <f>IF('Pipe Insulation'!Z48="", "", 'Pipe Insulation'!Z48)</f>
        <v/>
      </c>
      <c r="J24" s="480"/>
    </row>
    <row r="25" spans="2:10" s="1" customFormat="1" x14ac:dyDescent="0.25">
      <c r="B25" s="76">
        <f>'Pipe Insulation'!B49</f>
        <v>16</v>
      </c>
      <c r="C25" s="76" t="str">
        <f>IF('Pipe Insulation'!C49="", "", 'Pipe Insulation'!C49)</f>
        <v/>
      </c>
      <c r="D25" s="76" t="str">
        <f>IF('Pipe Insulation'!D49="", "", 'Pipe Insulation'!D49)</f>
        <v/>
      </c>
      <c r="E25" s="69" t="str">
        <f>IF('Pipe Insulation'!E49="", "", 'Pipe Insulation'!E49)</f>
        <v/>
      </c>
      <c r="F25" s="76" t="str">
        <f>IFERROR(VLOOKUP('Pipe Insulation'!G49,'Pipe Insulation'!$AM$142:$AN$149,2,FALSE),"")</f>
        <v/>
      </c>
      <c r="G25" s="86" t="str">
        <f>IF('Pipe Insulation'!W49="", "", 'Pipe Insulation'!W49)</f>
        <v/>
      </c>
      <c r="H25" s="76" t="str">
        <f>IFERROR(VLOOKUP('Pipe Insulation'!Y49,'Pipe Insulation'!$AM$152:$AN$153,2,FALSE),"")</f>
        <v/>
      </c>
      <c r="I25" s="68" t="str">
        <f>IF('Pipe Insulation'!Z49="", "", 'Pipe Insulation'!Z49)</f>
        <v/>
      </c>
      <c r="J25" s="480"/>
    </row>
    <row r="26" spans="2:10" s="1" customFormat="1" x14ac:dyDescent="0.25">
      <c r="B26" s="76">
        <f>'Pipe Insulation'!B50</f>
        <v>17</v>
      </c>
      <c r="C26" s="76" t="str">
        <f>IF('Pipe Insulation'!C50="", "", 'Pipe Insulation'!C50)</f>
        <v/>
      </c>
      <c r="D26" s="76" t="str">
        <f>IF('Pipe Insulation'!D50="", "", 'Pipe Insulation'!D50)</f>
        <v/>
      </c>
      <c r="E26" s="69" t="str">
        <f>IF('Pipe Insulation'!E50="", "", 'Pipe Insulation'!E50)</f>
        <v/>
      </c>
      <c r="F26" s="76" t="str">
        <f>IFERROR(VLOOKUP('Pipe Insulation'!G50,'Pipe Insulation'!$AM$142:$AN$149,2,FALSE),"")</f>
        <v/>
      </c>
      <c r="G26" s="86" t="str">
        <f>IF('Pipe Insulation'!W50="", "", 'Pipe Insulation'!W50)</f>
        <v/>
      </c>
      <c r="H26" s="76" t="str">
        <f>IFERROR(VLOOKUP('Pipe Insulation'!Y50,'Pipe Insulation'!$AM$152:$AN$153,2,FALSE),"")</f>
        <v/>
      </c>
      <c r="I26" s="68" t="str">
        <f>IF('Pipe Insulation'!Z50="", "", 'Pipe Insulation'!Z50)</f>
        <v/>
      </c>
      <c r="J26" s="480"/>
    </row>
    <row r="27" spans="2:10" s="1" customFormat="1" x14ac:dyDescent="0.25">
      <c r="B27" s="76">
        <f>'Pipe Insulation'!B51</f>
        <v>18</v>
      </c>
      <c r="C27" s="76" t="str">
        <f>IF('Pipe Insulation'!C51="", "", 'Pipe Insulation'!C51)</f>
        <v/>
      </c>
      <c r="D27" s="76" t="str">
        <f>IF('Pipe Insulation'!D51="", "", 'Pipe Insulation'!D51)</f>
        <v/>
      </c>
      <c r="E27" s="69" t="str">
        <f>IF('Pipe Insulation'!E51="", "", 'Pipe Insulation'!E51)</f>
        <v/>
      </c>
      <c r="F27" s="76" t="str">
        <f>IFERROR(VLOOKUP('Pipe Insulation'!G51,'Pipe Insulation'!$AM$142:$AN$149,2,FALSE),"")</f>
        <v/>
      </c>
      <c r="G27" s="86" t="str">
        <f>IF('Pipe Insulation'!W51="", "", 'Pipe Insulation'!W51)</f>
        <v/>
      </c>
      <c r="H27" s="76" t="str">
        <f>IFERROR(VLOOKUP('Pipe Insulation'!Y51,'Pipe Insulation'!$AM$152:$AN$153,2,FALSE),"")</f>
        <v/>
      </c>
      <c r="I27" s="68" t="str">
        <f>IF('Pipe Insulation'!Z51="", "", 'Pipe Insulation'!Z51)</f>
        <v/>
      </c>
      <c r="J27" s="480"/>
    </row>
    <row r="28" spans="2:10" s="1" customFormat="1" x14ac:dyDescent="0.25">
      <c r="B28" s="76">
        <f>'Pipe Insulation'!B52</f>
        <v>19</v>
      </c>
      <c r="C28" s="76" t="str">
        <f>IF('Pipe Insulation'!C52="", "", 'Pipe Insulation'!C52)</f>
        <v/>
      </c>
      <c r="D28" s="76" t="str">
        <f>IF('Pipe Insulation'!D52="", "", 'Pipe Insulation'!D52)</f>
        <v/>
      </c>
      <c r="E28" s="69" t="str">
        <f>IF('Pipe Insulation'!E52="", "", 'Pipe Insulation'!E52)</f>
        <v/>
      </c>
      <c r="F28" s="76" t="str">
        <f>IFERROR(VLOOKUP('Pipe Insulation'!G52,'Pipe Insulation'!$AM$142:$AN$149,2,FALSE),"")</f>
        <v/>
      </c>
      <c r="G28" s="86" t="str">
        <f>IF('Pipe Insulation'!W52="", "", 'Pipe Insulation'!W52)</f>
        <v/>
      </c>
      <c r="H28" s="76" t="str">
        <f>IFERROR(VLOOKUP('Pipe Insulation'!Y52,'Pipe Insulation'!$AM$152:$AN$153,2,FALSE),"")</f>
        <v/>
      </c>
      <c r="I28" s="68" t="str">
        <f>IF('Pipe Insulation'!Z52="", "", 'Pipe Insulation'!Z52)</f>
        <v/>
      </c>
      <c r="J28" s="480"/>
    </row>
    <row r="29" spans="2:10" s="1" customFormat="1" x14ac:dyDescent="0.25">
      <c r="B29" s="76">
        <f>'Pipe Insulation'!B53</f>
        <v>20</v>
      </c>
      <c r="C29" s="76" t="str">
        <f>IF('Pipe Insulation'!C53="", "", 'Pipe Insulation'!C53)</f>
        <v/>
      </c>
      <c r="D29" s="76" t="str">
        <f>IF('Pipe Insulation'!D53="", "", 'Pipe Insulation'!D53)</f>
        <v/>
      </c>
      <c r="E29" s="69" t="str">
        <f>IF('Pipe Insulation'!E53="", "", 'Pipe Insulation'!E53)</f>
        <v/>
      </c>
      <c r="F29" s="76" t="str">
        <f>IFERROR(VLOOKUP('Pipe Insulation'!G53,'Pipe Insulation'!$AM$142:$AN$149,2,FALSE),"")</f>
        <v/>
      </c>
      <c r="G29" s="86" t="str">
        <f>IF('Pipe Insulation'!W53="", "", 'Pipe Insulation'!W53)</f>
        <v/>
      </c>
      <c r="H29" s="76" t="str">
        <f>IFERROR(VLOOKUP('Pipe Insulation'!Y53,'Pipe Insulation'!$AM$152:$AN$153,2,FALSE),"")</f>
        <v/>
      </c>
      <c r="I29" s="68" t="str">
        <f>IF('Pipe Insulation'!Z53="", "", 'Pipe Insulation'!Z53)</f>
        <v/>
      </c>
      <c r="J29" s="480"/>
    </row>
    <row r="30" spans="2:10" s="1" customFormat="1" x14ac:dyDescent="0.25">
      <c r="B30" s="76">
        <f>'Pipe Insulation'!B54</f>
        <v>21</v>
      </c>
      <c r="C30" s="76" t="str">
        <f>IF('Pipe Insulation'!C54="", "", 'Pipe Insulation'!C54)</f>
        <v/>
      </c>
      <c r="D30" s="76" t="str">
        <f>IF('Pipe Insulation'!D54="", "", 'Pipe Insulation'!D54)</f>
        <v/>
      </c>
      <c r="E30" s="69" t="str">
        <f>IF('Pipe Insulation'!E54="", "", 'Pipe Insulation'!E54)</f>
        <v/>
      </c>
      <c r="F30" s="76" t="str">
        <f>IFERROR(VLOOKUP('Pipe Insulation'!G54,'Pipe Insulation'!$AM$142:$AN$149,2,FALSE),"")</f>
        <v/>
      </c>
      <c r="G30" s="86" t="str">
        <f>IF('Pipe Insulation'!W54="", "", 'Pipe Insulation'!W54)</f>
        <v/>
      </c>
      <c r="H30" s="76" t="str">
        <f>IFERROR(VLOOKUP('Pipe Insulation'!Y54,'Pipe Insulation'!$AM$152:$AN$153,2,FALSE),"")</f>
        <v/>
      </c>
      <c r="I30" s="68" t="str">
        <f>IF('Pipe Insulation'!Z54="", "", 'Pipe Insulation'!Z54)</f>
        <v/>
      </c>
      <c r="J30" s="480"/>
    </row>
    <row r="31" spans="2:10" s="1" customFormat="1" x14ac:dyDescent="0.25">
      <c r="B31" s="76">
        <f>'Pipe Insulation'!B55</f>
        <v>22</v>
      </c>
      <c r="C31" s="76" t="str">
        <f>IF('Pipe Insulation'!C55="", "", 'Pipe Insulation'!C55)</f>
        <v/>
      </c>
      <c r="D31" s="76" t="str">
        <f>IF('Pipe Insulation'!D55="", "", 'Pipe Insulation'!D55)</f>
        <v/>
      </c>
      <c r="E31" s="69" t="str">
        <f>IF('Pipe Insulation'!E55="", "", 'Pipe Insulation'!E55)</f>
        <v/>
      </c>
      <c r="F31" s="76" t="str">
        <f>IFERROR(VLOOKUP('Pipe Insulation'!G55,'Pipe Insulation'!$AM$142:$AN$149,2,FALSE),"")</f>
        <v/>
      </c>
      <c r="G31" s="86" t="str">
        <f>IF('Pipe Insulation'!W55="", "", 'Pipe Insulation'!W55)</f>
        <v/>
      </c>
      <c r="H31" s="76" t="str">
        <f>IFERROR(VLOOKUP('Pipe Insulation'!Y55,'Pipe Insulation'!$AM$152:$AN$153,2,FALSE),"")</f>
        <v/>
      </c>
      <c r="I31" s="68" t="str">
        <f>IF('Pipe Insulation'!Z55="", "", 'Pipe Insulation'!Z55)</f>
        <v/>
      </c>
      <c r="J31" s="480"/>
    </row>
    <row r="32" spans="2:10" s="1" customFormat="1" x14ac:dyDescent="0.25">
      <c r="B32" s="76">
        <f>'Pipe Insulation'!B56</f>
        <v>23</v>
      </c>
      <c r="C32" s="76" t="str">
        <f>IF('Pipe Insulation'!C56="", "", 'Pipe Insulation'!C56)</f>
        <v/>
      </c>
      <c r="D32" s="76" t="str">
        <f>IF('Pipe Insulation'!D56="", "", 'Pipe Insulation'!D56)</f>
        <v/>
      </c>
      <c r="E32" s="69" t="str">
        <f>IF('Pipe Insulation'!E56="", "", 'Pipe Insulation'!E56)</f>
        <v/>
      </c>
      <c r="F32" s="76" t="str">
        <f>IFERROR(VLOOKUP('Pipe Insulation'!G56,'Pipe Insulation'!$AM$142:$AN$149,2,FALSE),"")</f>
        <v/>
      </c>
      <c r="G32" s="86" t="str">
        <f>IF('Pipe Insulation'!W56="", "", 'Pipe Insulation'!W56)</f>
        <v/>
      </c>
      <c r="H32" s="76" t="str">
        <f>IFERROR(VLOOKUP('Pipe Insulation'!Y56,'Pipe Insulation'!$AM$152:$AN$153,2,FALSE),"")</f>
        <v/>
      </c>
      <c r="I32" s="68" t="str">
        <f>IF('Pipe Insulation'!Z56="", "", 'Pipe Insulation'!Z56)</f>
        <v/>
      </c>
      <c r="J32" s="480"/>
    </row>
    <row r="33" spans="2:10" s="1" customFormat="1" x14ac:dyDescent="0.25">
      <c r="B33" s="76">
        <f>'Pipe Insulation'!B57</f>
        <v>24</v>
      </c>
      <c r="C33" s="76" t="str">
        <f>IF('Pipe Insulation'!C57="", "", 'Pipe Insulation'!C57)</f>
        <v/>
      </c>
      <c r="D33" s="76" t="str">
        <f>IF('Pipe Insulation'!D57="", "", 'Pipe Insulation'!D57)</f>
        <v/>
      </c>
      <c r="E33" s="69" t="str">
        <f>IF('Pipe Insulation'!E57="", "", 'Pipe Insulation'!E57)</f>
        <v/>
      </c>
      <c r="F33" s="76" t="str">
        <f>IFERROR(VLOOKUP('Pipe Insulation'!G57,'Pipe Insulation'!$AM$142:$AN$149,2,FALSE),"")</f>
        <v/>
      </c>
      <c r="G33" s="86" t="str">
        <f>IF('Pipe Insulation'!W57="", "", 'Pipe Insulation'!W57)</f>
        <v/>
      </c>
      <c r="H33" s="76" t="str">
        <f>IFERROR(VLOOKUP('Pipe Insulation'!Y57,'Pipe Insulation'!$AM$152:$AN$153,2,FALSE),"")</f>
        <v/>
      </c>
      <c r="I33" s="68" t="str">
        <f>IF('Pipe Insulation'!Z57="", "", 'Pipe Insulation'!Z57)</f>
        <v/>
      </c>
      <c r="J33" s="480"/>
    </row>
    <row r="34" spans="2:10" s="1" customFormat="1" x14ac:dyDescent="0.25">
      <c r="B34" s="76">
        <f>'Pipe Insulation'!B58</f>
        <v>25</v>
      </c>
      <c r="C34" s="76" t="str">
        <f>IF('Pipe Insulation'!C58="", "", 'Pipe Insulation'!C58)</f>
        <v/>
      </c>
      <c r="D34" s="76" t="str">
        <f>IF('Pipe Insulation'!D58="", "", 'Pipe Insulation'!D58)</f>
        <v/>
      </c>
      <c r="E34" s="69" t="str">
        <f>IF('Pipe Insulation'!E58="", "", 'Pipe Insulation'!E58)</f>
        <v/>
      </c>
      <c r="F34" s="76" t="str">
        <f>IFERROR(VLOOKUP('Pipe Insulation'!G58,'Pipe Insulation'!$AM$142:$AN$149,2,FALSE),"")</f>
        <v/>
      </c>
      <c r="G34" s="86" t="str">
        <f>IF('Pipe Insulation'!W58="", "", 'Pipe Insulation'!W58)</f>
        <v/>
      </c>
      <c r="H34" s="76" t="str">
        <f>IFERROR(VLOOKUP('Pipe Insulation'!Y58,'Pipe Insulation'!$AM$152:$AN$153,2,FALSE),"")</f>
        <v/>
      </c>
      <c r="I34" s="68" t="str">
        <f>IF('Pipe Insulation'!Z58="", "", 'Pipe Insulation'!Z58)</f>
        <v/>
      </c>
      <c r="J34" s="480"/>
    </row>
    <row r="35" spans="2:10" s="1" customFormat="1" x14ac:dyDescent="0.25">
      <c r="B35" s="76">
        <f>'Pipe Insulation'!B59</f>
        <v>26</v>
      </c>
      <c r="C35" s="76" t="str">
        <f>IF('Pipe Insulation'!C59="", "", 'Pipe Insulation'!C59)</f>
        <v/>
      </c>
      <c r="D35" s="76" t="str">
        <f>IF('Pipe Insulation'!D59="", "", 'Pipe Insulation'!D59)</f>
        <v/>
      </c>
      <c r="E35" s="69" t="str">
        <f>IF('Pipe Insulation'!E59="", "", 'Pipe Insulation'!E59)</f>
        <v/>
      </c>
      <c r="F35" s="76" t="str">
        <f>IFERROR(VLOOKUP('Pipe Insulation'!G59,'Pipe Insulation'!$AM$142:$AN$149,2,FALSE),"")</f>
        <v/>
      </c>
      <c r="G35" s="86" t="str">
        <f>IF('Pipe Insulation'!W59="", "", 'Pipe Insulation'!W59)</f>
        <v/>
      </c>
      <c r="H35" s="76" t="str">
        <f>IFERROR(VLOOKUP('Pipe Insulation'!Y59,'Pipe Insulation'!$AM$152:$AN$153,2,FALSE),"")</f>
        <v/>
      </c>
      <c r="I35" s="68" t="str">
        <f>IF('Pipe Insulation'!Z59="", "", 'Pipe Insulation'!Z59)</f>
        <v/>
      </c>
      <c r="J35" s="480"/>
    </row>
    <row r="36" spans="2:10" s="1" customFormat="1" x14ac:dyDescent="0.25">
      <c r="B36" s="76">
        <f>'Pipe Insulation'!B60</f>
        <v>27</v>
      </c>
      <c r="C36" s="76" t="str">
        <f>IF('Pipe Insulation'!C60="", "", 'Pipe Insulation'!C60)</f>
        <v/>
      </c>
      <c r="D36" s="76" t="str">
        <f>IF('Pipe Insulation'!D60="", "", 'Pipe Insulation'!D60)</f>
        <v/>
      </c>
      <c r="E36" s="69" t="str">
        <f>IF('Pipe Insulation'!E60="", "", 'Pipe Insulation'!E60)</f>
        <v/>
      </c>
      <c r="F36" s="76" t="str">
        <f>IFERROR(VLOOKUP('Pipe Insulation'!G60,'Pipe Insulation'!$AM$142:$AN$149,2,FALSE),"")</f>
        <v/>
      </c>
      <c r="G36" s="86" t="str">
        <f>IF('Pipe Insulation'!W60="", "", 'Pipe Insulation'!W60)</f>
        <v/>
      </c>
      <c r="H36" s="76" t="str">
        <f>IFERROR(VLOOKUP('Pipe Insulation'!Y60,'Pipe Insulation'!$AM$152:$AN$153,2,FALSE),"")</f>
        <v/>
      </c>
      <c r="I36" s="68" t="str">
        <f>IF('Pipe Insulation'!Z60="", "", 'Pipe Insulation'!Z60)</f>
        <v/>
      </c>
      <c r="J36" s="480"/>
    </row>
    <row r="37" spans="2:10" s="1" customFormat="1" x14ac:dyDescent="0.25">
      <c r="B37" s="76">
        <f>'Pipe Insulation'!B61</f>
        <v>28</v>
      </c>
      <c r="C37" s="76" t="str">
        <f>IF('Pipe Insulation'!C61="", "", 'Pipe Insulation'!C61)</f>
        <v/>
      </c>
      <c r="D37" s="76" t="str">
        <f>IF('Pipe Insulation'!D61="", "", 'Pipe Insulation'!D61)</f>
        <v/>
      </c>
      <c r="E37" s="69" t="str">
        <f>IF('Pipe Insulation'!E61="", "", 'Pipe Insulation'!E61)</f>
        <v/>
      </c>
      <c r="F37" s="76" t="str">
        <f>IFERROR(VLOOKUP('Pipe Insulation'!G61,'Pipe Insulation'!$AM$142:$AN$149,2,FALSE),"")</f>
        <v/>
      </c>
      <c r="G37" s="86" t="str">
        <f>IF('Pipe Insulation'!W61="", "", 'Pipe Insulation'!W61)</f>
        <v/>
      </c>
      <c r="H37" s="76" t="str">
        <f>IFERROR(VLOOKUP('Pipe Insulation'!Y61,'Pipe Insulation'!$AM$152:$AN$153,2,FALSE),"")</f>
        <v/>
      </c>
      <c r="I37" s="68" t="str">
        <f>IF('Pipe Insulation'!Z61="", "", 'Pipe Insulation'!Z61)</f>
        <v/>
      </c>
      <c r="J37" s="480"/>
    </row>
    <row r="38" spans="2:10" s="1" customFormat="1" x14ac:dyDescent="0.25">
      <c r="B38" s="76">
        <f>'Pipe Insulation'!B62</f>
        <v>29</v>
      </c>
      <c r="C38" s="76" t="str">
        <f>IF('Pipe Insulation'!C62="", "", 'Pipe Insulation'!C62)</f>
        <v/>
      </c>
      <c r="D38" s="76" t="str">
        <f>IF('Pipe Insulation'!D62="", "", 'Pipe Insulation'!D62)</f>
        <v/>
      </c>
      <c r="E38" s="69" t="str">
        <f>IF('Pipe Insulation'!E62="", "", 'Pipe Insulation'!E62)</f>
        <v/>
      </c>
      <c r="F38" s="76" t="str">
        <f>IFERROR(VLOOKUP('Pipe Insulation'!G62,'Pipe Insulation'!$AM$142:$AN$149,2,FALSE),"")</f>
        <v/>
      </c>
      <c r="G38" s="86" t="str">
        <f>IF('Pipe Insulation'!W62="", "", 'Pipe Insulation'!W62)</f>
        <v/>
      </c>
      <c r="H38" s="76" t="str">
        <f>IFERROR(VLOOKUP('Pipe Insulation'!Y62,'Pipe Insulation'!$AM$152:$AN$153,2,FALSE),"")</f>
        <v/>
      </c>
      <c r="I38" s="68" t="str">
        <f>IF('Pipe Insulation'!Z62="", "", 'Pipe Insulation'!Z62)</f>
        <v/>
      </c>
      <c r="J38" s="480"/>
    </row>
    <row r="39" spans="2:10" s="1" customFormat="1" x14ac:dyDescent="0.25">
      <c r="B39" s="76">
        <f>'Pipe Insulation'!B63</f>
        <v>30</v>
      </c>
      <c r="C39" s="76" t="str">
        <f>IF('Pipe Insulation'!C63="", "", 'Pipe Insulation'!C63)</f>
        <v/>
      </c>
      <c r="D39" s="76" t="str">
        <f>IF('Pipe Insulation'!D63="", "", 'Pipe Insulation'!D63)</f>
        <v/>
      </c>
      <c r="E39" s="69" t="str">
        <f>IF('Pipe Insulation'!E63="", "", 'Pipe Insulation'!E63)</f>
        <v/>
      </c>
      <c r="F39" s="76" t="str">
        <f>IFERROR(VLOOKUP('Pipe Insulation'!G63,'Pipe Insulation'!$AM$142:$AN$149,2,FALSE),"")</f>
        <v/>
      </c>
      <c r="G39" s="86" t="str">
        <f>IF('Pipe Insulation'!W63="", "", 'Pipe Insulation'!W63)</f>
        <v/>
      </c>
      <c r="H39" s="76" t="str">
        <f>IFERROR(VLOOKUP('Pipe Insulation'!Y63,'Pipe Insulation'!$AM$152:$AN$153,2,FALSE),"")</f>
        <v/>
      </c>
      <c r="I39" s="68" t="str">
        <f>IF('Pipe Insulation'!Z63="", "", 'Pipe Insulation'!Z63)</f>
        <v/>
      </c>
      <c r="J39" s="480"/>
    </row>
    <row r="40" spans="2:10" s="1" customFormat="1" x14ac:dyDescent="0.25">
      <c r="B40" s="76">
        <f>'Pipe Insulation'!B64</f>
        <v>31</v>
      </c>
      <c r="C40" s="76" t="str">
        <f>IF('Pipe Insulation'!C64="", "", 'Pipe Insulation'!C64)</f>
        <v/>
      </c>
      <c r="D40" s="76" t="str">
        <f>IF('Pipe Insulation'!D64="", "", 'Pipe Insulation'!D64)</f>
        <v/>
      </c>
      <c r="E40" s="69" t="str">
        <f>IF('Pipe Insulation'!E64="", "", 'Pipe Insulation'!E64)</f>
        <v/>
      </c>
      <c r="F40" s="76" t="str">
        <f>IFERROR(VLOOKUP('Pipe Insulation'!G64,'Pipe Insulation'!$AM$142:$AN$149,2,FALSE),"")</f>
        <v/>
      </c>
      <c r="G40" s="86" t="str">
        <f>IF('Pipe Insulation'!W64="", "", 'Pipe Insulation'!W64)</f>
        <v/>
      </c>
      <c r="H40" s="76" t="str">
        <f>IFERROR(VLOOKUP('Pipe Insulation'!Y64,'Pipe Insulation'!$AM$152:$AN$153,2,FALSE),"")</f>
        <v/>
      </c>
      <c r="I40" s="68" t="str">
        <f>IF('Pipe Insulation'!Z64="", "", 'Pipe Insulation'!Z64)</f>
        <v/>
      </c>
      <c r="J40" s="480"/>
    </row>
    <row r="41" spans="2:10" s="1" customFormat="1" x14ac:dyDescent="0.25">
      <c r="B41" s="76">
        <f>'Pipe Insulation'!B65</f>
        <v>32</v>
      </c>
      <c r="C41" s="76" t="str">
        <f>IF('Pipe Insulation'!C65="", "", 'Pipe Insulation'!C65)</f>
        <v/>
      </c>
      <c r="D41" s="76" t="str">
        <f>IF('Pipe Insulation'!D65="", "", 'Pipe Insulation'!D65)</f>
        <v/>
      </c>
      <c r="E41" s="69" t="str">
        <f>IF('Pipe Insulation'!E65="", "", 'Pipe Insulation'!E65)</f>
        <v/>
      </c>
      <c r="F41" s="76" t="str">
        <f>IFERROR(VLOOKUP('Pipe Insulation'!G65,'Pipe Insulation'!$AM$142:$AN$149,2,FALSE),"")</f>
        <v/>
      </c>
      <c r="G41" s="86" t="str">
        <f>IF('Pipe Insulation'!W65="", "", 'Pipe Insulation'!W65)</f>
        <v/>
      </c>
      <c r="H41" s="76" t="str">
        <f>IFERROR(VLOOKUP('Pipe Insulation'!Y65,'Pipe Insulation'!$AM$152:$AN$153,2,FALSE),"")</f>
        <v/>
      </c>
      <c r="I41" s="68" t="str">
        <f>IF('Pipe Insulation'!Z65="", "", 'Pipe Insulation'!Z65)</f>
        <v/>
      </c>
      <c r="J41" s="480"/>
    </row>
    <row r="42" spans="2:10" s="1" customFormat="1" x14ac:dyDescent="0.25">
      <c r="B42" s="76">
        <f>'Pipe Insulation'!B66</f>
        <v>33</v>
      </c>
      <c r="C42" s="76" t="str">
        <f>IF('Pipe Insulation'!C66="", "", 'Pipe Insulation'!C66)</f>
        <v/>
      </c>
      <c r="D42" s="76" t="str">
        <f>IF('Pipe Insulation'!D66="", "", 'Pipe Insulation'!D66)</f>
        <v/>
      </c>
      <c r="E42" s="69" t="str">
        <f>IF('Pipe Insulation'!E66="", "", 'Pipe Insulation'!E66)</f>
        <v/>
      </c>
      <c r="F42" s="76" t="str">
        <f>IFERROR(VLOOKUP('Pipe Insulation'!G66,'Pipe Insulation'!$AM$142:$AN$149,2,FALSE),"")</f>
        <v/>
      </c>
      <c r="G42" s="86" t="str">
        <f>IF('Pipe Insulation'!W66="", "", 'Pipe Insulation'!W66)</f>
        <v/>
      </c>
      <c r="H42" s="76" t="str">
        <f>IFERROR(VLOOKUP('Pipe Insulation'!Y66,'Pipe Insulation'!$AM$152:$AN$153,2,FALSE),"")</f>
        <v/>
      </c>
      <c r="I42" s="68" t="str">
        <f>IF('Pipe Insulation'!Z66="", "", 'Pipe Insulation'!Z66)</f>
        <v/>
      </c>
      <c r="J42" s="480"/>
    </row>
    <row r="43" spans="2:10" s="1" customFormat="1" x14ac:dyDescent="0.25">
      <c r="B43" s="76">
        <f>'Pipe Insulation'!B67</f>
        <v>34</v>
      </c>
      <c r="C43" s="76" t="str">
        <f>IF('Pipe Insulation'!C67="", "", 'Pipe Insulation'!C67)</f>
        <v/>
      </c>
      <c r="D43" s="76" t="str">
        <f>IF('Pipe Insulation'!D67="", "", 'Pipe Insulation'!D67)</f>
        <v/>
      </c>
      <c r="E43" s="69" t="str">
        <f>IF('Pipe Insulation'!E67="", "", 'Pipe Insulation'!E67)</f>
        <v/>
      </c>
      <c r="F43" s="76" t="str">
        <f>IFERROR(VLOOKUP('Pipe Insulation'!G67,'Pipe Insulation'!$AM$142:$AN$149,2,FALSE),"")</f>
        <v/>
      </c>
      <c r="G43" s="86" t="str">
        <f>IF('Pipe Insulation'!W67="", "", 'Pipe Insulation'!W67)</f>
        <v/>
      </c>
      <c r="H43" s="76" t="str">
        <f>IFERROR(VLOOKUP('Pipe Insulation'!Y67,'Pipe Insulation'!$AM$152:$AN$153,2,FALSE),"")</f>
        <v/>
      </c>
      <c r="I43" s="68" t="str">
        <f>IF('Pipe Insulation'!Z67="", "", 'Pipe Insulation'!Z67)</f>
        <v/>
      </c>
      <c r="J43" s="480"/>
    </row>
    <row r="44" spans="2:10" s="1" customFormat="1" x14ac:dyDescent="0.25">
      <c r="B44" s="76">
        <f>'Pipe Insulation'!B68</f>
        <v>35</v>
      </c>
      <c r="C44" s="76" t="str">
        <f>IF('Pipe Insulation'!C68="", "", 'Pipe Insulation'!C68)</f>
        <v/>
      </c>
      <c r="D44" s="76" t="str">
        <f>IF('Pipe Insulation'!D68="", "", 'Pipe Insulation'!D68)</f>
        <v/>
      </c>
      <c r="E44" s="69" t="str">
        <f>IF('Pipe Insulation'!E68="", "", 'Pipe Insulation'!E68)</f>
        <v/>
      </c>
      <c r="F44" s="76" t="str">
        <f>IFERROR(VLOOKUP('Pipe Insulation'!G68,'Pipe Insulation'!$AM$142:$AN$149,2,FALSE),"")</f>
        <v/>
      </c>
      <c r="G44" s="86" t="str">
        <f>IF('Pipe Insulation'!W68="", "", 'Pipe Insulation'!W68)</f>
        <v/>
      </c>
      <c r="H44" s="76" t="str">
        <f>IFERROR(VLOOKUP('Pipe Insulation'!Y68,'Pipe Insulation'!$AM$152:$AN$153,2,FALSE),"")</f>
        <v/>
      </c>
      <c r="I44" s="68" t="str">
        <f>IF('Pipe Insulation'!Z68="", "", 'Pipe Insulation'!Z68)</f>
        <v/>
      </c>
      <c r="J44" s="480"/>
    </row>
    <row r="45" spans="2:10" s="1" customFormat="1" x14ac:dyDescent="0.25">
      <c r="B45" s="76">
        <f>'Pipe Insulation'!B69</f>
        <v>36</v>
      </c>
      <c r="C45" s="76" t="str">
        <f>IF('Pipe Insulation'!C69="", "", 'Pipe Insulation'!C69)</f>
        <v/>
      </c>
      <c r="D45" s="76" t="str">
        <f>IF('Pipe Insulation'!D69="", "", 'Pipe Insulation'!D69)</f>
        <v/>
      </c>
      <c r="E45" s="69" t="str">
        <f>IF('Pipe Insulation'!E69="", "", 'Pipe Insulation'!E69)</f>
        <v/>
      </c>
      <c r="F45" s="76" t="str">
        <f>IFERROR(VLOOKUP('Pipe Insulation'!G69,'Pipe Insulation'!$AM$142:$AN$149,2,FALSE),"")</f>
        <v/>
      </c>
      <c r="G45" s="86" t="str">
        <f>IF('Pipe Insulation'!W69="", "", 'Pipe Insulation'!W69)</f>
        <v/>
      </c>
      <c r="H45" s="76" t="str">
        <f>IFERROR(VLOOKUP('Pipe Insulation'!Y69,'Pipe Insulation'!$AM$152:$AN$153,2,FALSE),"")</f>
        <v/>
      </c>
      <c r="I45" s="68" t="str">
        <f>IF('Pipe Insulation'!Z69="", "", 'Pipe Insulation'!Z69)</f>
        <v/>
      </c>
      <c r="J45" s="480"/>
    </row>
    <row r="46" spans="2:10" s="1" customFormat="1" x14ac:dyDescent="0.25">
      <c r="B46" s="76">
        <f>'Pipe Insulation'!B70</f>
        <v>37</v>
      </c>
      <c r="C46" s="76" t="str">
        <f>IF('Pipe Insulation'!C70="", "", 'Pipe Insulation'!C70)</f>
        <v/>
      </c>
      <c r="D46" s="76" t="str">
        <f>IF('Pipe Insulation'!D70="", "", 'Pipe Insulation'!D70)</f>
        <v/>
      </c>
      <c r="E46" s="69" t="str">
        <f>IF('Pipe Insulation'!E70="", "", 'Pipe Insulation'!E70)</f>
        <v/>
      </c>
      <c r="F46" s="76" t="str">
        <f>IFERROR(VLOOKUP('Pipe Insulation'!G70,'Pipe Insulation'!$AM$142:$AN$149,2,FALSE),"")</f>
        <v/>
      </c>
      <c r="G46" s="86" t="str">
        <f>IF('Pipe Insulation'!W70="", "", 'Pipe Insulation'!W70)</f>
        <v/>
      </c>
      <c r="H46" s="76" t="str">
        <f>IFERROR(VLOOKUP('Pipe Insulation'!Y70,'Pipe Insulation'!$AM$152:$AN$153,2,FALSE),"")</f>
        <v/>
      </c>
      <c r="I46" s="68" t="str">
        <f>IF('Pipe Insulation'!Z70="", "", 'Pipe Insulation'!Z70)</f>
        <v/>
      </c>
      <c r="J46" s="480"/>
    </row>
    <row r="47" spans="2:10" s="1" customFormat="1" x14ac:dyDescent="0.25">
      <c r="B47" s="76">
        <f>'Pipe Insulation'!B71</f>
        <v>38</v>
      </c>
      <c r="C47" s="76" t="str">
        <f>IF('Pipe Insulation'!C71="", "", 'Pipe Insulation'!C71)</f>
        <v/>
      </c>
      <c r="D47" s="76" t="str">
        <f>IF('Pipe Insulation'!D71="", "", 'Pipe Insulation'!D71)</f>
        <v/>
      </c>
      <c r="E47" s="69" t="str">
        <f>IF('Pipe Insulation'!E71="", "", 'Pipe Insulation'!E71)</f>
        <v/>
      </c>
      <c r="F47" s="76" t="str">
        <f>IFERROR(VLOOKUP('Pipe Insulation'!G71,'Pipe Insulation'!$AM$142:$AN$149,2,FALSE),"")</f>
        <v/>
      </c>
      <c r="G47" s="86" t="str">
        <f>IF('Pipe Insulation'!W71="", "", 'Pipe Insulation'!W71)</f>
        <v/>
      </c>
      <c r="H47" s="76" t="str">
        <f>IFERROR(VLOOKUP('Pipe Insulation'!Y71,'Pipe Insulation'!$AM$152:$AN$153,2,FALSE),"")</f>
        <v/>
      </c>
      <c r="I47" s="68" t="str">
        <f>IF('Pipe Insulation'!Z71="", "", 'Pipe Insulation'!Z71)</f>
        <v/>
      </c>
      <c r="J47" s="480"/>
    </row>
    <row r="48" spans="2:10" s="1" customFormat="1" x14ac:dyDescent="0.25">
      <c r="B48" s="76">
        <f>'Pipe Insulation'!B72</f>
        <v>39</v>
      </c>
      <c r="C48" s="76" t="str">
        <f>IF('Pipe Insulation'!C72="", "", 'Pipe Insulation'!C72)</f>
        <v/>
      </c>
      <c r="D48" s="76" t="str">
        <f>IF('Pipe Insulation'!D72="", "", 'Pipe Insulation'!D72)</f>
        <v/>
      </c>
      <c r="E48" s="69" t="str">
        <f>IF('Pipe Insulation'!E72="", "", 'Pipe Insulation'!E72)</f>
        <v/>
      </c>
      <c r="F48" s="76" t="str">
        <f>IFERROR(VLOOKUP('Pipe Insulation'!G72,'Pipe Insulation'!$AM$142:$AN$149,2,FALSE),"")</f>
        <v/>
      </c>
      <c r="G48" s="86" t="str">
        <f>IF('Pipe Insulation'!W72="", "", 'Pipe Insulation'!W72)</f>
        <v/>
      </c>
      <c r="H48" s="76" t="str">
        <f>IFERROR(VLOOKUP('Pipe Insulation'!Y72,'Pipe Insulation'!$AM$152:$AN$153,2,FALSE),"")</f>
        <v/>
      </c>
      <c r="I48" s="68" t="str">
        <f>IF('Pipe Insulation'!Z72="", "", 'Pipe Insulation'!Z72)</f>
        <v/>
      </c>
      <c r="J48" s="480"/>
    </row>
    <row r="49" spans="2:10" s="1" customFormat="1" x14ac:dyDescent="0.25">
      <c r="B49" s="76">
        <f>'Pipe Insulation'!B73</f>
        <v>40</v>
      </c>
      <c r="C49" s="76" t="str">
        <f>IF('Pipe Insulation'!C73="", "", 'Pipe Insulation'!C73)</f>
        <v/>
      </c>
      <c r="D49" s="76" t="str">
        <f>IF('Pipe Insulation'!D73="", "", 'Pipe Insulation'!D73)</f>
        <v/>
      </c>
      <c r="E49" s="69" t="str">
        <f>IF('Pipe Insulation'!E73="", "", 'Pipe Insulation'!E73)</f>
        <v/>
      </c>
      <c r="F49" s="76" t="str">
        <f>IFERROR(VLOOKUP('Pipe Insulation'!G73,'Pipe Insulation'!$AM$142:$AN$149,2,FALSE),"")</f>
        <v/>
      </c>
      <c r="G49" s="86" t="str">
        <f>IF('Pipe Insulation'!W73="", "", 'Pipe Insulation'!W73)</f>
        <v/>
      </c>
      <c r="H49" s="76" t="str">
        <f>IFERROR(VLOOKUP('Pipe Insulation'!Y73,'Pipe Insulation'!$AM$152:$AN$153,2,FALSE),"")</f>
        <v/>
      </c>
      <c r="I49" s="68" t="str">
        <f>IF('Pipe Insulation'!Z73="", "", 'Pipe Insulation'!Z73)</f>
        <v/>
      </c>
      <c r="J49" s="480"/>
    </row>
    <row r="50" spans="2:10" s="1" customFormat="1" x14ac:dyDescent="0.25">
      <c r="B50" s="76">
        <f>'Pipe Insulation'!B74</f>
        <v>41</v>
      </c>
      <c r="C50" s="76" t="str">
        <f>IF('Pipe Insulation'!C74="", "", 'Pipe Insulation'!C74)</f>
        <v/>
      </c>
      <c r="D50" s="76" t="str">
        <f>IF('Pipe Insulation'!D74="", "", 'Pipe Insulation'!D74)</f>
        <v/>
      </c>
      <c r="E50" s="69" t="str">
        <f>IF('Pipe Insulation'!E74="", "", 'Pipe Insulation'!E74)</f>
        <v/>
      </c>
      <c r="F50" s="76" t="str">
        <f>IFERROR(VLOOKUP('Pipe Insulation'!G74,'Pipe Insulation'!$AM$142:$AN$149,2,FALSE),"")</f>
        <v/>
      </c>
      <c r="G50" s="86" t="str">
        <f>IF('Pipe Insulation'!W74="", "", 'Pipe Insulation'!W74)</f>
        <v/>
      </c>
      <c r="H50" s="76" t="str">
        <f>IFERROR(VLOOKUP('Pipe Insulation'!Y74,'Pipe Insulation'!$AM$152:$AN$153,2,FALSE),"")</f>
        <v/>
      </c>
      <c r="I50" s="68" t="str">
        <f>IF('Pipe Insulation'!Z74="", "", 'Pipe Insulation'!Z74)</f>
        <v/>
      </c>
      <c r="J50" s="480"/>
    </row>
    <row r="51" spans="2:10" s="1" customFormat="1" x14ac:dyDescent="0.25">
      <c r="B51" s="76">
        <f>'Pipe Insulation'!B75</f>
        <v>42</v>
      </c>
      <c r="C51" s="76" t="str">
        <f>IF('Pipe Insulation'!C75="", "", 'Pipe Insulation'!C75)</f>
        <v/>
      </c>
      <c r="D51" s="76" t="str">
        <f>IF('Pipe Insulation'!D75="", "", 'Pipe Insulation'!D75)</f>
        <v/>
      </c>
      <c r="E51" s="69" t="str">
        <f>IF('Pipe Insulation'!E75="", "", 'Pipe Insulation'!E75)</f>
        <v/>
      </c>
      <c r="F51" s="76" t="str">
        <f>IFERROR(VLOOKUP('Pipe Insulation'!G75,'Pipe Insulation'!$AM$142:$AN$149,2,FALSE),"")</f>
        <v/>
      </c>
      <c r="G51" s="86" t="str">
        <f>IF('Pipe Insulation'!W75="", "", 'Pipe Insulation'!W75)</f>
        <v/>
      </c>
      <c r="H51" s="76" t="str">
        <f>IFERROR(VLOOKUP('Pipe Insulation'!Y75,'Pipe Insulation'!$AM$152:$AN$153,2,FALSE),"")</f>
        <v/>
      </c>
      <c r="I51" s="68" t="str">
        <f>IF('Pipe Insulation'!Z75="", "", 'Pipe Insulation'!Z75)</f>
        <v/>
      </c>
      <c r="J51" s="480"/>
    </row>
    <row r="52" spans="2:10" s="1" customFormat="1" x14ac:dyDescent="0.25">
      <c r="B52" s="76">
        <f>'Pipe Insulation'!B76</f>
        <v>43</v>
      </c>
      <c r="C52" s="76" t="str">
        <f>IF('Pipe Insulation'!C76="", "", 'Pipe Insulation'!C76)</f>
        <v/>
      </c>
      <c r="D52" s="76" t="str">
        <f>IF('Pipe Insulation'!D76="", "", 'Pipe Insulation'!D76)</f>
        <v/>
      </c>
      <c r="E52" s="69" t="str">
        <f>IF('Pipe Insulation'!E76="", "", 'Pipe Insulation'!E76)</f>
        <v/>
      </c>
      <c r="F52" s="76" t="str">
        <f>IFERROR(VLOOKUP('Pipe Insulation'!G76,'Pipe Insulation'!$AM$142:$AN$149,2,FALSE),"")</f>
        <v/>
      </c>
      <c r="G52" s="86" t="str">
        <f>IF('Pipe Insulation'!W76="", "", 'Pipe Insulation'!W76)</f>
        <v/>
      </c>
      <c r="H52" s="76" t="str">
        <f>IFERROR(VLOOKUP('Pipe Insulation'!Y76,'Pipe Insulation'!$AM$152:$AN$153,2,FALSE),"")</f>
        <v/>
      </c>
      <c r="I52" s="68" t="str">
        <f>IF('Pipe Insulation'!Z76="", "", 'Pipe Insulation'!Z76)</f>
        <v/>
      </c>
      <c r="J52" s="480"/>
    </row>
    <row r="53" spans="2:10" s="1" customFormat="1" x14ac:dyDescent="0.25">
      <c r="B53" s="76">
        <f>'Pipe Insulation'!B77</f>
        <v>44</v>
      </c>
      <c r="C53" s="76" t="str">
        <f>IF('Pipe Insulation'!C77="", "", 'Pipe Insulation'!C77)</f>
        <v/>
      </c>
      <c r="D53" s="76" t="str">
        <f>IF('Pipe Insulation'!D77="", "", 'Pipe Insulation'!D77)</f>
        <v/>
      </c>
      <c r="E53" s="69" t="str">
        <f>IF('Pipe Insulation'!E77="", "", 'Pipe Insulation'!E77)</f>
        <v/>
      </c>
      <c r="F53" s="76" t="str">
        <f>IFERROR(VLOOKUP('Pipe Insulation'!G77,'Pipe Insulation'!$AM$142:$AN$149,2,FALSE),"")</f>
        <v/>
      </c>
      <c r="G53" s="86" t="str">
        <f>IF('Pipe Insulation'!W77="", "", 'Pipe Insulation'!W77)</f>
        <v/>
      </c>
      <c r="H53" s="76" t="str">
        <f>IFERROR(VLOOKUP('Pipe Insulation'!Y77,'Pipe Insulation'!$AM$152:$AN$153,2,FALSE),"")</f>
        <v/>
      </c>
      <c r="I53" s="68" t="str">
        <f>IF('Pipe Insulation'!Z77="", "", 'Pipe Insulation'!Z77)</f>
        <v/>
      </c>
      <c r="J53" s="480"/>
    </row>
    <row r="54" spans="2:10" s="1" customFormat="1" x14ac:dyDescent="0.25">
      <c r="B54" s="76">
        <f>'Pipe Insulation'!B78</f>
        <v>45</v>
      </c>
      <c r="C54" s="76" t="str">
        <f>IF('Pipe Insulation'!C78="", "", 'Pipe Insulation'!C78)</f>
        <v/>
      </c>
      <c r="D54" s="76" t="str">
        <f>IF('Pipe Insulation'!D78="", "", 'Pipe Insulation'!D78)</f>
        <v/>
      </c>
      <c r="E54" s="69" t="str">
        <f>IF('Pipe Insulation'!E78="", "", 'Pipe Insulation'!E78)</f>
        <v/>
      </c>
      <c r="F54" s="76" t="str">
        <f>IFERROR(VLOOKUP('Pipe Insulation'!G78,'Pipe Insulation'!$AM$142:$AN$149,2,FALSE),"")</f>
        <v/>
      </c>
      <c r="G54" s="86" t="str">
        <f>IF('Pipe Insulation'!W78="", "", 'Pipe Insulation'!W78)</f>
        <v/>
      </c>
      <c r="H54" s="76" t="str">
        <f>IFERROR(VLOOKUP('Pipe Insulation'!Y78,'Pipe Insulation'!$AM$152:$AN$153,2,FALSE),"")</f>
        <v/>
      </c>
      <c r="I54" s="68" t="str">
        <f>IF('Pipe Insulation'!Z78="", "", 'Pipe Insulation'!Z78)</f>
        <v/>
      </c>
      <c r="J54" s="480"/>
    </row>
    <row r="55" spans="2:10" s="1" customFormat="1" x14ac:dyDescent="0.25">
      <c r="B55" s="76">
        <f>'Pipe Insulation'!B79</f>
        <v>46</v>
      </c>
      <c r="C55" s="76" t="str">
        <f>IF('Pipe Insulation'!C79="", "", 'Pipe Insulation'!C79)</f>
        <v/>
      </c>
      <c r="D55" s="76" t="str">
        <f>IF('Pipe Insulation'!D79="", "", 'Pipe Insulation'!D79)</f>
        <v/>
      </c>
      <c r="E55" s="69" t="str">
        <f>IF('Pipe Insulation'!E79="", "", 'Pipe Insulation'!E79)</f>
        <v/>
      </c>
      <c r="F55" s="76" t="str">
        <f>IFERROR(VLOOKUP('Pipe Insulation'!G79,'Pipe Insulation'!$AM$142:$AN$149,2,FALSE),"")</f>
        <v/>
      </c>
      <c r="G55" s="86" t="str">
        <f>IF('Pipe Insulation'!W79="", "", 'Pipe Insulation'!W79)</f>
        <v/>
      </c>
      <c r="H55" s="76" t="str">
        <f>IFERROR(VLOOKUP('Pipe Insulation'!Y79,'Pipe Insulation'!$AM$152:$AN$153,2,FALSE),"")</f>
        <v/>
      </c>
      <c r="I55" s="68" t="str">
        <f>IF('Pipe Insulation'!Z79="", "", 'Pipe Insulation'!Z79)</f>
        <v/>
      </c>
      <c r="J55" s="480"/>
    </row>
    <row r="56" spans="2:10" s="1" customFormat="1" x14ac:dyDescent="0.25">
      <c r="B56" s="76">
        <f>'Pipe Insulation'!B80</f>
        <v>47</v>
      </c>
      <c r="C56" s="76" t="str">
        <f>IF('Pipe Insulation'!C80="", "", 'Pipe Insulation'!C80)</f>
        <v/>
      </c>
      <c r="D56" s="76" t="str">
        <f>IF('Pipe Insulation'!D80="", "", 'Pipe Insulation'!D80)</f>
        <v/>
      </c>
      <c r="E56" s="69" t="str">
        <f>IF('Pipe Insulation'!E80="", "", 'Pipe Insulation'!E80)</f>
        <v/>
      </c>
      <c r="F56" s="76" t="str">
        <f>IFERROR(VLOOKUP('Pipe Insulation'!G80,'Pipe Insulation'!$AM$142:$AN$149,2,FALSE),"")</f>
        <v/>
      </c>
      <c r="G56" s="86" t="str">
        <f>IF('Pipe Insulation'!W80="", "", 'Pipe Insulation'!W80)</f>
        <v/>
      </c>
      <c r="H56" s="76" t="str">
        <f>IFERROR(VLOOKUP('Pipe Insulation'!Y80,'Pipe Insulation'!$AM$152:$AN$153,2,FALSE),"")</f>
        <v/>
      </c>
      <c r="I56" s="68" t="str">
        <f>IF('Pipe Insulation'!Z80="", "", 'Pipe Insulation'!Z80)</f>
        <v/>
      </c>
      <c r="J56" s="480"/>
    </row>
    <row r="57" spans="2:10" s="1" customFormat="1" x14ac:dyDescent="0.25">
      <c r="B57" s="76">
        <f>'Pipe Insulation'!B81</f>
        <v>48</v>
      </c>
      <c r="C57" s="76" t="str">
        <f>IF('Pipe Insulation'!C81="", "", 'Pipe Insulation'!C81)</f>
        <v/>
      </c>
      <c r="D57" s="76" t="str">
        <f>IF('Pipe Insulation'!D81="", "", 'Pipe Insulation'!D81)</f>
        <v/>
      </c>
      <c r="E57" s="69" t="str">
        <f>IF('Pipe Insulation'!E81="", "", 'Pipe Insulation'!E81)</f>
        <v/>
      </c>
      <c r="F57" s="76" t="str">
        <f>IFERROR(VLOOKUP('Pipe Insulation'!G81,'Pipe Insulation'!$AM$142:$AN$149,2,FALSE),"")</f>
        <v/>
      </c>
      <c r="G57" s="86" t="str">
        <f>IF('Pipe Insulation'!W81="", "", 'Pipe Insulation'!W81)</f>
        <v/>
      </c>
      <c r="H57" s="76" t="str">
        <f>IFERROR(VLOOKUP('Pipe Insulation'!Y81,'Pipe Insulation'!$AM$152:$AN$153,2,FALSE),"")</f>
        <v/>
      </c>
      <c r="I57" s="68" t="str">
        <f>IF('Pipe Insulation'!Z81="", "", 'Pipe Insulation'!Z81)</f>
        <v/>
      </c>
      <c r="J57" s="480"/>
    </row>
    <row r="58" spans="2:10" s="1" customFormat="1" x14ac:dyDescent="0.25">
      <c r="B58" s="76">
        <f>'Pipe Insulation'!B82</f>
        <v>49</v>
      </c>
      <c r="C58" s="76" t="str">
        <f>IF('Pipe Insulation'!C82="", "", 'Pipe Insulation'!C82)</f>
        <v/>
      </c>
      <c r="D58" s="76" t="str">
        <f>IF('Pipe Insulation'!D82="", "", 'Pipe Insulation'!D82)</f>
        <v/>
      </c>
      <c r="E58" s="69" t="str">
        <f>IF('Pipe Insulation'!E82="", "", 'Pipe Insulation'!E82)</f>
        <v/>
      </c>
      <c r="F58" s="76" t="str">
        <f>IFERROR(VLOOKUP('Pipe Insulation'!G82,'Pipe Insulation'!$AM$142:$AN$149,2,FALSE),"")</f>
        <v/>
      </c>
      <c r="G58" s="86" t="str">
        <f>IF('Pipe Insulation'!W82="", "", 'Pipe Insulation'!W82)</f>
        <v/>
      </c>
      <c r="H58" s="76" t="str">
        <f>IFERROR(VLOOKUP('Pipe Insulation'!Y82,'Pipe Insulation'!$AM$152:$AN$153,2,FALSE),"")</f>
        <v/>
      </c>
      <c r="I58" s="68" t="str">
        <f>IF('Pipe Insulation'!Z82="", "", 'Pipe Insulation'!Z82)</f>
        <v/>
      </c>
      <c r="J58" s="480"/>
    </row>
    <row r="59" spans="2:10" s="1" customFormat="1" x14ac:dyDescent="0.25">
      <c r="B59" s="76">
        <f>'Pipe Insulation'!B83</f>
        <v>50</v>
      </c>
      <c r="C59" s="76" t="str">
        <f>IF('Pipe Insulation'!C83="", "", 'Pipe Insulation'!C83)</f>
        <v/>
      </c>
      <c r="D59" s="76" t="str">
        <f>IF('Pipe Insulation'!D83="", "", 'Pipe Insulation'!D83)</f>
        <v/>
      </c>
      <c r="E59" s="69" t="str">
        <f>IF('Pipe Insulation'!E83="", "", 'Pipe Insulation'!E83)</f>
        <v/>
      </c>
      <c r="F59" s="76" t="str">
        <f>IFERROR(VLOOKUP('Pipe Insulation'!G83,'Pipe Insulation'!$AM$142:$AN$149,2,FALSE),"")</f>
        <v/>
      </c>
      <c r="G59" s="86" t="str">
        <f>IF('Pipe Insulation'!W83="", "", 'Pipe Insulation'!W83)</f>
        <v/>
      </c>
      <c r="H59" s="76" t="str">
        <f>IFERROR(VLOOKUP('Pipe Insulation'!Y83,'Pipe Insulation'!$AM$152:$AN$153,2,FALSE),"")</f>
        <v/>
      </c>
      <c r="I59" s="68" t="str">
        <f>IF('Pipe Insulation'!Z83="", "", 'Pipe Insulation'!Z83)</f>
        <v/>
      </c>
      <c r="J59" s="480"/>
    </row>
    <row r="60" spans="2:10" s="1" customFormat="1" x14ac:dyDescent="0.25">
      <c r="B60" s="76">
        <f>'Pipe Insulation'!B84</f>
        <v>51</v>
      </c>
      <c r="C60" s="76" t="str">
        <f>IF('Pipe Insulation'!C84="", "", 'Pipe Insulation'!C84)</f>
        <v/>
      </c>
      <c r="D60" s="76" t="str">
        <f>IF('Pipe Insulation'!D84="", "", 'Pipe Insulation'!D84)</f>
        <v/>
      </c>
      <c r="E60" s="69" t="str">
        <f>IF('Pipe Insulation'!E84="", "", 'Pipe Insulation'!E84)</f>
        <v/>
      </c>
      <c r="F60" s="76" t="str">
        <f>IFERROR(VLOOKUP('Pipe Insulation'!G84,'Pipe Insulation'!$AM$142:$AN$149,2,FALSE),"")</f>
        <v/>
      </c>
      <c r="G60" s="86" t="str">
        <f>IF('Pipe Insulation'!W84="", "", 'Pipe Insulation'!W84)</f>
        <v/>
      </c>
      <c r="H60" s="76" t="str">
        <f>IFERROR(VLOOKUP('Pipe Insulation'!Y84,'Pipe Insulation'!$AM$152:$AN$153,2,FALSE),"")</f>
        <v/>
      </c>
      <c r="I60" s="68" t="str">
        <f>IF('Pipe Insulation'!Z84="", "", 'Pipe Insulation'!Z84)</f>
        <v/>
      </c>
      <c r="J60" s="480"/>
    </row>
    <row r="61" spans="2:10" s="1" customFormat="1" x14ac:dyDescent="0.25">
      <c r="B61" s="76">
        <f>'Pipe Insulation'!B85</f>
        <v>52</v>
      </c>
      <c r="C61" s="76" t="str">
        <f>IF('Pipe Insulation'!C85="", "", 'Pipe Insulation'!C85)</f>
        <v/>
      </c>
      <c r="D61" s="76" t="str">
        <f>IF('Pipe Insulation'!D85="", "", 'Pipe Insulation'!D85)</f>
        <v/>
      </c>
      <c r="E61" s="69" t="str">
        <f>IF('Pipe Insulation'!E85="", "", 'Pipe Insulation'!E85)</f>
        <v/>
      </c>
      <c r="F61" s="76" t="str">
        <f>IFERROR(VLOOKUP('Pipe Insulation'!G85,'Pipe Insulation'!$AM$142:$AN$149,2,FALSE),"")</f>
        <v/>
      </c>
      <c r="G61" s="86" t="str">
        <f>IF('Pipe Insulation'!W85="", "", 'Pipe Insulation'!W85)</f>
        <v/>
      </c>
      <c r="H61" s="76" t="str">
        <f>IFERROR(VLOOKUP('Pipe Insulation'!Y85,'Pipe Insulation'!$AM$152:$AN$153,2,FALSE),"")</f>
        <v/>
      </c>
      <c r="I61" s="68" t="str">
        <f>IF('Pipe Insulation'!Z85="", "", 'Pipe Insulation'!Z85)</f>
        <v/>
      </c>
      <c r="J61" s="480"/>
    </row>
    <row r="62" spans="2:10" s="1" customFormat="1" x14ac:dyDescent="0.25">
      <c r="B62" s="76">
        <f>'Pipe Insulation'!B86</f>
        <v>53</v>
      </c>
      <c r="C62" s="76" t="str">
        <f>IF('Pipe Insulation'!C86="", "", 'Pipe Insulation'!C86)</f>
        <v/>
      </c>
      <c r="D62" s="76" t="str">
        <f>IF('Pipe Insulation'!D86="", "", 'Pipe Insulation'!D86)</f>
        <v/>
      </c>
      <c r="E62" s="69" t="str">
        <f>IF('Pipe Insulation'!E86="", "", 'Pipe Insulation'!E86)</f>
        <v/>
      </c>
      <c r="F62" s="76" t="str">
        <f>IFERROR(VLOOKUP('Pipe Insulation'!G86,'Pipe Insulation'!$AM$142:$AN$149,2,FALSE),"")</f>
        <v/>
      </c>
      <c r="G62" s="86" t="str">
        <f>IF('Pipe Insulation'!W86="", "", 'Pipe Insulation'!W86)</f>
        <v/>
      </c>
      <c r="H62" s="76" t="str">
        <f>IFERROR(VLOOKUP('Pipe Insulation'!Y86,'Pipe Insulation'!$AM$152:$AN$153,2,FALSE),"")</f>
        <v/>
      </c>
      <c r="I62" s="68" t="str">
        <f>IF('Pipe Insulation'!Z86="", "", 'Pipe Insulation'!Z86)</f>
        <v/>
      </c>
      <c r="J62" s="480"/>
    </row>
    <row r="63" spans="2:10" s="1" customFormat="1" x14ac:dyDescent="0.25">
      <c r="B63" s="76">
        <f>'Pipe Insulation'!B87</f>
        <v>54</v>
      </c>
      <c r="C63" s="76" t="str">
        <f>IF('Pipe Insulation'!C87="", "", 'Pipe Insulation'!C87)</f>
        <v/>
      </c>
      <c r="D63" s="76" t="str">
        <f>IF('Pipe Insulation'!D87="", "", 'Pipe Insulation'!D87)</f>
        <v/>
      </c>
      <c r="E63" s="69" t="str">
        <f>IF('Pipe Insulation'!E87="", "", 'Pipe Insulation'!E87)</f>
        <v/>
      </c>
      <c r="F63" s="76" t="str">
        <f>IFERROR(VLOOKUP('Pipe Insulation'!G87,'Pipe Insulation'!$AM$142:$AN$149,2,FALSE),"")</f>
        <v/>
      </c>
      <c r="G63" s="86" t="str">
        <f>IF('Pipe Insulation'!W87="", "", 'Pipe Insulation'!W87)</f>
        <v/>
      </c>
      <c r="H63" s="76" t="str">
        <f>IFERROR(VLOOKUP('Pipe Insulation'!Y87,'Pipe Insulation'!$AM$152:$AN$153,2,FALSE),"")</f>
        <v/>
      </c>
      <c r="I63" s="68" t="str">
        <f>IF('Pipe Insulation'!Z87="", "", 'Pipe Insulation'!Z87)</f>
        <v/>
      </c>
      <c r="J63" s="480"/>
    </row>
    <row r="64" spans="2:10" s="1" customFormat="1" x14ac:dyDescent="0.25">
      <c r="B64" s="76">
        <f>'Pipe Insulation'!B88</f>
        <v>55</v>
      </c>
      <c r="C64" s="76" t="str">
        <f>IF('Pipe Insulation'!C88="", "", 'Pipe Insulation'!C88)</f>
        <v/>
      </c>
      <c r="D64" s="76" t="str">
        <f>IF('Pipe Insulation'!D88="", "", 'Pipe Insulation'!D88)</f>
        <v/>
      </c>
      <c r="E64" s="69" t="str">
        <f>IF('Pipe Insulation'!E88="", "", 'Pipe Insulation'!E88)</f>
        <v/>
      </c>
      <c r="F64" s="76" t="str">
        <f>IFERROR(VLOOKUP('Pipe Insulation'!G88,'Pipe Insulation'!$AM$142:$AN$149,2,FALSE),"")</f>
        <v/>
      </c>
      <c r="G64" s="86" t="str">
        <f>IF('Pipe Insulation'!W88="", "", 'Pipe Insulation'!W88)</f>
        <v/>
      </c>
      <c r="H64" s="76" t="str">
        <f>IFERROR(VLOOKUP('Pipe Insulation'!Y88,'Pipe Insulation'!$AM$152:$AN$153,2,FALSE),"")</f>
        <v/>
      </c>
      <c r="I64" s="68" t="str">
        <f>IF('Pipe Insulation'!Z88="", "", 'Pipe Insulation'!Z88)</f>
        <v/>
      </c>
      <c r="J64" s="480"/>
    </row>
    <row r="65" spans="2:10" s="1" customFormat="1" x14ac:dyDescent="0.25">
      <c r="B65" s="76">
        <f>'Pipe Insulation'!B89</f>
        <v>56</v>
      </c>
      <c r="C65" s="76" t="str">
        <f>IF('Pipe Insulation'!C89="", "", 'Pipe Insulation'!C89)</f>
        <v/>
      </c>
      <c r="D65" s="76" t="str">
        <f>IF('Pipe Insulation'!D89="", "", 'Pipe Insulation'!D89)</f>
        <v/>
      </c>
      <c r="E65" s="69" t="str">
        <f>IF('Pipe Insulation'!E89="", "", 'Pipe Insulation'!E89)</f>
        <v/>
      </c>
      <c r="F65" s="76" t="str">
        <f>IFERROR(VLOOKUP('Pipe Insulation'!G89,'Pipe Insulation'!$AM$142:$AN$149,2,FALSE),"")</f>
        <v/>
      </c>
      <c r="G65" s="86" t="str">
        <f>IF('Pipe Insulation'!W89="", "", 'Pipe Insulation'!W89)</f>
        <v/>
      </c>
      <c r="H65" s="76" t="str">
        <f>IFERROR(VLOOKUP('Pipe Insulation'!Y89,'Pipe Insulation'!$AM$152:$AN$153,2,FALSE),"")</f>
        <v/>
      </c>
      <c r="I65" s="68" t="str">
        <f>IF('Pipe Insulation'!Z89="", "", 'Pipe Insulation'!Z89)</f>
        <v/>
      </c>
      <c r="J65" s="480"/>
    </row>
    <row r="66" spans="2:10" s="1" customFormat="1" x14ac:dyDescent="0.25">
      <c r="B66" s="76">
        <f>'Pipe Insulation'!B90</f>
        <v>57</v>
      </c>
      <c r="C66" s="76" t="str">
        <f>IF('Pipe Insulation'!C90="", "", 'Pipe Insulation'!C90)</f>
        <v/>
      </c>
      <c r="D66" s="76" t="str">
        <f>IF('Pipe Insulation'!D90="", "", 'Pipe Insulation'!D90)</f>
        <v/>
      </c>
      <c r="E66" s="69" t="str">
        <f>IF('Pipe Insulation'!E90="", "", 'Pipe Insulation'!E90)</f>
        <v/>
      </c>
      <c r="F66" s="76" t="str">
        <f>IFERROR(VLOOKUP('Pipe Insulation'!G90,'Pipe Insulation'!$AM$142:$AN$149,2,FALSE),"")</f>
        <v/>
      </c>
      <c r="G66" s="86" t="str">
        <f>IF('Pipe Insulation'!W90="", "", 'Pipe Insulation'!W90)</f>
        <v/>
      </c>
      <c r="H66" s="76" t="str">
        <f>IFERROR(VLOOKUP('Pipe Insulation'!Y90,'Pipe Insulation'!$AM$152:$AN$153,2,FALSE),"")</f>
        <v/>
      </c>
      <c r="I66" s="68" t="str">
        <f>IF('Pipe Insulation'!Z90="", "", 'Pipe Insulation'!Z90)</f>
        <v/>
      </c>
      <c r="J66" s="480"/>
    </row>
    <row r="67" spans="2:10" s="1" customFormat="1" x14ac:dyDescent="0.25">
      <c r="B67" s="76">
        <f>'Pipe Insulation'!B91</f>
        <v>58</v>
      </c>
      <c r="C67" s="76" t="str">
        <f>IF('Pipe Insulation'!C91="", "", 'Pipe Insulation'!C91)</f>
        <v/>
      </c>
      <c r="D67" s="76" t="str">
        <f>IF('Pipe Insulation'!D91="", "", 'Pipe Insulation'!D91)</f>
        <v/>
      </c>
      <c r="E67" s="69" t="str">
        <f>IF('Pipe Insulation'!E91="", "", 'Pipe Insulation'!E91)</f>
        <v/>
      </c>
      <c r="F67" s="76" t="str">
        <f>IFERROR(VLOOKUP('Pipe Insulation'!G91,'Pipe Insulation'!$AM$142:$AN$149,2,FALSE),"")</f>
        <v/>
      </c>
      <c r="G67" s="86" t="str">
        <f>IF('Pipe Insulation'!W91="", "", 'Pipe Insulation'!W91)</f>
        <v/>
      </c>
      <c r="H67" s="76" t="str">
        <f>IFERROR(VLOOKUP('Pipe Insulation'!Y91,'Pipe Insulation'!$AM$152:$AN$153,2,FALSE),"")</f>
        <v/>
      </c>
      <c r="I67" s="68" t="str">
        <f>IF('Pipe Insulation'!Z91="", "", 'Pipe Insulation'!Z91)</f>
        <v/>
      </c>
      <c r="J67" s="480"/>
    </row>
    <row r="68" spans="2:10" s="1" customFormat="1" x14ac:dyDescent="0.25">
      <c r="B68" s="76">
        <f>'Pipe Insulation'!B92</f>
        <v>59</v>
      </c>
      <c r="C68" s="76" t="str">
        <f>IF('Pipe Insulation'!C92="", "", 'Pipe Insulation'!C92)</f>
        <v/>
      </c>
      <c r="D68" s="76" t="str">
        <f>IF('Pipe Insulation'!D92="", "", 'Pipe Insulation'!D92)</f>
        <v/>
      </c>
      <c r="E68" s="69" t="str">
        <f>IF('Pipe Insulation'!E92="", "", 'Pipe Insulation'!E92)</f>
        <v/>
      </c>
      <c r="F68" s="76" t="str">
        <f>IFERROR(VLOOKUP('Pipe Insulation'!G92,'Pipe Insulation'!$AM$142:$AN$149,2,FALSE),"")</f>
        <v/>
      </c>
      <c r="G68" s="86" t="str">
        <f>IF('Pipe Insulation'!W92="", "", 'Pipe Insulation'!W92)</f>
        <v/>
      </c>
      <c r="H68" s="76" t="str">
        <f>IFERROR(VLOOKUP('Pipe Insulation'!Y92,'Pipe Insulation'!$AM$152:$AN$153,2,FALSE),"")</f>
        <v/>
      </c>
      <c r="I68" s="68" t="str">
        <f>IF('Pipe Insulation'!Z92="", "", 'Pipe Insulation'!Z92)</f>
        <v/>
      </c>
      <c r="J68" s="480"/>
    </row>
    <row r="69" spans="2:10" s="1" customFormat="1" x14ac:dyDescent="0.25">
      <c r="B69" s="76">
        <f>'Pipe Insulation'!B93</f>
        <v>60</v>
      </c>
      <c r="C69" s="76" t="str">
        <f>IF('Pipe Insulation'!C93="", "", 'Pipe Insulation'!C93)</f>
        <v/>
      </c>
      <c r="D69" s="76" t="str">
        <f>IF('Pipe Insulation'!D93="", "", 'Pipe Insulation'!D93)</f>
        <v/>
      </c>
      <c r="E69" s="69" t="str">
        <f>IF('Pipe Insulation'!E93="", "", 'Pipe Insulation'!E93)</f>
        <v/>
      </c>
      <c r="F69" s="76" t="str">
        <f>IFERROR(VLOOKUP('Pipe Insulation'!G93,'Pipe Insulation'!$AM$142:$AN$149,2,FALSE),"")</f>
        <v/>
      </c>
      <c r="G69" s="86" t="str">
        <f>IF('Pipe Insulation'!W93="", "", 'Pipe Insulation'!W93)</f>
        <v/>
      </c>
      <c r="H69" s="76" t="str">
        <f>IFERROR(VLOOKUP('Pipe Insulation'!Y93,'Pipe Insulation'!$AM$152:$AN$153,2,FALSE),"")</f>
        <v/>
      </c>
      <c r="I69" s="68" t="str">
        <f>IF('Pipe Insulation'!Z93="", "", 'Pipe Insulation'!Z93)</f>
        <v/>
      </c>
      <c r="J69" s="480"/>
    </row>
    <row r="70" spans="2:10" s="1" customFormat="1" x14ac:dyDescent="0.25">
      <c r="B70" s="76">
        <f>'Pipe Insulation'!B94</f>
        <v>61</v>
      </c>
      <c r="C70" s="76" t="str">
        <f>IF('Pipe Insulation'!C94="", "", 'Pipe Insulation'!C94)</f>
        <v/>
      </c>
      <c r="D70" s="76" t="str">
        <f>IF('Pipe Insulation'!D94="", "", 'Pipe Insulation'!D94)</f>
        <v/>
      </c>
      <c r="E70" s="69" t="str">
        <f>IF('Pipe Insulation'!E94="", "", 'Pipe Insulation'!E94)</f>
        <v/>
      </c>
      <c r="F70" s="76" t="str">
        <f>IFERROR(VLOOKUP('Pipe Insulation'!G94,'Pipe Insulation'!$AM$142:$AN$149,2,FALSE),"")</f>
        <v/>
      </c>
      <c r="G70" s="86" t="str">
        <f>IF('Pipe Insulation'!W94="", "", 'Pipe Insulation'!W94)</f>
        <v/>
      </c>
      <c r="H70" s="76" t="str">
        <f>IFERROR(VLOOKUP('Pipe Insulation'!Y94,'Pipe Insulation'!$AM$152:$AN$153,2,FALSE),"")</f>
        <v/>
      </c>
      <c r="I70" s="68" t="str">
        <f>IF('Pipe Insulation'!Z94="", "", 'Pipe Insulation'!Z94)</f>
        <v/>
      </c>
      <c r="J70" s="480"/>
    </row>
    <row r="71" spans="2:10" s="1" customFormat="1" x14ac:dyDescent="0.25">
      <c r="B71" s="76">
        <f>'Pipe Insulation'!B95</f>
        <v>62</v>
      </c>
      <c r="C71" s="76" t="str">
        <f>IF('Pipe Insulation'!C95="", "", 'Pipe Insulation'!C95)</f>
        <v/>
      </c>
      <c r="D71" s="76" t="str">
        <f>IF('Pipe Insulation'!D95="", "", 'Pipe Insulation'!D95)</f>
        <v/>
      </c>
      <c r="E71" s="69" t="str">
        <f>IF('Pipe Insulation'!E95="", "", 'Pipe Insulation'!E95)</f>
        <v/>
      </c>
      <c r="F71" s="76" t="str">
        <f>IFERROR(VLOOKUP('Pipe Insulation'!G95,'Pipe Insulation'!$AM$142:$AN$149,2,FALSE),"")</f>
        <v/>
      </c>
      <c r="G71" s="86" t="str">
        <f>IF('Pipe Insulation'!W95="", "", 'Pipe Insulation'!W95)</f>
        <v/>
      </c>
      <c r="H71" s="76" t="str">
        <f>IFERROR(VLOOKUP('Pipe Insulation'!Y95,'Pipe Insulation'!$AM$152:$AN$153,2,FALSE),"")</f>
        <v/>
      </c>
      <c r="I71" s="68" t="str">
        <f>IF('Pipe Insulation'!Z95="", "", 'Pipe Insulation'!Z95)</f>
        <v/>
      </c>
      <c r="J71" s="480"/>
    </row>
    <row r="72" spans="2:10" s="1" customFormat="1" x14ac:dyDescent="0.25">
      <c r="B72" s="76">
        <f>'Pipe Insulation'!B96</f>
        <v>63</v>
      </c>
      <c r="C72" s="76" t="str">
        <f>IF('Pipe Insulation'!C96="", "", 'Pipe Insulation'!C96)</f>
        <v/>
      </c>
      <c r="D72" s="76" t="str">
        <f>IF('Pipe Insulation'!D96="", "", 'Pipe Insulation'!D96)</f>
        <v/>
      </c>
      <c r="E72" s="69" t="str">
        <f>IF('Pipe Insulation'!E96="", "", 'Pipe Insulation'!E96)</f>
        <v/>
      </c>
      <c r="F72" s="76" t="str">
        <f>IFERROR(VLOOKUP('Pipe Insulation'!G96,'Pipe Insulation'!$AM$142:$AN$149,2,FALSE),"")</f>
        <v/>
      </c>
      <c r="G72" s="86" t="str">
        <f>IF('Pipe Insulation'!W96="", "", 'Pipe Insulation'!W96)</f>
        <v/>
      </c>
      <c r="H72" s="76" t="str">
        <f>IFERROR(VLOOKUP('Pipe Insulation'!Y96,'Pipe Insulation'!$AM$152:$AN$153,2,FALSE),"")</f>
        <v/>
      </c>
      <c r="I72" s="68" t="str">
        <f>IF('Pipe Insulation'!Z96="", "", 'Pipe Insulation'!Z96)</f>
        <v/>
      </c>
      <c r="J72" s="480"/>
    </row>
    <row r="73" spans="2:10" s="1" customFormat="1" x14ac:dyDescent="0.25">
      <c r="B73" s="76">
        <f>'Pipe Insulation'!B97</f>
        <v>64</v>
      </c>
      <c r="C73" s="76" t="str">
        <f>IF('Pipe Insulation'!C97="", "", 'Pipe Insulation'!C97)</f>
        <v/>
      </c>
      <c r="D73" s="76" t="str">
        <f>IF('Pipe Insulation'!D97="", "", 'Pipe Insulation'!D97)</f>
        <v/>
      </c>
      <c r="E73" s="69" t="str">
        <f>IF('Pipe Insulation'!E97="", "", 'Pipe Insulation'!E97)</f>
        <v/>
      </c>
      <c r="F73" s="76" t="str">
        <f>IFERROR(VLOOKUP('Pipe Insulation'!G97,'Pipe Insulation'!$AM$142:$AN$149,2,FALSE),"")</f>
        <v/>
      </c>
      <c r="G73" s="86" t="str">
        <f>IF('Pipe Insulation'!W97="", "", 'Pipe Insulation'!W97)</f>
        <v/>
      </c>
      <c r="H73" s="76" t="str">
        <f>IFERROR(VLOOKUP('Pipe Insulation'!Y97,'Pipe Insulation'!$AM$152:$AN$153,2,FALSE),"")</f>
        <v/>
      </c>
      <c r="I73" s="68" t="str">
        <f>IF('Pipe Insulation'!Z97="", "", 'Pipe Insulation'!Z97)</f>
        <v/>
      </c>
      <c r="J73" s="480"/>
    </row>
    <row r="74" spans="2:10" s="1" customFormat="1" x14ac:dyDescent="0.25">
      <c r="B74" s="76">
        <f>'Pipe Insulation'!B98</f>
        <v>65</v>
      </c>
      <c r="C74" s="76" t="str">
        <f>IF('Pipe Insulation'!C98="", "", 'Pipe Insulation'!C98)</f>
        <v/>
      </c>
      <c r="D74" s="76" t="str">
        <f>IF('Pipe Insulation'!D98="", "", 'Pipe Insulation'!D98)</f>
        <v/>
      </c>
      <c r="E74" s="69" t="str">
        <f>IF('Pipe Insulation'!E98="", "", 'Pipe Insulation'!E98)</f>
        <v/>
      </c>
      <c r="F74" s="76" t="str">
        <f>IFERROR(VLOOKUP('Pipe Insulation'!G98,'Pipe Insulation'!$AM$142:$AN$149,2,FALSE),"")</f>
        <v/>
      </c>
      <c r="G74" s="86" t="str">
        <f>IF('Pipe Insulation'!W98="", "", 'Pipe Insulation'!W98)</f>
        <v/>
      </c>
      <c r="H74" s="76" t="str">
        <f>IFERROR(VLOOKUP('Pipe Insulation'!Y98,'Pipe Insulation'!$AM$152:$AN$153,2,FALSE),"")</f>
        <v/>
      </c>
      <c r="I74" s="68" t="str">
        <f>IF('Pipe Insulation'!Z98="", "", 'Pipe Insulation'!Z98)</f>
        <v/>
      </c>
      <c r="J74" s="480"/>
    </row>
    <row r="75" spans="2:10" s="1" customFormat="1" x14ac:dyDescent="0.25">
      <c r="B75" s="76">
        <f>'Pipe Insulation'!B99</f>
        <v>66</v>
      </c>
      <c r="C75" s="76" t="str">
        <f>IF('Pipe Insulation'!C99="", "", 'Pipe Insulation'!C99)</f>
        <v/>
      </c>
      <c r="D75" s="76" t="str">
        <f>IF('Pipe Insulation'!D99="", "", 'Pipe Insulation'!D99)</f>
        <v/>
      </c>
      <c r="E75" s="69" t="str">
        <f>IF('Pipe Insulation'!E99="", "", 'Pipe Insulation'!E99)</f>
        <v/>
      </c>
      <c r="F75" s="76" t="str">
        <f>IFERROR(VLOOKUP('Pipe Insulation'!G99,'Pipe Insulation'!$AM$142:$AN$149,2,FALSE),"")</f>
        <v/>
      </c>
      <c r="G75" s="86" t="str">
        <f>IF('Pipe Insulation'!W99="", "", 'Pipe Insulation'!W99)</f>
        <v/>
      </c>
      <c r="H75" s="76" t="str">
        <f>IFERROR(VLOOKUP('Pipe Insulation'!Y99,'Pipe Insulation'!$AM$152:$AN$153,2,FALSE),"")</f>
        <v/>
      </c>
      <c r="I75" s="68" t="str">
        <f>IF('Pipe Insulation'!Z99="", "", 'Pipe Insulation'!Z99)</f>
        <v/>
      </c>
      <c r="J75" s="480"/>
    </row>
    <row r="76" spans="2:10" s="1" customFormat="1" x14ac:dyDescent="0.25">
      <c r="B76" s="76">
        <f>'Pipe Insulation'!B100</f>
        <v>67</v>
      </c>
      <c r="C76" s="76" t="str">
        <f>IF('Pipe Insulation'!C100="", "", 'Pipe Insulation'!C100)</f>
        <v/>
      </c>
      <c r="D76" s="76" t="str">
        <f>IF('Pipe Insulation'!D100="", "", 'Pipe Insulation'!D100)</f>
        <v/>
      </c>
      <c r="E76" s="69" t="str">
        <f>IF('Pipe Insulation'!E100="", "", 'Pipe Insulation'!E100)</f>
        <v/>
      </c>
      <c r="F76" s="76" t="str">
        <f>IFERROR(VLOOKUP('Pipe Insulation'!G100,'Pipe Insulation'!$AM$142:$AN$149,2,FALSE),"")</f>
        <v/>
      </c>
      <c r="G76" s="86" t="str">
        <f>IF('Pipe Insulation'!W100="", "", 'Pipe Insulation'!W100)</f>
        <v/>
      </c>
      <c r="H76" s="76" t="str">
        <f>IFERROR(VLOOKUP('Pipe Insulation'!Y100,'Pipe Insulation'!$AM$152:$AN$153,2,FALSE),"")</f>
        <v/>
      </c>
      <c r="I76" s="68" t="str">
        <f>IF('Pipe Insulation'!Z100="", "", 'Pipe Insulation'!Z100)</f>
        <v/>
      </c>
      <c r="J76" s="480"/>
    </row>
    <row r="77" spans="2:10" s="1" customFormat="1" x14ac:dyDescent="0.25">
      <c r="B77" s="76">
        <f>'Pipe Insulation'!B101</f>
        <v>68</v>
      </c>
      <c r="C77" s="76" t="str">
        <f>IF('Pipe Insulation'!C101="", "", 'Pipe Insulation'!C101)</f>
        <v/>
      </c>
      <c r="D77" s="76" t="str">
        <f>IF('Pipe Insulation'!D101="", "", 'Pipe Insulation'!D101)</f>
        <v/>
      </c>
      <c r="E77" s="69" t="str">
        <f>IF('Pipe Insulation'!E101="", "", 'Pipe Insulation'!E101)</f>
        <v/>
      </c>
      <c r="F77" s="76" t="str">
        <f>IFERROR(VLOOKUP('Pipe Insulation'!G101,'Pipe Insulation'!$AM$142:$AN$149,2,FALSE),"")</f>
        <v/>
      </c>
      <c r="G77" s="86" t="str">
        <f>IF('Pipe Insulation'!W101="", "", 'Pipe Insulation'!W101)</f>
        <v/>
      </c>
      <c r="H77" s="76" t="str">
        <f>IFERROR(VLOOKUP('Pipe Insulation'!Y101,'Pipe Insulation'!$AM$152:$AN$153,2,FALSE),"")</f>
        <v/>
      </c>
      <c r="I77" s="68" t="str">
        <f>IF('Pipe Insulation'!Z101="", "", 'Pipe Insulation'!Z101)</f>
        <v/>
      </c>
      <c r="J77" s="480"/>
    </row>
    <row r="78" spans="2:10" s="1" customFormat="1" x14ac:dyDescent="0.25">
      <c r="B78" s="76">
        <f>'Pipe Insulation'!B102</f>
        <v>69</v>
      </c>
      <c r="C78" s="76" t="str">
        <f>IF('Pipe Insulation'!C102="", "", 'Pipe Insulation'!C102)</f>
        <v/>
      </c>
      <c r="D78" s="76" t="str">
        <f>IF('Pipe Insulation'!D102="", "", 'Pipe Insulation'!D102)</f>
        <v/>
      </c>
      <c r="E78" s="69" t="str">
        <f>IF('Pipe Insulation'!E102="", "", 'Pipe Insulation'!E102)</f>
        <v/>
      </c>
      <c r="F78" s="76" t="str">
        <f>IFERROR(VLOOKUP('Pipe Insulation'!G102,'Pipe Insulation'!$AM$142:$AN$149,2,FALSE),"")</f>
        <v/>
      </c>
      <c r="G78" s="86" t="str">
        <f>IF('Pipe Insulation'!W102="", "", 'Pipe Insulation'!W102)</f>
        <v/>
      </c>
      <c r="H78" s="76" t="str">
        <f>IFERROR(VLOOKUP('Pipe Insulation'!Y102,'Pipe Insulation'!$AM$152:$AN$153,2,FALSE),"")</f>
        <v/>
      </c>
      <c r="I78" s="68" t="str">
        <f>IF('Pipe Insulation'!Z102="", "", 'Pipe Insulation'!Z102)</f>
        <v/>
      </c>
      <c r="J78" s="480"/>
    </row>
    <row r="79" spans="2:10" s="1" customFormat="1" x14ac:dyDescent="0.25">
      <c r="B79" s="76">
        <f>'Pipe Insulation'!B103</f>
        <v>70</v>
      </c>
      <c r="C79" s="76" t="str">
        <f>IF('Pipe Insulation'!C103="", "", 'Pipe Insulation'!C103)</f>
        <v/>
      </c>
      <c r="D79" s="76" t="str">
        <f>IF('Pipe Insulation'!D103="", "", 'Pipe Insulation'!D103)</f>
        <v/>
      </c>
      <c r="E79" s="69" t="str">
        <f>IF('Pipe Insulation'!E103="", "", 'Pipe Insulation'!E103)</f>
        <v/>
      </c>
      <c r="F79" s="76" t="str">
        <f>IFERROR(VLOOKUP('Pipe Insulation'!G103,'Pipe Insulation'!$AM$142:$AN$149,2,FALSE),"")</f>
        <v/>
      </c>
      <c r="G79" s="86" t="str">
        <f>IF('Pipe Insulation'!W103="", "", 'Pipe Insulation'!W103)</f>
        <v/>
      </c>
      <c r="H79" s="76" t="str">
        <f>IFERROR(VLOOKUP('Pipe Insulation'!Y103,'Pipe Insulation'!$AM$152:$AN$153,2,FALSE),"")</f>
        <v/>
      </c>
      <c r="I79" s="68" t="str">
        <f>IF('Pipe Insulation'!Z103="", "", 'Pipe Insulation'!Z103)</f>
        <v/>
      </c>
      <c r="J79" s="480"/>
    </row>
    <row r="80" spans="2:10" s="1" customFormat="1" x14ac:dyDescent="0.25">
      <c r="B80" s="76">
        <f>'Pipe Insulation'!B104</f>
        <v>71</v>
      </c>
      <c r="C80" s="76" t="str">
        <f>IF('Pipe Insulation'!C104="", "", 'Pipe Insulation'!C104)</f>
        <v/>
      </c>
      <c r="D80" s="76" t="str">
        <f>IF('Pipe Insulation'!D104="", "", 'Pipe Insulation'!D104)</f>
        <v/>
      </c>
      <c r="E80" s="69" t="str">
        <f>IF('Pipe Insulation'!E104="", "", 'Pipe Insulation'!E104)</f>
        <v/>
      </c>
      <c r="F80" s="76" t="str">
        <f>IFERROR(VLOOKUP('Pipe Insulation'!G104,'Pipe Insulation'!$AM$142:$AN$149,2,FALSE),"")</f>
        <v/>
      </c>
      <c r="G80" s="86" t="str">
        <f>IF('Pipe Insulation'!W104="", "", 'Pipe Insulation'!W104)</f>
        <v/>
      </c>
      <c r="H80" s="76" t="str">
        <f>IFERROR(VLOOKUP('Pipe Insulation'!Y104,'Pipe Insulation'!$AM$152:$AN$153,2,FALSE),"")</f>
        <v/>
      </c>
      <c r="I80" s="68" t="str">
        <f>IF('Pipe Insulation'!Z104="", "", 'Pipe Insulation'!Z104)</f>
        <v/>
      </c>
      <c r="J80" s="480"/>
    </row>
    <row r="81" spans="2:10" s="1" customFormat="1" x14ac:dyDescent="0.25">
      <c r="B81" s="76">
        <f>'Pipe Insulation'!B105</f>
        <v>72</v>
      </c>
      <c r="C81" s="76" t="str">
        <f>IF('Pipe Insulation'!C105="", "", 'Pipe Insulation'!C105)</f>
        <v/>
      </c>
      <c r="D81" s="76" t="str">
        <f>IF('Pipe Insulation'!D105="", "", 'Pipe Insulation'!D105)</f>
        <v/>
      </c>
      <c r="E81" s="69" t="str">
        <f>IF('Pipe Insulation'!E105="", "", 'Pipe Insulation'!E105)</f>
        <v/>
      </c>
      <c r="F81" s="76" t="str">
        <f>IFERROR(VLOOKUP('Pipe Insulation'!G105,'Pipe Insulation'!$AM$142:$AN$149,2,FALSE),"")</f>
        <v/>
      </c>
      <c r="G81" s="86" t="str">
        <f>IF('Pipe Insulation'!W105="", "", 'Pipe Insulation'!W105)</f>
        <v/>
      </c>
      <c r="H81" s="76" t="str">
        <f>IFERROR(VLOOKUP('Pipe Insulation'!Y105,'Pipe Insulation'!$AM$152:$AN$153,2,FALSE),"")</f>
        <v/>
      </c>
      <c r="I81" s="68" t="str">
        <f>IF('Pipe Insulation'!Z105="", "", 'Pipe Insulation'!Z105)</f>
        <v/>
      </c>
      <c r="J81" s="480"/>
    </row>
    <row r="82" spans="2:10" s="1" customFormat="1" x14ac:dyDescent="0.25">
      <c r="B82" s="76">
        <f>'Pipe Insulation'!B106</f>
        <v>73</v>
      </c>
      <c r="C82" s="76" t="str">
        <f>IF('Pipe Insulation'!C106="", "", 'Pipe Insulation'!C106)</f>
        <v/>
      </c>
      <c r="D82" s="76" t="str">
        <f>IF('Pipe Insulation'!D106="", "", 'Pipe Insulation'!D106)</f>
        <v/>
      </c>
      <c r="E82" s="69" t="str">
        <f>IF('Pipe Insulation'!E106="", "", 'Pipe Insulation'!E106)</f>
        <v/>
      </c>
      <c r="F82" s="76" t="str">
        <f>IFERROR(VLOOKUP('Pipe Insulation'!G106,'Pipe Insulation'!$AM$142:$AN$149,2,FALSE),"")</f>
        <v/>
      </c>
      <c r="G82" s="86" t="str">
        <f>IF('Pipe Insulation'!W106="", "", 'Pipe Insulation'!W106)</f>
        <v/>
      </c>
      <c r="H82" s="76" t="str">
        <f>IFERROR(VLOOKUP('Pipe Insulation'!Y106,'Pipe Insulation'!$AM$152:$AN$153,2,FALSE),"")</f>
        <v/>
      </c>
      <c r="I82" s="68" t="str">
        <f>IF('Pipe Insulation'!Z106="", "", 'Pipe Insulation'!Z106)</f>
        <v/>
      </c>
      <c r="J82" s="480"/>
    </row>
    <row r="83" spans="2:10" s="1" customFormat="1" x14ac:dyDescent="0.25">
      <c r="B83" s="76">
        <f>'Pipe Insulation'!B107</f>
        <v>74</v>
      </c>
      <c r="C83" s="76" t="str">
        <f>IF('Pipe Insulation'!C107="", "", 'Pipe Insulation'!C107)</f>
        <v/>
      </c>
      <c r="D83" s="76" t="str">
        <f>IF('Pipe Insulation'!D107="", "", 'Pipe Insulation'!D107)</f>
        <v/>
      </c>
      <c r="E83" s="69" t="str">
        <f>IF('Pipe Insulation'!E107="", "", 'Pipe Insulation'!E107)</f>
        <v/>
      </c>
      <c r="F83" s="76" t="str">
        <f>IFERROR(VLOOKUP('Pipe Insulation'!G107,'Pipe Insulation'!$AM$142:$AN$149,2,FALSE),"")</f>
        <v/>
      </c>
      <c r="G83" s="86" t="str">
        <f>IF('Pipe Insulation'!W107="", "", 'Pipe Insulation'!W107)</f>
        <v/>
      </c>
      <c r="H83" s="76" t="str">
        <f>IFERROR(VLOOKUP('Pipe Insulation'!Y107,'Pipe Insulation'!$AM$152:$AN$153,2,FALSE),"")</f>
        <v/>
      </c>
      <c r="I83" s="68" t="str">
        <f>IF('Pipe Insulation'!Z107="", "", 'Pipe Insulation'!Z107)</f>
        <v/>
      </c>
      <c r="J83" s="480"/>
    </row>
    <row r="84" spans="2:10" s="1" customFormat="1" x14ac:dyDescent="0.25">
      <c r="B84" s="76">
        <f>'Pipe Insulation'!B108</f>
        <v>75</v>
      </c>
      <c r="C84" s="76" t="str">
        <f>IF('Pipe Insulation'!C108="", "", 'Pipe Insulation'!C108)</f>
        <v/>
      </c>
      <c r="D84" s="76" t="str">
        <f>IF('Pipe Insulation'!D108="", "", 'Pipe Insulation'!D108)</f>
        <v/>
      </c>
      <c r="E84" s="69" t="str">
        <f>IF('Pipe Insulation'!E108="", "", 'Pipe Insulation'!E108)</f>
        <v/>
      </c>
      <c r="F84" s="76" t="str">
        <f>IFERROR(VLOOKUP('Pipe Insulation'!G108,'Pipe Insulation'!$AM$142:$AN$149,2,FALSE),"")</f>
        <v/>
      </c>
      <c r="G84" s="86" t="str">
        <f>IF('Pipe Insulation'!W108="", "", 'Pipe Insulation'!W108)</f>
        <v/>
      </c>
      <c r="H84" s="76" t="str">
        <f>IFERROR(VLOOKUP('Pipe Insulation'!Y108,'Pipe Insulation'!$AM$152:$AN$153,2,FALSE),"")</f>
        <v/>
      </c>
      <c r="I84" s="68" t="str">
        <f>IF('Pipe Insulation'!Z108="", "", 'Pipe Insulation'!Z108)</f>
        <v/>
      </c>
      <c r="J84" s="480"/>
    </row>
    <row r="85" spans="2:10" s="64" customFormat="1" ht="45" x14ac:dyDescent="0.25">
      <c r="B85" s="206" t="s">
        <v>133</v>
      </c>
      <c r="C85" s="206" t="s">
        <v>134</v>
      </c>
      <c r="D85" s="206" t="s">
        <v>135</v>
      </c>
      <c r="E85" s="206" t="s">
        <v>136</v>
      </c>
      <c r="F85" s="206" t="s">
        <v>138</v>
      </c>
      <c r="G85" s="206" t="s">
        <v>675</v>
      </c>
      <c r="H85" s="206" t="s">
        <v>676</v>
      </c>
      <c r="I85" s="206" t="s">
        <v>677</v>
      </c>
      <c r="J85" s="785" t="s">
        <v>678</v>
      </c>
    </row>
    <row r="86" spans="2:10" s="1" customFormat="1" x14ac:dyDescent="0.25">
      <c r="B86" s="76">
        <f>'Pipe Insulation'!B109</f>
        <v>76</v>
      </c>
      <c r="C86" s="76" t="str">
        <f>IF('Pipe Insulation'!C109="", "", 'Pipe Insulation'!C109)</f>
        <v/>
      </c>
      <c r="D86" s="76" t="str">
        <f>IF('Pipe Insulation'!D109="", "", 'Pipe Insulation'!D109)</f>
        <v/>
      </c>
      <c r="E86" s="69" t="str">
        <f>IF('Pipe Insulation'!E109="", "", 'Pipe Insulation'!E109)</f>
        <v/>
      </c>
      <c r="F86" s="76" t="str">
        <f>IFERROR(VLOOKUP('Pipe Insulation'!G109,'Pipe Insulation'!$AM$142:$AN$149,2,FALSE),"")</f>
        <v/>
      </c>
      <c r="G86" s="86" t="str">
        <f>IF('Pipe Insulation'!W109="", "", 'Pipe Insulation'!W109)</f>
        <v/>
      </c>
      <c r="H86" s="76" t="str">
        <f>IFERROR(VLOOKUP('Pipe Insulation'!Y109,'Pipe Insulation'!$AM$152:$AN$153,2,FALSE),"")</f>
        <v/>
      </c>
      <c r="I86" s="68" t="str">
        <f>IF('Pipe Insulation'!Z109="", "", 'Pipe Insulation'!Z109)</f>
        <v/>
      </c>
      <c r="J86" s="480"/>
    </row>
    <row r="87" spans="2:10" s="1" customFormat="1" x14ac:dyDescent="0.25">
      <c r="B87" s="76">
        <f>'Pipe Insulation'!B110</f>
        <v>77</v>
      </c>
      <c r="C87" s="76" t="str">
        <f>IF('Pipe Insulation'!C110="", "", 'Pipe Insulation'!C110)</f>
        <v/>
      </c>
      <c r="D87" s="76" t="str">
        <f>IF('Pipe Insulation'!D110="", "", 'Pipe Insulation'!D110)</f>
        <v/>
      </c>
      <c r="E87" s="69" t="str">
        <f>IF('Pipe Insulation'!E110="", "", 'Pipe Insulation'!E110)</f>
        <v/>
      </c>
      <c r="F87" s="76" t="str">
        <f>IFERROR(VLOOKUP('Pipe Insulation'!G110,'Pipe Insulation'!$AM$142:$AN$149,2,FALSE),"")</f>
        <v/>
      </c>
      <c r="G87" s="86" t="str">
        <f>IF('Pipe Insulation'!W110="", "", 'Pipe Insulation'!W110)</f>
        <v/>
      </c>
      <c r="H87" s="76" t="str">
        <f>IFERROR(VLOOKUP('Pipe Insulation'!Y110,'Pipe Insulation'!$AM$152:$AN$153,2,FALSE),"")</f>
        <v/>
      </c>
      <c r="I87" s="68" t="str">
        <f>IF('Pipe Insulation'!Z110="", "", 'Pipe Insulation'!Z110)</f>
        <v/>
      </c>
      <c r="J87" s="480"/>
    </row>
    <row r="88" spans="2:10" s="1" customFormat="1" x14ac:dyDescent="0.25">
      <c r="B88" s="76">
        <f>'Pipe Insulation'!B111</f>
        <v>78</v>
      </c>
      <c r="C88" s="76" t="str">
        <f>IF('Pipe Insulation'!C111="", "", 'Pipe Insulation'!C111)</f>
        <v/>
      </c>
      <c r="D88" s="76" t="str">
        <f>IF('Pipe Insulation'!D111="", "", 'Pipe Insulation'!D111)</f>
        <v/>
      </c>
      <c r="E88" s="69" t="str">
        <f>IF('Pipe Insulation'!E111="", "", 'Pipe Insulation'!E111)</f>
        <v/>
      </c>
      <c r="F88" s="76" t="str">
        <f>IFERROR(VLOOKUP('Pipe Insulation'!G111,'Pipe Insulation'!$AM$142:$AN$149,2,FALSE),"")</f>
        <v/>
      </c>
      <c r="G88" s="86" t="str">
        <f>IF('Pipe Insulation'!W111="", "", 'Pipe Insulation'!W111)</f>
        <v/>
      </c>
      <c r="H88" s="76" t="str">
        <f>IFERROR(VLOOKUP('Pipe Insulation'!Y111,'Pipe Insulation'!$AM$152:$AN$153,2,FALSE),"")</f>
        <v/>
      </c>
      <c r="I88" s="68" t="str">
        <f>IF('Pipe Insulation'!Z111="", "", 'Pipe Insulation'!Z111)</f>
        <v/>
      </c>
      <c r="J88" s="480"/>
    </row>
    <row r="89" spans="2:10" s="1" customFormat="1" x14ac:dyDescent="0.25">
      <c r="B89" s="76">
        <f>'Pipe Insulation'!B112</f>
        <v>79</v>
      </c>
      <c r="C89" s="76" t="str">
        <f>IF('Pipe Insulation'!C112="", "", 'Pipe Insulation'!C112)</f>
        <v/>
      </c>
      <c r="D89" s="76" t="str">
        <f>IF('Pipe Insulation'!D112="", "", 'Pipe Insulation'!D112)</f>
        <v/>
      </c>
      <c r="E89" s="69" t="str">
        <f>IF('Pipe Insulation'!E112="", "", 'Pipe Insulation'!E112)</f>
        <v/>
      </c>
      <c r="F89" s="76" t="str">
        <f>IFERROR(VLOOKUP('Pipe Insulation'!G112,'Pipe Insulation'!$AM$142:$AN$149,2,FALSE),"")</f>
        <v/>
      </c>
      <c r="G89" s="86" t="str">
        <f>IF('Pipe Insulation'!W112="", "", 'Pipe Insulation'!W112)</f>
        <v/>
      </c>
      <c r="H89" s="76" t="str">
        <f>IFERROR(VLOOKUP('Pipe Insulation'!Y112,'Pipe Insulation'!$AM$152:$AN$153,2,FALSE),"")</f>
        <v/>
      </c>
      <c r="I89" s="68" t="str">
        <f>IF('Pipe Insulation'!Z112="", "", 'Pipe Insulation'!Z112)</f>
        <v/>
      </c>
      <c r="J89" s="480"/>
    </row>
    <row r="90" spans="2:10" s="1" customFormat="1" x14ac:dyDescent="0.25">
      <c r="B90" s="76">
        <f>'Pipe Insulation'!B113</f>
        <v>80</v>
      </c>
      <c r="C90" s="76" t="str">
        <f>IF('Pipe Insulation'!C113="", "", 'Pipe Insulation'!C113)</f>
        <v/>
      </c>
      <c r="D90" s="76" t="str">
        <f>IF('Pipe Insulation'!D113="", "", 'Pipe Insulation'!D113)</f>
        <v/>
      </c>
      <c r="E90" s="69" t="str">
        <f>IF('Pipe Insulation'!E113="", "", 'Pipe Insulation'!E113)</f>
        <v/>
      </c>
      <c r="F90" s="76" t="str">
        <f>IFERROR(VLOOKUP('Pipe Insulation'!G113,'Pipe Insulation'!$AM$142:$AN$149,2,FALSE),"")</f>
        <v/>
      </c>
      <c r="G90" s="86" t="str">
        <f>IF('Pipe Insulation'!W113="", "", 'Pipe Insulation'!W113)</f>
        <v/>
      </c>
      <c r="H90" s="76" t="str">
        <f>IFERROR(VLOOKUP('Pipe Insulation'!Y113,'Pipe Insulation'!$AM$152:$AN$153,2,FALSE),"")</f>
        <v/>
      </c>
      <c r="I90" s="68" t="str">
        <f>IF('Pipe Insulation'!Z113="", "", 'Pipe Insulation'!Z113)</f>
        <v/>
      </c>
      <c r="J90" s="480"/>
    </row>
    <row r="91" spans="2:10" s="1" customFormat="1" x14ac:dyDescent="0.25">
      <c r="B91" s="76">
        <f>'Pipe Insulation'!B114</f>
        <v>81</v>
      </c>
      <c r="C91" s="76" t="str">
        <f>IF('Pipe Insulation'!C114="", "", 'Pipe Insulation'!C114)</f>
        <v/>
      </c>
      <c r="D91" s="76" t="str">
        <f>IF('Pipe Insulation'!D114="", "", 'Pipe Insulation'!D114)</f>
        <v/>
      </c>
      <c r="E91" s="69" t="str">
        <f>IF('Pipe Insulation'!E114="", "", 'Pipe Insulation'!E114)</f>
        <v/>
      </c>
      <c r="F91" s="76" t="str">
        <f>IFERROR(VLOOKUP('Pipe Insulation'!G114,'Pipe Insulation'!$AM$142:$AN$149,2,FALSE),"")</f>
        <v/>
      </c>
      <c r="G91" s="86" t="str">
        <f>IF('Pipe Insulation'!W114="", "", 'Pipe Insulation'!W114)</f>
        <v/>
      </c>
      <c r="H91" s="76" t="str">
        <f>IFERROR(VLOOKUP('Pipe Insulation'!Y114,'Pipe Insulation'!$AM$152:$AN$153,2,FALSE),"")</f>
        <v/>
      </c>
      <c r="I91" s="68" t="str">
        <f>IF('Pipe Insulation'!Z114="", "", 'Pipe Insulation'!Z114)</f>
        <v/>
      </c>
      <c r="J91" s="480"/>
    </row>
    <row r="92" spans="2:10" s="1" customFormat="1" x14ac:dyDescent="0.25">
      <c r="B92" s="76">
        <f>'Pipe Insulation'!B115</f>
        <v>82</v>
      </c>
      <c r="C92" s="76" t="str">
        <f>IF('Pipe Insulation'!C115="", "", 'Pipe Insulation'!C115)</f>
        <v/>
      </c>
      <c r="D92" s="76" t="str">
        <f>IF('Pipe Insulation'!D115="", "", 'Pipe Insulation'!D115)</f>
        <v/>
      </c>
      <c r="E92" s="69" t="str">
        <f>IF('Pipe Insulation'!E115="", "", 'Pipe Insulation'!E115)</f>
        <v/>
      </c>
      <c r="F92" s="76" t="str">
        <f>IFERROR(VLOOKUP('Pipe Insulation'!G115,'Pipe Insulation'!$AM$142:$AN$149,2,FALSE),"")</f>
        <v/>
      </c>
      <c r="G92" s="86" t="str">
        <f>IF('Pipe Insulation'!W115="", "", 'Pipe Insulation'!W115)</f>
        <v/>
      </c>
      <c r="H92" s="76" t="str">
        <f>IFERROR(VLOOKUP('Pipe Insulation'!Y115,'Pipe Insulation'!$AM$152:$AN$153,2,FALSE),"")</f>
        <v/>
      </c>
      <c r="I92" s="68" t="str">
        <f>IF('Pipe Insulation'!Z115="", "", 'Pipe Insulation'!Z115)</f>
        <v/>
      </c>
      <c r="J92" s="480"/>
    </row>
    <row r="93" spans="2:10" s="1" customFormat="1" x14ac:dyDescent="0.25">
      <c r="B93" s="76">
        <f>'Pipe Insulation'!B116</f>
        <v>83</v>
      </c>
      <c r="C93" s="76" t="str">
        <f>IF('Pipe Insulation'!C116="", "", 'Pipe Insulation'!C116)</f>
        <v/>
      </c>
      <c r="D93" s="76" t="str">
        <f>IF('Pipe Insulation'!D116="", "", 'Pipe Insulation'!D116)</f>
        <v/>
      </c>
      <c r="E93" s="69" t="str">
        <f>IF('Pipe Insulation'!E116="", "", 'Pipe Insulation'!E116)</f>
        <v/>
      </c>
      <c r="F93" s="76" t="str">
        <f>IFERROR(VLOOKUP('Pipe Insulation'!G116,'Pipe Insulation'!$AM$142:$AN$149,2,FALSE),"")</f>
        <v/>
      </c>
      <c r="G93" s="86" t="str">
        <f>IF('Pipe Insulation'!W116="", "", 'Pipe Insulation'!W116)</f>
        <v/>
      </c>
      <c r="H93" s="76" t="str">
        <f>IFERROR(VLOOKUP('Pipe Insulation'!Y116,'Pipe Insulation'!$AM$152:$AN$153,2,FALSE),"")</f>
        <v/>
      </c>
      <c r="I93" s="68" t="str">
        <f>IF('Pipe Insulation'!Z116="", "", 'Pipe Insulation'!Z116)</f>
        <v/>
      </c>
      <c r="J93" s="480"/>
    </row>
    <row r="94" spans="2:10" s="1" customFormat="1" x14ac:dyDescent="0.25">
      <c r="B94" s="76">
        <f>'Pipe Insulation'!B117</f>
        <v>84</v>
      </c>
      <c r="C94" s="76" t="str">
        <f>IF('Pipe Insulation'!C117="", "", 'Pipe Insulation'!C117)</f>
        <v/>
      </c>
      <c r="D94" s="76" t="str">
        <f>IF('Pipe Insulation'!D117="", "", 'Pipe Insulation'!D117)</f>
        <v/>
      </c>
      <c r="E94" s="69" t="str">
        <f>IF('Pipe Insulation'!E117="", "", 'Pipe Insulation'!E117)</f>
        <v/>
      </c>
      <c r="F94" s="76" t="str">
        <f>IFERROR(VLOOKUP('Pipe Insulation'!G117,'Pipe Insulation'!$AM$142:$AN$149,2,FALSE),"")</f>
        <v/>
      </c>
      <c r="G94" s="86" t="str">
        <f>IF('Pipe Insulation'!W117="", "", 'Pipe Insulation'!W117)</f>
        <v/>
      </c>
      <c r="H94" s="76" t="str">
        <f>IFERROR(VLOOKUP('Pipe Insulation'!Y117,'Pipe Insulation'!$AM$152:$AN$153,2,FALSE),"")</f>
        <v/>
      </c>
      <c r="I94" s="68" t="str">
        <f>IF('Pipe Insulation'!Z117="", "", 'Pipe Insulation'!Z117)</f>
        <v/>
      </c>
      <c r="J94" s="480"/>
    </row>
    <row r="95" spans="2:10" s="1" customFormat="1" x14ac:dyDescent="0.25">
      <c r="B95" s="76">
        <f>'Pipe Insulation'!B118</f>
        <v>85</v>
      </c>
      <c r="C95" s="76" t="str">
        <f>IF('Pipe Insulation'!C118="", "", 'Pipe Insulation'!C118)</f>
        <v/>
      </c>
      <c r="D95" s="76" t="str">
        <f>IF('Pipe Insulation'!D118="", "", 'Pipe Insulation'!D118)</f>
        <v/>
      </c>
      <c r="E95" s="69" t="str">
        <f>IF('Pipe Insulation'!E118="", "", 'Pipe Insulation'!E118)</f>
        <v/>
      </c>
      <c r="F95" s="76" t="str">
        <f>IFERROR(VLOOKUP('Pipe Insulation'!G118,'Pipe Insulation'!$AM$142:$AN$149,2,FALSE),"")</f>
        <v/>
      </c>
      <c r="G95" s="86" t="str">
        <f>IF('Pipe Insulation'!W118="", "", 'Pipe Insulation'!W118)</f>
        <v/>
      </c>
      <c r="H95" s="76" t="str">
        <f>IFERROR(VLOOKUP('Pipe Insulation'!Y118,'Pipe Insulation'!$AM$152:$AN$153,2,FALSE),"")</f>
        <v/>
      </c>
      <c r="I95" s="68" t="str">
        <f>IF('Pipe Insulation'!Z118="", "", 'Pipe Insulation'!Z118)</f>
        <v/>
      </c>
      <c r="J95" s="480"/>
    </row>
    <row r="96" spans="2:10" s="1" customFormat="1" x14ac:dyDescent="0.25">
      <c r="B96" s="76">
        <f>'Pipe Insulation'!B119</f>
        <v>86</v>
      </c>
      <c r="C96" s="76" t="str">
        <f>IF('Pipe Insulation'!C119="", "", 'Pipe Insulation'!C119)</f>
        <v/>
      </c>
      <c r="D96" s="76" t="str">
        <f>IF('Pipe Insulation'!D119="", "", 'Pipe Insulation'!D119)</f>
        <v/>
      </c>
      <c r="E96" s="69" t="str">
        <f>IF('Pipe Insulation'!E119="", "", 'Pipe Insulation'!E119)</f>
        <v/>
      </c>
      <c r="F96" s="76" t="str">
        <f>IFERROR(VLOOKUP('Pipe Insulation'!G119,'Pipe Insulation'!$AM$142:$AN$149,2,FALSE),"")</f>
        <v/>
      </c>
      <c r="G96" s="86" t="str">
        <f>IF('Pipe Insulation'!W119="", "", 'Pipe Insulation'!W119)</f>
        <v/>
      </c>
      <c r="H96" s="76" t="str">
        <f>IFERROR(VLOOKUP('Pipe Insulation'!Y119,'Pipe Insulation'!$AM$152:$AN$153,2,FALSE),"")</f>
        <v/>
      </c>
      <c r="I96" s="68" t="str">
        <f>IF('Pipe Insulation'!Z119="", "", 'Pipe Insulation'!Z119)</f>
        <v/>
      </c>
      <c r="J96" s="480"/>
    </row>
    <row r="97" spans="2:10" s="1" customFormat="1" x14ac:dyDescent="0.25">
      <c r="B97" s="76">
        <f>'Pipe Insulation'!B120</f>
        <v>87</v>
      </c>
      <c r="C97" s="76" t="str">
        <f>IF('Pipe Insulation'!C120="", "", 'Pipe Insulation'!C120)</f>
        <v/>
      </c>
      <c r="D97" s="76" t="str">
        <f>IF('Pipe Insulation'!D120="", "", 'Pipe Insulation'!D120)</f>
        <v/>
      </c>
      <c r="E97" s="69" t="str">
        <f>IF('Pipe Insulation'!E120="", "", 'Pipe Insulation'!E120)</f>
        <v/>
      </c>
      <c r="F97" s="76" t="str">
        <f>IFERROR(VLOOKUP('Pipe Insulation'!G120,'Pipe Insulation'!$AM$142:$AN$149,2,FALSE),"")</f>
        <v/>
      </c>
      <c r="G97" s="86" t="str">
        <f>IF('Pipe Insulation'!W120="", "", 'Pipe Insulation'!W120)</f>
        <v/>
      </c>
      <c r="H97" s="76" t="str">
        <f>IFERROR(VLOOKUP('Pipe Insulation'!Y120,'Pipe Insulation'!$AM$152:$AN$153,2,FALSE),"")</f>
        <v/>
      </c>
      <c r="I97" s="68" t="str">
        <f>IF('Pipe Insulation'!Z120="", "", 'Pipe Insulation'!Z120)</f>
        <v/>
      </c>
      <c r="J97" s="480"/>
    </row>
    <row r="98" spans="2:10" s="1" customFormat="1" x14ac:dyDescent="0.25">
      <c r="B98" s="76">
        <f>'Pipe Insulation'!B121</f>
        <v>88</v>
      </c>
      <c r="C98" s="76" t="str">
        <f>IF('Pipe Insulation'!C121="", "", 'Pipe Insulation'!C121)</f>
        <v/>
      </c>
      <c r="D98" s="76" t="str">
        <f>IF('Pipe Insulation'!D121="", "", 'Pipe Insulation'!D121)</f>
        <v/>
      </c>
      <c r="E98" s="69" t="str">
        <f>IF('Pipe Insulation'!E121="", "", 'Pipe Insulation'!E121)</f>
        <v/>
      </c>
      <c r="F98" s="76" t="str">
        <f>IFERROR(VLOOKUP('Pipe Insulation'!G121,'Pipe Insulation'!$AM$142:$AN$149,2,FALSE),"")</f>
        <v/>
      </c>
      <c r="G98" s="86" t="str">
        <f>IF('Pipe Insulation'!W121="", "", 'Pipe Insulation'!W121)</f>
        <v/>
      </c>
      <c r="H98" s="76" t="str">
        <f>IFERROR(VLOOKUP('Pipe Insulation'!Y121,'Pipe Insulation'!$AM$152:$AN$153,2,FALSE),"")</f>
        <v/>
      </c>
      <c r="I98" s="68" t="str">
        <f>IF('Pipe Insulation'!Z121="", "", 'Pipe Insulation'!Z121)</f>
        <v/>
      </c>
      <c r="J98" s="480"/>
    </row>
    <row r="99" spans="2:10" s="1" customFormat="1" x14ac:dyDescent="0.25">
      <c r="B99" s="76">
        <f>'Pipe Insulation'!B122</f>
        <v>89</v>
      </c>
      <c r="C99" s="76" t="str">
        <f>IF('Pipe Insulation'!C122="", "", 'Pipe Insulation'!C122)</f>
        <v/>
      </c>
      <c r="D99" s="76" t="str">
        <f>IF('Pipe Insulation'!D122="", "", 'Pipe Insulation'!D122)</f>
        <v/>
      </c>
      <c r="E99" s="69" t="str">
        <f>IF('Pipe Insulation'!E122="", "", 'Pipe Insulation'!E122)</f>
        <v/>
      </c>
      <c r="F99" s="76" t="str">
        <f>IFERROR(VLOOKUP('Pipe Insulation'!G122,'Pipe Insulation'!$AM$142:$AN$149,2,FALSE),"")</f>
        <v/>
      </c>
      <c r="G99" s="86" t="str">
        <f>IF('Pipe Insulation'!W122="", "", 'Pipe Insulation'!W122)</f>
        <v/>
      </c>
      <c r="H99" s="76" t="str">
        <f>IFERROR(VLOOKUP('Pipe Insulation'!Y122,'Pipe Insulation'!$AM$152:$AN$153,2,FALSE),"")</f>
        <v/>
      </c>
      <c r="I99" s="68" t="str">
        <f>IF('Pipe Insulation'!Z122="", "", 'Pipe Insulation'!Z122)</f>
        <v/>
      </c>
      <c r="J99" s="480"/>
    </row>
    <row r="100" spans="2:10" s="1" customFormat="1" x14ac:dyDescent="0.25">
      <c r="B100" s="76">
        <f>'Pipe Insulation'!B123</f>
        <v>90</v>
      </c>
      <c r="C100" s="76" t="str">
        <f>IF('Pipe Insulation'!C123="", "", 'Pipe Insulation'!C123)</f>
        <v/>
      </c>
      <c r="D100" s="76" t="str">
        <f>IF('Pipe Insulation'!D123="", "", 'Pipe Insulation'!D123)</f>
        <v/>
      </c>
      <c r="E100" s="69" t="str">
        <f>IF('Pipe Insulation'!E123="", "", 'Pipe Insulation'!E123)</f>
        <v/>
      </c>
      <c r="F100" s="76" t="str">
        <f>IFERROR(VLOOKUP('Pipe Insulation'!G123,'Pipe Insulation'!$AM$142:$AN$149,2,FALSE),"")</f>
        <v/>
      </c>
      <c r="G100" s="86" t="str">
        <f>IF('Pipe Insulation'!W123="", "", 'Pipe Insulation'!W123)</f>
        <v/>
      </c>
      <c r="H100" s="76" t="str">
        <f>IFERROR(VLOOKUP('Pipe Insulation'!Y123,'Pipe Insulation'!$AM$152:$AN$153,2,FALSE),"")</f>
        <v/>
      </c>
      <c r="I100" s="68" t="str">
        <f>IF('Pipe Insulation'!Z123="", "", 'Pipe Insulation'!Z123)</f>
        <v/>
      </c>
      <c r="J100" s="480"/>
    </row>
    <row r="101" spans="2:10" s="1" customFormat="1" x14ac:dyDescent="0.25">
      <c r="B101" s="76">
        <f>'Pipe Insulation'!B124</f>
        <v>91</v>
      </c>
      <c r="C101" s="76" t="str">
        <f>IF('Pipe Insulation'!C124="", "", 'Pipe Insulation'!C124)</f>
        <v/>
      </c>
      <c r="D101" s="76" t="str">
        <f>IF('Pipe Insulation'!D124="", "", 'Pipe Insulation'!D124)</f>
        <v/>
      </c>
      <c r="E101" s="69" t="str">
        <f>IF('Pipe Insulation'!E124="", "", 'Pipe Insulation'!E124)</f>
        <v/>
      </c>
      <c r="F101" s="76" t="str">
        <f>IFERROR(VLOOKUP('Pipe Insulation'!G124,'Pipe Insulation'!$AM$142:$AN$149,2,FALSE),"")</f>
        <v/>
      </c>
      <c r="G101" s="86" t="str">
        <f>IF('Pipe Insulation'!W124="", "", 'Pipe Insulation'!W124)</f>
        <v/>
      </c>
      <c r="H101" s="76" t="str">
        <f>IFERROR(VLOOKUP('Pipe Insulation'!Y124,'Pipe Insulation'!$AM$152:$AN$153,2,FALSE),"")</f>
        <v/>
      </c>
      <c r="I101" s="68" t="str">
        <f>IF('Pipe Insulation'!Z124="", "", 'Pipe Insulation'!Z124)</f>
        <v/>
      </c>
      <c r="J101" s="480"/>
    </row>
    <row r="102" spans="2:10" s="1" customFormat="1" x14ac:dyDescent="0.25">
      <c r="B102" s="76">
        <f>'Pipe Insulation'!B125</f>
        <v>92</v>
      </c>
      <c r="C102" s="76" t="str">
        <f>IF('Pipe Insulation'!C125="", "", 'Pipe Insulation'!C125)</f>
        <v/>
      </c>
      <c r="D102" s="76" t="str">
        <f>IF('Pipe Insulation'!D125="", "", 'Pipe Insulation'!D125)</f>
        <v/>
      </c>
      <c r="E102" s="69" t="str">
        <f>IF('Pipe Insulation'!E125="", "", 'Pipe Insulation'!E125)</f>
        <v/>
      </c>
      <c r="F102" s="76" t="str">
        <f>IFERROR(VLOOKUP('Pipe Insulation'!G125,'Pipe Insulation'!$AM$142:$AN$149,2,FALSE),"")</f>
        <v/>
      </c>
      <c r="G102" s="86" t="str">
        <f>IF('Pipe Insulation'!W125="", "", 'Pipe Insulation'!W125)</f>
        <v/>
      </c>
      <c r="H102" s="76" t="str">
        <f>IFERROR(VLOOKUP('Pipe Insulation'!Y125,'Pipe Insulation'!$AM$152:$AN$153,2,FALSE),"")</f>
        <v/>
      </c>
      <c r="I102" s="68" t="str">
        <f>IF('Pipe Insulation'!Z125="", "", 'Pipe Insulation'!Z125)</f>
        <v/>
      </c>
      <c r="J102" s="480"/>
    </row>
    <row r="103" spans="2:10" s="1" customFormat="1" x14ac:dyDescent="0.25">
      <c r="B103" s="76">
        <f>'Pipe Insulation'!B126</f>
        <v>93</v>
      </c>
      <c r="C103" s="76" t="str">
        <f>IF('Pipe Insulation'!C126="", "", 'Pipe Insulation'!C126)</f>
        <v/>
      </c>
      <c r="D103" s="76" t="str">
        <f>IF('Pipe Insulation'!D126="", "", 'Pipe Insulation'!D126)</f>
        <v/>
      </c>
      <c r="E103" s="69" t="str">
        <f>IF('Pipe Insulation'!E126="", "", 'Pipe Insulation'!E126)</f>
        <v/>
      </c>
      <c r="F103" s="76" t="str">
        <f>IFERROR(VLOOKUP('Pipe Insulation'!G126,'Pipe Insulation'!$AM$142:$AN$149,2,FALSE),"")</f>
        <v/>
      </c>
      <c r="G103" s="86" t="str">
        <f>IF('Pipe Insulation'!W126="", "", 'Pipe Insulation'!W126)</f>
        <v/>
      </c>
      <c r="H103" s="76" t="str">
        <f>IFERROR(VLOOKUP('Pipe Insulation'!Y126,'Pipe Insulation'!$AM$152:$AN$153,2,FALSE),"")</f>
        <v/>
      </c>
      <c r="I103" s="68" t="str">
        <f>IF('Pipe Insulation'!Z126="", "", 'Pipe Insulation'!Z126)</f>
        <v/>
      </c>
      <c r="J103" s="480"/>
    </row>
    <row r="104" spans="2:10" s="1" customFormat="1" x14ac:dyDescent="0.25">
      <c r="B104" s="76">
        <f>'Pipe Insulation'!B127</f>
        <v>94</v>
      </c>
      <c r="C104" s="76" t="str">
        <f>IF('Pipe Insulation'!C127="", "", 'Pipe Insulation'!C127)</f>
        <v/>
      </c>
      <c r="D104" s="76" t="str">
        <f>IF('Pipe Insulation'!D127="", "", 'Pipe Insulation'!D127)</f>
        <v/>
      </c>
      <c r="E104" s="69" t="str">
        <f>IF('Pipe Insulation'!E127="", "", 'Pipe Insulation'!E127)</f>
        <v/>
      </c>
      <c r="F104" s="76" t="str">
        <f>IFERROR(VLOOKUP('Pipe Insulation'!G127,'Pipe Insulation'!$AM$142:$AN$149,2,FALSE),"")</f>
        <v/>
      </c>
      <c r="G104" s="86" t="str">
        <f>IF('Pipe Insulation'!W127="", "", 'Pipe Insulation'!W127)</f>
        <v/>
      </c>
      <c r="H104" s="76" t="str">
        <f>IFERROR(VLOOKUP('Pipe Insulation'!Y127,'Pipe Insulation'!$AM$152:$AN$153,2,FALSE),"")</f>
        <v/>
      </c>
      <c r="I104" s="68" t="str">
        <f>IF('Pipe Insulation'!Z127="", "", 'Pipe Insulation'!Z127)</f>
        <v/>
      </c>
      <c r="J104" s="480"/>
    </row>
    <row r="105" spans="2:10" s="1" customFormat="1" x14ac:dyDescent="0.25">
      <c r="B105" s="76">
        <f>'Pipe Insulation'!B128</f>
        <v>95</v>
      </c>
      <c r="C105" s="76" t="str">
        <f>IF('Pipe Insulation'!C128="", "", 'Pipe Insulation'!C128)</f>
        <v/>
      </c>
      <c r="D105" s="76" t="str">
        <f>IF('Pipe Insulation'!D128="", "", 'Pipe Insulation'!D128)</f>
        <v/>
      </c>
      <c r="E105" s="69" t="str">
        <f>IF('Pipe Insulation'!E128="", "", 'Pipe Insulation'!E128)</f>
        <v/>
      </c>
      <c r="F105" s="76" t="str">
        <f>IFERROR(VLOOKUP('Pipe Insulation'!G128,'Pipe Insulation'!$AM$142:$AN$149,2,FALSE),"")</f>
        <v/>
      </c>
      <c r="G105" s="86" t="str">
        <f>IF('Pipe Insulation'!W128="", "", 'Pipe Insulation'!W128)</f>
        <v/>
      </c>
      <c r="H105" s="76" t="str">
        <f>IFERROR(VLOOKUP('Pipe Insulation'!Y128,'Pipe Insulation'!$AM$152:$AN$153,2,FALSE),"")</f>
        <v/>
      </c>
      <c r="I105" s="68" t="str">
        <f>IF('Pipe Insulation'!Z128="", "", 'Pipe Insulation'!Z128)</f>
        <v/>
      </c>
      <c r="J105" s="480"/>
    </row>
    <row r="106" spans="2:10" s="1" customFormat="1" x14ac:dyDescent="0.25">
      <c r="B106" s="76">
        <f>'Pipe Insulation'!B129</f>
        <v>96</v>
      </c>
      <c r="C106" s="76" t="str">
        <f>IF('Pipe Insulation'!C129="", "", 'Pipe Insulation'!C129)</f>
        <v/>
      </c>
      <c r="D106" s="76" t="str">
        <f>IF('Pipe Insulation'!D129="", "", 'Pipe Insulation'!D129)</f>
        <v/>
      </c>
      <c r="E106" s="69" t="str">
        <f>IF('Pipe Insulation'!E129="", "", 'Pipe Insulation'!E129)</f>
        <v/>
      </c>
      <c r="F106" s="76" t="str">
        <f>IFERROR(VLOOKUP('Pipe Insulation'!G129,'Pipe Insulation'!$AM$142:$AN$149,2,FALSE),"")</f>
        <v/>
      </c>
      <c r="G106" s="86" t="str">
        <f>IF('Pipe Insulation'!W129="", "", 'Pipe Insulation'!W129)</f>
        <v/>
      </c>
      <c r="H106" s="76" t="str">
        <f>IFERROR(VLOOKUP('Pipe Insulation'!Y129,'Pipe Insulation'!$AM$152:$AN$153,2,FALSE),"")</f>
        <v/>
      </c>
      <c r="I106" s="68" t="str">
        <f>IF('Pipe Insulation'!Z129="", "", 'Pipe Insulation'!Z129)</f>
        <v/>
      </c>
      <c r="J106" s="480"/>
    </row>
    <row r="107" spans="2:10" s="1" customFormat="1" x14ac:dyDescent="0.25">
      <c r="B107" s="76">
        <f>'Pipe Insulation'!B130</f>
        <v>97</v>
      </c>
      <c r="C107" s="76" t="str">
        <f>IF('Pipe Insulation'!C130="", "", 'Pipe Insulation'!C130)</f>
        <v/>
      </c>
      <c r="D107" s="76" t="str">
        <f>IF('Pipe Insulation'!D130="", "", 'Pipe Insulation'!D130)</f>
        <v/>
      </c>
      <c r="E107" s="69" t="str">
        <f>IF('Pipe Insulation'!E130="", "", 'Pipe Insulation'!E130)</f>
        <v/>
      </c>
      <c r="F107" s="76" t="str">
        <f>IFERROR(VLOOKUP('Pipe Insulation'!G130,'Pipe Insulation'!$AM$142:$AN$149,2,FALSE),"")</f>
        <v/>
      </c>
      <c r="G107" s="86" t="str">
        <f>IF('Pipe Insulation'!W130="", "", 'Pipe Insulation'!W130)</f>
        <v/>
      </c>
      <c r="H107" s="76" t="str">
        <f>IFERROR(VLOOKUP('Pipe Insulation'!Y130,'Pipe Insulation'!$AM$152:$AN$153,2,FALSE),"")</f>
        <v/>
      </c>
      <c r="I107" s="68" t="str">
        <f>IF('Pipe Insulation'!Z130="", "", 'Pipe Insulation'!Z130)</f>
        <v/>
      </c>
      <c r="J107" s="480"/>
    </row>
    <row r="108" spans="2:10" s="1" customFormat="1" x14ac:dyDescent="0.25">
      <c r="B108" s="76">
        <f>'Pipe Insulation'!B131</f>
        <v>98</v>
      </c>
      <c r="C108" s="76" t="str">
        <f>IF('Pipe Insulation'!C131="", "", 'Pipe Insulation'!C131)</f>
        <v/>
      </c>
      <c r="D108" s="76" t="str">
        <f>IF('Pipe Insulation'!D131="", "", 'Pipe Insulation'!D131)</f>
        <v/>
      </c>
      <c r="E108" s="69" t="str">
        <f>IF('Pipe Insulation'!E131="", "", 'Pipe Insulation'!E131)</f>
        <v/>
      </c>
      <c r="F108" s="76" t="str">
        <f>IFERROR(VLOOKUP('Pipe Insulation'!G131,'Pipe Insulation'!$AM$142:$AN$149,2,FALSE),"")</f>
        <v/>
      </c>
      <c r="G108" s="86" t="str">
        <f>IF('Pipe Insulation'!W131="", "", 'Pipe Insulation'!W131)</f>
        <v/>
      </c>
      <c r="H108" s="76" t="str">
        <f>IFERROR(VLOOKUP('Pipe Insulation'!Y131,'Pipe Insulation'!$AM$152:$AN$153,2,FALSE),"")</f>
        <v/>
      </c>
      <c r="I108" s="68" t="str">
        <f>IF('Pipe Insulation'!Z131="", "", 'Pipe Insulation'!Z131)</f>
        <v/>
      </c>
      <c r="J108" s="480"/>
    </row>
    <row r="109" spans="2:10" s="1" customFormat="1" x14ac:dyDescent="0.25">
      <c r="B109" s="76">
        <f>'Pipe Insulation'!B132</f>
        <v>99</v>
      </c>
      <c r="C109" s="76" t="str">
        <f>IF('Pipe Insulation'!C132="", "", 'Pipe Insulation'!C132)</f>
        <v/>
      </c>
      <c r="D109" s="76" t="str">
        <f>IF('Pipe Insulation'!D132="", "", 'Pipe Insulation'!D132)</f>
        <v/>
      </c>
      <c r="E109" s="69" t="str">
        <f>IF('Pipe Insulation'!E132="", "", 'Pipe Insulation'!E132)</f>
        <v/>
      </c>
      <c r="F109" s="76" t="str">
        <f>IFERROR(VLOOKUP('Pipe Insulation'!G132,'Pipe Insulation'!$AM$142:$AN$149,2,FALSE),"")</f>
        <v/>
      </c>
      <c r="G109" s="86" t="str">
        <f>IF('Pipe Insulation'!W132="", "", 'Pipe Insulation'!W132)</f>
        <v/>
      </c>
      <c r="H109" s="76" t="str">
        <f>IFERROR(VLOOKUP('Pipe Insulation'!Y132,'Pipe Insulation'!$AM$152:$AN$153,2,FALSE),"")</f>
        <v/>
      </c>
      <c r="I109" s="68" t="str">
        <f>IF('Pipe Insulation'!Z132="", "", 'Pipe Insulation'!Z132)</f>
        <v/>
      </c>
      <c r="J109" s="480"/>
    </row>
    <row r="110" spans="2:10" s="1" customFormat="1" x14ac:dyDescent="0.25">
      <c r="B110" s="76">
        <f>'Pipe Insulation'!B133</f>
        <v>100</v>
      </c>
      <c r="C110" s="76" t="str">
        <f>IF('Pipe Insulation'!C133="", "", 'Pipe Insulation'!C133)</f>
        <v/>
      </c>
      <c r="D110" s="76" t="str">
        <f>IF('Pipe Insulation'!D133="", "", 'Pipe Insulation'!D133)</f>
        <v/>
      </c>
      <c r="E110" s="69" t="str">
        <f>IF('Pipe Insulation'!E133="", "", 'Pipe Insulation'!E133)</f>
        <v/>
      </c>
      <c r="F110" s="76" t="str">
        <f>IFERROR(VLOOKUP('Pipe Insulation'!G133,'Pipe Insulation'!$AM$142:$AN$149,2,FALSE),"")</f>
        <v/>
      </c>
      <c r="G110" s="86" t="str">
        <f>IF('Pipe Insulation'!W133="", "", 'Pipe Insulation'!W133)</f>
        <v/>
      </c>
      <c r="H110" s="76" t="str">
        <f>IFERROR(VLOOKUP('Pipe Insulation'!Y133,'Pipe Insulation'!$AM$152:$AN$153,2,FALSE),"")</f>
        <v/>
      </c>
      <c r="I110" s="68" t="str">
        <f>IF('Pipe Insulation'!Z133="", "", 'Pipe Insulation'!Z133)</f>
        <v/>
      </c>
      <c r="J110" s="480"/>
    </row>
    <row r="111" spans="2:10" s="1" customFormat="1" x14ac:dyDescent="0.25">
      <c r="B111" s="76">
        <f>'Pipe Insulation'!B134</f>
        <v>101</v>
      </c>
      <c r="C111" s="76" t="str">
        <f>IF('Pipe Insulation'!C134="", "", 'Pipe Insulation'!C134)</f>
        <v/>
      </c>
      <c r="D111" s="76" t="str">
        <f>IF('Pipe Insulation'!D134="", "", 'Pipe Insulation'!D134)</f>
        <v/>
      </c>
      <c r="E111" s="69" t="str">
        <f>IF('Pipe Insulation'!E134="", "", 'Pipe Insulation'!E134)</f>
        <v/>
      </c>
      <c r="F111" s="76" t="str">
        <f>IFERROR(VLOOKUP('Pipe Insulation'!G134,'Pipe Insulation'!$AM$142:$AN$149,2,FALSE),"")</f>
        <v/>
      </c>
      <c r="G111" s="86" t="str">
        <f>IF('Pipe Insulation'!W134="", "", 'Pipe Insulation'!W134)</f>
        <v/>
      </c>
      <c r="H111" s="76" t="str">
        <f>IFERROR(VLOOKUP('Pipe Insulation'!Y134,'Pipe Insulation'!$AM$152:$AN$153,2,FALSE),"")</f>
        <v/>
      </c>
      <c r="I111" s="68" t="str">
        <f>IF('Pipe Insulation'!Z134="", "", 'Pipe Insulation'!Z134)</f>
        <v/>
      </c>
      <c r="J111" s="480"/>
    </row>
    <row r="112" spans="2:10" s="1" customFormat="1" x14ac:dyDescent="0.25">
      <c r="B112" s="76">
        <f>'Pipe Insulation'!B135</f>
        <v>102</v>
      </c>
      <c r="C112" s="76" t="str">
        <f>IF('Pipe Insulation'!C135="", "", 'Pipe Insulation'!C135)</f>
        <v/>
      </c>
      <c r="D112" s="76" t="str">
        <f>IF('Pipe Insulation'!D135="", "", 'Pipe Insulation'!D135)</f>
        <v/>
      </c>
      <c r="E112" s="69" t="str">
        <f>IF('Pipe Insulation'!E135="", "", 'Pipe Insulation'!E135)</f>
        <v/>
      </c>
      <c r="F112" s="76" t="str">
        <f>IFERROR(VLOOKUP('Pipe Insulation'!G135,'Pipe Insulation'!$AM$142:$AN$149,2,FALSE),"")</f>
        <v/>
      </c>
      <c r="G112" s="86" t="str">
        <f>IF('Pipe Insulation'!W135="", "", 'Pipe Insulation'!W135)</f>
        <v/>
      </c>
      <c r="H112" s="76" t="str">
        <f>IFERROR(VLOOKUP('Pipe Insulation'!Y135,'Pipe Insulation'!$AM$152:$AN$153,2,FALSE),"")</f>
        <v/>
      </c>
      <c r="I112" s="68" t="str">
        <f>IF('Pipe Insulation'!Z135="", "", 'Pipe Insulation'!Z135)</f>
        <v/>
      </c>
      <c r="J112" s="480"/>
    </row>
    <row r="113" spans="2:10" s="1" customFormat="1" x14ac:dyDescent="0.25">
      <c r="B113" s="76">
        <f>'Pipe Insulation'!B136</f>
        <v>103</v>
      </c>
      <c r="C113" s="76" t="str">
        <f>IF('Pipe Insulation'!C136="", "", 'Pipe Insulation'!C136)</f>
        <v/>
      </c>
      <c r="D113" s="76" t="str">
        <f>IF('Pipe Insulation'!D136="", "", 'Pipe Insulation'!D136)</f>
        <v/>
      </c>
      <c r="E113" s="69" t="str">
        <f>IF('Pipe Insulation'!E136="", "", 'Pipe Insulation'!E136)</f>
        <v/>
      </c>
      <c r="F113" s="76" t="str">
        <f>IFERROR(VLOOKUP('Pipe Insulation'!G136,'Pipe Insulation'!$AM$142:$AN$149,2,FALSE),"")</f>
        <v/>
      </c>
      <c r="G113" s="86" t="str">
        <f>IF('Pipe Insulation'!W136="", "", 'Pipe Insulation'!W136)</f>
        <v/>
      </c>
      <c r="H113" s="76" t="str">
        <f>IFERROR(VLOOKUP('Pipe Insulation'!Y136,'Pipe Insulation'!$AM$152:$AN$153,2,FALSE),"")</f>
        <v/>
      </c>
      <c r="I113" s="68" t="str">
        <f>IF('Pipe Insulation'!Z136="", "", 'Pipe Insulation'!Z136)</f>
        <v/>
      </c>
      <c r="J113" s="480"/>
    </row>
    <row r="114" spans="2:10" s="1" customFormat="1" x14ac:dyDescent="0.25">
      <c r="B114" s="76">
        <f>'Pipe Insulation'!B137</f>
        <v>104</v>
      </c>
      <c r="C114" s="76" t="str">
        <f>IF('Pipe Insulation'!C137="", "", 'Pipe Insulation'!C137)</f>
        <v/>
      </c>
      <c r="D114" s="76" t="str">
        <f>IF('Pipe Insulation'!D137="", "", 'Pipe Insulation'!D137)</f>
        <v/>
      </c>
      <c r="E114" s="69" t="str">
        <f>IF('Pipe Insulation'!E137="", "", 'Pipe Insulation'!E137)</f>
        <v/>
      </c>
      <c r="F114" s="76" t="str">
        <f>IFERROR(VLOOKUP('Pipe Insulation'!G137,'Pipe Insulation'!$AM$142:$AN$149,2,FALSE),"")</f>
        <v/>
      </c>
      <c r="G114" s="86" t="str">
        <f>IF('Pipe Insulation'!W137="", "", 'Pipe Insulation'!W137)</f>
        <v/>
      </c>
      <c r="H114" s="76" t="str">
        <f>IFERROR(VLOOKUP('Pipe Insulation'!Y137,'Pipe Insulation'!$AM$152:$AN$153,2,FALSE),"")</f>
        <v/>
      </c>
      <c r="I114" s="68" t="str">
        <f>IF('Pipe Insulation'!Z137="", "", 'Pipe Insulation'!Z137)</f>
        <v/>
      </c>
      <c r="J114" s="480"/>
    </row>
    <row r="115" spans="2:10" s="1" customFormat="1" x14ac:dyDescent="0.25">
      <c r="B115" s="76">
        <f>'Pipe Insulation'!B138</f>
        <v>105</v>
      </c>
      <c r="C115" s="76" t="str">
        <f>IF('Pipe Insulation'!C138="", "", 'Pipe Insulation'!C138)</f>
        <v/>
      </c>
      <c r="D115" s="76" t="str">
        <f>IF('Pipe Insulation'!D138="", "", 'Pipe Insulation'!D138)</f>
        <v/>
      </c>
      <c r="E115" s="69" t="str">
        <f>IF('Pipe Insulation'!E138="", "", 'Pipe Insulation'!E138)</f>
        <v/>
      </c>
      <c r="F115" s="76" t="str">
        <f>IFERROR(VLOOKUP('Pipe Insulation'!G138,'Pipe Insulation'!$AM$142:$AN$149,2,FALSE),"")</f>
        <v/>
      </c>
      <c r="G115" s="86" t="str">
        <f>IF('Pipe Insulation'!W138="", "", 'Pipe Insulation'!W138)</f>
        <v/>
      </c>
      <c r="H115" s="76" t="str">
        <f>IFERROR(VLOOKUP('Pipe Insulation'!Y138,'Pipe Insulation'!$AM$152:$AN$153,2,FALSE),"")</f>
        <v/>
      </c>
      <c r="I115" s="68" t="str">
        <f>IF('Pipe Insulation'!Z138="", "", 'Pipe Insulation'!Z138)</f>
        <v/>
      </c>
      <c r="J115" s="480"/>
    </row>
    <row r="116" spans="2:10" s="1" customFormat="1" x14ac:dyDescent="0.25">
      <c r="B116" s="76">
        <f>'Pipe Insulation'!B139</f>
        <v>106</v>
      </c>
      <c r="C116" s="76" t="str">
        <f>IF('Pipe Insulation'!C139="", "", 'Pipe Insulation'!C139)</f>
        <v/>
      </c>
      <c r="D116" s="76" t="str">
        <f>IF('Pipe Insulation'!D139="", "", 'Pipe Insulation'!D139)</f>
        <v/>
      </c>
      <c r="E116" s="69" t="str">
        <f>IF('Pipe Insulation'!E139="", "", 'Pipe Insulation'!E139)</f>
        <v/>
      </c>
      <c r="F116" s="76" t="str">
        <f>IFERROR(VLOOKUP('Pipe Insulation'!G139,'Pipe Insulation'!$AM$142:$AN$149,2,FALSE),"")</f>
        <v/>
      </c>
      <c r="G116" s="86" t="str">
        <f>IF('Pipe Insulation'!W139="", "", 'Pipe Insulation'!W139)</f>
        <v/>
      </c>
      <c r="H116" s="76" t="str">
        <f>IFERROR(VLOOKUP('Pipe Insulation'!Y139,'Pipe Insulation'!$AM$152:$AN$153,2,FALSE),"")</f>
        <v/>
      </c>
      <c r="I116" s="68" t="str">
        <f>IF('Pipe Insulation'!Z139="", "", 'Pipe Insulation'!Z139)</f>
        <v/>
      </c>
      <c r="J116" s="480"/>
    </row>
    <row r="117" spans="2:10" s="1" customFormat="1" x14ac:dyDescent="0.25">
      <c r="B117" s="76">
        <f>'Pipe Insulation'!B140</f>
        <v>107</v>
      </c>
      <c r="C117" s="76" t="str">
        <f>IF('Pipe Insulation'!C140="", "", 'Pipe Insulation'!C140)</f>
        <v/>
      </c>
      <c r="D117" s="76" t="str">
        <f>IF('Pipe Insulation'!D140="", "", 'Pipe Insulation'!D140)</f>
        <v/>
      </c>
      <c r="E117" s="69" t="str">
        <f>IF('Pipe Insulation'!E140="", "", 'Pipe Insulation'!E140)</f>
        <v/>
      </c>
      <c r="F117" s="76" t="str">
        <f>IFERROR(VLOOKUP('Pipe Insulation'!G140,'Pipe Insulation'!$AM$142:$AN$149,2,FALSE),"")</f>
        <v/>
      </c>
      <c r="G117" s="86" t="str">
        <f>IF('Pipe Insulation'!W140="", "", 'Pipe Insulation'!W140)</f>
        <v/>
      </c>
      <c r="H117" s="76" t="str">
        <f>IFERROR(VLOOKUP('Pipe Insulation'!Y140,'Pipe Insulation'!$AM$152:$AN$153,2,FALSE),"")</f>
        <v/>
      </c>
      <c r="I117" s="68" t="str">
        <f>IF('Pipe Insulation'!Z140="", "", 'Pipe Insulation'!Z140)</f>
        <v/>
      </c>
      <c r="J117" s="480"/>
    </row>
    <row r="118" spans="2:10" s="1" customFormat="1" x14ac:dyDescent="0.25">
      <c r="B118" s="76">
        <f>'Pipe Insulation'!B141</f>
        <v>108</v>
      </c>
      <c r="C118" s="76" t="str">
        <f>IF('Pipe Insulation'!C141="", "", 'Pipe Insulation'!C141)</f>
        <v/>
      </c>
      <c r="D118" s="76" t="str">
        <f>IF('Pipe Insulation'!D141="", "", 'Pipe Insulation'!D141)</f>
        <v/>
      </c>
      <c r="E118" s="69" t="str">
        <f>IF('Pipe Insulation'!E141="", "", 'Pipe Insulation'!E141)</f>
        <v/>
      </c>
      <c r="F118" s="76" t="str">
        <f>IFERROR(VLOOKUP('Pipe Insulation'!G141,'Pipe Insulation'!$AM$142:$AN$149,2,FALSE),"")</f>
        <v/>
      </c>
      <c r="G118" s="86" t="str">
        <f>IF('Pipe Insulation'!W141="", "", 'Pipe Insulation'!W141)</f>
        <v/>
      </c>
      <c r="H118" s="76" t="str">
        <f>IFERROR(VLOOKUP('Pipe Insulation'!Y141,'Pipe Insulation'!$AM$152:$AN$153,2,FALSE),"")</f>
        <v/>
      </c>
      <c r="I118" s="68" t="str">
        <f>IF('Pipe Insulation'!Z141="", "", 'Pipe Insulation'!Z141)</f>
        <v/>
      </c>
      <c r="J118" s="480"/>
    </row>
    <row r="119" spans="2:10" s="1" customFormat="1" x14ac:dyDescent="0.25">
      <c r="B119" s="76">
        <f>'Pipe Insulation'!B142</f>
        <v>109</v>
      </c>
      <c r="C119" s="76" t="str">
        <f>IF('Pipe Insulation'!C142="", "", 'Pipe Insulation'!C142)</f>
        <v/>
      </c>
      <c r="D119" s="76" t="str">
        <f>IF('Pipe Insulation'!D142="", "", 'Pipe Insulation'!D142)</f>
        <v/>
      </c>
      <c r="E119" s="69" t="str">
        <f>IF('Pipe Insulation'!E142="", "", 'Pipe Insulation'!E142)</f>
        <v/>
      </c>
      <c r="F119" s="76" t="str">
        <f>IFERROR(VLOOKUP('Pipe Insulation'!G142,'Pipe Insulation'!$AM$142:$AN$149,2,FALSE),"")</f>
        <v/>
      </c>
      <c r="G119" s="86" t="str">
        <f>IF('Pipe Insulation'!W142="", "", 'Pipe Insulation'!W142)</f>
        <v/>
      </c>
      <c r="H119" s="76" t="str">
        <f>IFERROR(VLOOKUP('Pipe Insulation'!Y142,'Pipe Insulation'!$AM$152:$AN$153,2,FALSE),"")</f>
        <v/>
      </c>
      <c r="I119" s="68" t="str">
        <f>IF('Pipe Insulation'!Z142="", "", 'Pipe Insulation'!Z142)</f>
        <v/>
      </c>
      <c r="J119" s="480"/>
    </row>
    <row r="120" spans="2:10" s="1" customFormat="1" x14ac:dyDescent="0.25">
      <c r="B120" s="76">
        <f>'Pipe Insulation'!B143</f>
        <v>110</v>
      </c>
      <c r="C120" s="76" t="str">
        <f>IF('Pipe Insulation'!C143="", "", 'Pipe Insulation'!C143)</f>
        <v/>
      </c>
      <c r="D120" s="76" t="str">
        <f>IF('Pipe Insulation'!D143="", "", 'Pipe Insulation'!D143)</f>
        <v/>
      </c>
      <c r="E120" s="69" t="str">
        <f>IF('Pipe Insulation'!E143="", "", 'Pipe Insulation'!E143)</f>
        <v/>
      </c>
      <c r="F120" s="76" t="str">
        <f>IFERROR(VLOOKUP('Pipe Insulation'!G143,'Pipe Insulation'!$AM$142:$AN$149,2,FALSE),"")</f>
        <v/>
      </c>
      <c r="G120" s="86" t="str">
        <f>IF('Pipe Insulation'!W143="", "", 'Pipe Insulation'!W143)</f>
        <v/>
      </c>
      <c r="H120" s="76" t="str">
        <f>IFERROR(VLOOKUP('Pipe Insulation'!Y143,'Pipe Insulation'!$AM$152:$AN$153,2,FALSE),"")</f>
        <v/>
      </c>
      <c r="I120" s="68" t="str">
        <f>IF('Pipe Insulation'!Z143="", "", 'Pipe Insulation'!Z143)</f>
        <v/>
      </c>
      <c r="J120" s="480"/>
    </row>
    <row r="121" spans="2:10" s="1" customFormat="1" x14ac:dyDescent="0.25">
      <c r="B121" s="76">
        <f>'Pipe Insulation'!B144</f>
        <v>111</v>
      </c>
      <c r="C121" s="76" t="str">
        <f>IF('Pipe Insulation'!C144="", "", 'Pipe Insulation'!C144)</f>
        <v/>
      </c>
      <c r="D121" s="76" t="str">
        <f>IF('Pipe Insulation'!D144="", "", 'Pipe Insulation'!D144)</f>
        <v/>
      </c>
      <c r="E121" s="69" t="str">
        <f>IF('Pipe Insulation'!E144="", "", 'Pipe Insulation'!E144)</f>
        <v/>
      </c>
      <c r="F121" s="76" t="str">
        <f>IFERROR(VLOOKUP('Pipe Insulation'!G144,'Pipe Insulation'!$AM$142:$AN$149,2,FALSE),"")</f>
        <v/>
      </c>
      <c r="G121" s="86" t="str">
        <f>IF('Pipe Insulation'!W144="", "", 'Pipe Insulation'!W144)</f>
        <v/>
      </c>
      <c r="H121" s="76" t="str">
        <f>IFERROR(VLOOKUP('Pipe Insulation'!Y144,'Pipe Insulation'!$AM$152:$AN$153,2,FALSE),"")</f>
        <v/>
      </c>
      <c r="I121" s="68" t="str">
        <f>IF('Pipe Insulation'!Z144="", "", 'Pipe Insulation'!Z144)</f>
        <v/>
      </c>
      <c r="J121" s="480"/>
    </row>
    <row r="122" spans="2:10" s="1" customFormat="1" x14ac:dyDescent="0.25">
      <c r="B122" s="76">
        <f>'Pipe Insulation'!B145</f>
        <v>112</v>
      </c>
      <c r="C122" s="76" t="str">
        <f>IF('Pipe Insulation'!C145="", "", 'Pipe Insulation'!C145)</f>
        <v/>
      </c>
      <c r="D122" s="76" t="str">
        <f>IF('Pipe Insulation'!D145="", "", 'Pipe Insulation'!D145)</f>
        <v/>
      </c>
      <c r="E122" s="69" t="str">
        <f>IF('Pipe Insulation'!E145="", "", 'Pipe Insulation'!E145)</f>
        <v/>
      </c>
      <c r="F122" s="76" t="str">
        <f>IFERROR(VLOOKUP('Pipe Insulation'!G145,'Pipe Insulation'!$AM$142:$AN$149,2,FALSE),"")</f>
        <v/>
      </c>
      <c r="G122" s="86" t="str">
        <f>IF('Pipe Insulation'!W145="", "", 'Pipe Insulation'!W145)</f>
        <v/>
      </c>
      <c r="H122" s="76" t="str">
        <f>IFERROR(VLOOKUP('Pipe Insulation'!Y145,'Pipe Insulation'!$AM$152:$AN$153,2,FALSE),"")</f>
        <v/>
      </c>
      <c r="I122" s="68" t="str">
        <f>IF('Pipe Insulation'!Z145="", "", 'Pipe Insulation'!Z145)</f>
        <v/>
      </c>
      <c r="J122" s="480"/>
    </row>
    <row r="123" spans="2:10" s="1" customFormat="1" x14ac:dyDescent="0.25">
      <c r="B123" s="76">
        <f>'Pipe Insulation'!B146</f>
        <v>113</v>
      </c>
      <c r="C123" s="76" t="str">
        <f>IF('Pipe Insulation'!C146="", "", 'Pipe Insulation'!C146)</f>
        <v/>
      </c>
      <c r="D123" s="76" t="str">
        <f>IF('Pipe Insulation'!D146="", "", 'Pipe Insulation'!D146)</f>
        <v/>
      </c>
      <c r="E123" s="69" t="str">
        <f>IF('Pipe Insulation'!E146="", "", 'Pipe Insulation'!E146)</f>
        <v/>
      </c>
      <c r="F123" s="76" t="str">
        <f>IFERROR(VLOOKUP('Pipe Insulation'!G146,'Pipe Insulation'!$AM$142:$AN$149,2,FALSE),"")</f>
        <v/>
      </c>
      <c r="G123" s="86" t="str">
        <f>IF('Pipe Insulation'!W146="", "", 'Pipe Insulation'!W146)</f>
        <v/>
      </c>
      <c r="H123" s="76" t="str">
        <f>IFERROR(VLOOKUP('Pipe Insulation'!Y146,'Pipe Insulation'!$AM$152:$AN$153,2,FALSE),"")</f>
        <v/>
      </c>
      <c r="I123" s="68" t="str">
        <f>IF('Pipe Insulation'!Z146="", "", 'Pipe Insulation'!Z146)</f>
        <v/>
      </c>
      <c r="J123" s="480"/>
    </row>
    <row r="124" spans="2:10" s="1" customFormat="1" x14ac:dyDescent="0.25">
      <c r="B124" s="76">
        <f>'Pipe Insulation'!B147</f>
        <v>114</v>
      </c>
      <c r="C124" s="76" t="str">
        <f>IF('Pipe Insulation'!C147="", "", 'Pipe Insulation'!C147)</f>
        <v/>
      </c>
      <c r="D124" s="76" t="str">
        <f>IF('Pipe Insulation'!D147="", "", 'Pipe Insulation'!D147)</f>
        <v/>
      </c>
      <c r="E124" s="69" t="str">
        <f>IF('Pipe Insulation'!E147="", "", 'Pipe Insulation'!E147)</f>
        <v/>
      </c>
      <c r="F124" s="76" t="str">
        <f>IFERROR(VLOOKUP('Pipe Insulation'!G147,'Pipe Insulation'!$AM$142:$AN$149,2,FALSE),"")</f>
        <v/>
      </c>
      <c r="G124" s="86" t="str">
        <f>IF('Pipe Insulation'!W147="", "", 'Pipe Insulation'!W147)</f>
        <v/>
      </c>
      <c r="H124" s="76" t="str">
        <f>IFERROR(VLOOKUP('Pipe Insulation'!Y147,'Pipe Insulation'!$AM$152:$AN$153,2,FALSE),"")</f>
        <v/>
      </c>
      <c r="I124" s="68" t="str">
        <f>IF('Pipe Insulation'!Z147="", "", 'Pipe Insulation'!Z147)</f>
        <v/>
      </c>
      <c r="J124" s="480"/>
    </row>
    <row r="125" spans="2:10" s="1" customFormat="1" x14ac:dyDescent="0.25">
      <c r="B125" s="76">
        <f>'Pipe Insulation'!B148</f>
        <v>115</v>
      </c>
      <c r="C125" s="76" t="str">
        <f>IF('Pipe Insulation'!C148="", "", 'Pipe Insulation'!C148)</f>
        <v/>
      </c>
      <c r="D125" s="76" t="str">
        <f>IF('Pipe Insulation'!D148="", "", 'Pipe Insulation'!D148)</f>
        <v/>
      </c>
      <c r="E125" s="69" t="str">
        <f>IF('Pipe Insulation'!E148="", "", 'Pipe Insulation'!E148)</f>
        <v/>
      </c>
      <c r="F125" s="76" t="str">
        <f>IFERROR(VLOOKUP('Pipe Insulation'!G148,'Pipe Insulation'!$AM$142:$AN$149,2,FALSE),"")</f>
        <v/>
      </c>
      <c r="G125" s="86" t="str">
        <f>IF('Pipe Insulation'!W148="", "", 'Pipe Insulation'!W148)</f>
        <v/>
      </c>
      <c r="H125" s="76" t="str">
        <f>IFERROR(VLOOKUP('Pipe Insulation'!Y148,'Pipe Insulation'!$AM$152:$AN$153,2,FALSE),"")</f>
        <v/>
      </c>
      <c r="I125" s="68" t="str">
        <f>IF('Pipe Insulation'!Z148="", "", 'Pipe Insulation'!Z148)</f>
        <v/>
      </c>
      <c r="J125" s="480"/>
    </row>
    <row r="126" spans="2:10" s="1" customFormat="1" x14ac:dyDescent="0.25">
      <c r="B126" s="76">
        <f>'Pipe Insulation'!B149</f>
        <v>116</v>
      </c>
      <c r="C126" s="76" t="str">
        <f>IF('Pipe Insulation'!C149="", "", 'Pipe Insulation'!C149)</f>
        <v/>
      </c>
      <c r="D126" s="76" t="str">
        <f>IF('Pipe Insulation'!D149="", "", 'Pipe Insulation'!D149)</f>
        <v/>
      </c>
      <c r="E126" s="69" t="str">
        <f>IF('Pipe Insulation'!E149="", "", 'Pipe Insulation'!E149)</f>
        <v/>
      </c>
      <c r="F126" s="76" t="str">
        <f>IFERROR(VLOOKUP('Pipe Insulation'!G149,'Pipe Insulation'!$AM$142:$AN$149,2,FALSE),"")</f>
        <v/>
      </c>
      <c r="G126" s="86" t="str">
        <f>IF('Pipe Insulation'!W149="", "", 'Pipe Insulation'!W149)</f>
        <v/>
      </c>
      <c r="H126" s="76" t="str">
        <f>IFERROR(VLOOKUP('Pipe Insulation'!Y149,'Pipe Insulation'!$AM$152:$AN$153,2,FALSE),"")</f>
        <v/>
      </c>
      <c r="I126" s="68" t="str">
        <f>IF('Pipe Insulation'!Z149="", "", 'Pipe Insulation'!Z149)</f>
        <v/>
      </c>
      <c r="J126" s="480"/>
    </row>
    <row r="127" spans="2:10" s="1" customFormat="1" x14ac:dyDescent="0.25">
      <c r="B127" s="76">
        <f>'Pipe Insulation'!B150</f>
        <v>117</v>
      </c>
      <c r="C127" s="76" t="str">
        <f>IF('Pipe Insulation'!C150="", "", 'Pipe Insulation'!C150)</f>
        <v/>
      </c>
      <c r="D127" s="76" t="str">
        <f>IF('Pipe Insulation'!D150="", "", 'Pipe Insulation'!D150)</f>
        <v/>
      </c>
      <c r="E127" s="69" t="str">
        <f>IF('Pipe Insulation'!E150="", "", 'Pipe Insulation'!E150)</f>
        <v/>
      </c>
      <c r="F127" s="76" t="str">
        <f>IFERROR(VLOOKUP('Pipe Insulation'!G150,'Pipe Insulation'!$AM$142:$AN$149,2,FALSE),"")</f>
        <v/>
      </c>
      <c r="G127" s="86" t="str">
        <f>IF('Pipe Insulation'!W150="", "", 'Pipe Insulation'!W150)</f>
        <v/>
      </c>
      <c r="H127" s="76" t="str">
        <f>IFERROR(VLOOKUP('Pipe Insulation'!Y150,'Pipe Insulation'!$AM$152:$AN$153,2,FALSE),"")</f>
        <v/>
      </c>
      <c r="I127" s="68" t="str">
        <f>IF('Pipe Insulation'!Z150="", "", 'Pipe Insulation'!Z150)</f>
        <v/>
      </c>
      <c r="J127" s="480"/>
    </row>
    <row r="128" spans="2:10" s="1" customFormat="1" x14ac:dyDescent="0.25">
      <c r="B128" s="76">
        <f>'Pipe Insulation'!B151</f>
        <v>118</v>
      </c>
      <c r="C128" s="76" t="str">
        <f>IF('Pipe Insulation'!C151="", "", 'Pipe Insulation'!C151)</f>
        <v/>
      </c>
      <c r="D128" s="76" t="str">
        <f>IF('Pipe Insulation'!D151="", "", 'Pipe Insulation'!D151)</f>
        <v/>
      </c>
      <c r="E128" s="69" t="str">
        <f>IF('Pipe Insulation'!E151="", "", 'Pipe Insulation'!E151)</f>
        <v/>
      </c>
      <c r="F128" s="76" t="str">
        <f>IFERROR(VLOOKUP('Pipe Insulation'!G151,'Pipe Insulation'!$AM$142:$AN$149,2,FALSE),"")</f>
        <v/>
      </c>
      <c r="G128" s="86" t="str">
        <f>IF('Pipe Insulation'!W151="", "", 'Pipe Insulation'!W151)</f>
        <v/>
      </c>
      <c r="H128" s="76" t="str">
        <f>IFERROR(VLOOKUP('Pipe Insulation'!Y151,'Pipe Insulation'!$AM$152:$AN$153,2,FALSE),"")</f>
        <v/>
      </c>
      <c r="I128" s="68" t="str">
        <f>IF('Pipe Insulation'!Z151="", "", 'Pipe Insulation'!Z151)</f>
        <v/>
      </c>
      <c r="J128" s="480"/>
    </row>
    <row r="129" spans="2:10" s="1" customFormat="1" x14ac:dyDescent="0.25">
      <c r="B129" s="76">
        <f>'Pipe Insulation'!B152</f>
        <v>119</v>
      </c>
      <c r="C129" s="76" t="str">
        <f>IF('Pipe Insulation'!C152="", "", 'Pipe Insulation'!C152)</f>
        <v/>
      </c>
      <c r="D129" s="76" t="str">
        <f>IF('Pipe Insulation'!D152="", "", 'Pipe Insulation'!D152)</f>
        <v/>
      </c>
      <c r="E129" s="69" t="str">
        <f>IF('Pipe Insulation'!E152="", "", 'Pipe Insulation'!E152)</f>
        <v/>
      </c>
      <c r="F129" s="76" t="str">
        <f>IFERROR(VLOOKUP('Pipe Insulation'!G152,'Pipe Insulation'!$AM$142:$AN$149,2,FALSE),"")</f>
        <v/>
      </c>
      <c r="G129" s="86" t="str">
        <f>IF('Pipe Insulation'!W152="", "", 'Pipe Insulation'!W152)</f>
        <v/>
      </c>
      <c r="H129" s="76" t="str">
        <f>IFERROR(VLOOKUP('Pipe Insulation'!Y152,'Pipe Insulation'!$AM$152:$AN$153,2,FALSE),"")</f>
        <v/>
      </c>
      <c r="I129" s="68" t="str">
        <f>IF('Pipe Insulation'!Z152="", "", 'Pipe Insulation'!Z152)</f>
        <v/>
      </c>
      <c r="J129" s="480"/>
    </row>
    <row r="130" spans="2:10" s="1" customFormat="1" x14ac:dyDescent="0.25">
      <c r="B130" s="76">
        <f>'Pipe Insulation'!B153</f>
        <v>120</v>
      </c>
      <c r="C130" s="76" t="str">
        <f>IF('Pipe Insulation'!C153="", "", 'Pipe Insulation'!C153)</f>
        <v/>
      </c>
      <c r="D130" s="76" t="str">
        <f>IF('Pipe Insulation'!D153="", "", 'Pipe Insulation'!D153)</f>
        <v/>
      </c>
      <c r="E130" s="69" t="str">
        <f>IF('Pipe Insulation'!E153="", "", 'Pipe Insulation'!E153)</f>
        <v/>
      </c>
      <c r="F130" s="76" t="str">
        <f>IFERROR(VLOOKUP('Pipe Insulation'!G153,'Pipe Insulation'!$AM$142:$AN$149,2,FALSE),"")</f>
        <v/>
      </c>
      <c r="G130" s="86" t="str">
        <f>IF('Pipe Insulation'!W153="", "", 'Pipe Insulation'!W153)</f>
        <v/>
      </c>
      <c r="H130" s="76" t="str">
        <f>IFERROR(VLOOKUP('Pipe Insulation'!Y153,'Pipe Insulation'!$AM$152:$AN$153,2,FALSE),"")</f>
        <v/>
      </c>
      <c r="I130" s="68" t="str">
        <f>IF('Pipe Insulation'!Z153="", "", 'Pipe Insulation'!Z153)</f>
        <v/>
      </c>
      <c r="J130" s="480"/>
    </row>
    <row r="131" spans="2:10" s="1" customFormat="1" x14ac:dyDescent="0.25">
      <c r="B131" s="76">
        <f>'Pipe Insulation'!B154</f>
        <v>121</v>
      </c>
      <c r="C131" s="76" t="str">
        <f>IF('Pipe Insulation'!C154="", "", 'Pipe Insulation'!C154)</f>
        <v/>
      </c>
      <c r="D131" s="76" t="str">
        <f>IF('Pipe Insulation'!D154="", "", 'Pipe Insulation'!D154)</f>
        <v/>
      </c>
      <c r="E131" s="69" t="str">
        <f>IF('Pipe Insulation'!E154="", "", 'Pipe Insulation'!E154)</f>
        <v/>
      </c>
      <c r="F131" s="76" t="str">
        <f>IFERROR(VLOOKUP('Pipe Insulation'!G154,'Pipe Insulation'!$AM$142:$AN$149,2,FALSE),"")</f>
        <v/>
      </c>
      <c r="G131" s="86" t="str">
        <f>IF('Pipe Insulation'!W154="", "", 'Pipe Insulation'!W154)</f>
        <v/>
      </c>
      <c r="H131" s="76" t="str">
        <f>IFERROR(VLOOKUP('Pipe Insulation'!Y154,'Pipe Insulation'!$AM$152:$AN$153,2,FALSE),"")</f>
        <v/>
      </c>
      <c r="I131" s="68" t="str">
        <f>IF('Pipe Insulation'!Z154="", "", 'Pipe Insulation'!Z154)</f>
        <v/>
      </c>
      <c r="J131" s="480"/>
    </row>
    <row r="132" spans="2:10" s="1" customFormat="1" x14ac:dyDescent="0.25">
      <c r="B132" s="76">
        <f>'Pipe Insulation'!B155</f>
        <v>122</v>
      </c>
      <c r="C132" s="76" t="str">
        <f>IF('Pipe Insulation'!C155="", "", 'Pipe Insulation'!C155)</f>
        <v/>
      </c>
      <c r="D132" s="76" t="str">
        <f>IF('Pipe Insulation'!D155="", "", 'Pipe Insulation'!D155)</f>
        <v/>
      </c>
      <c r="E132" s="69" t="str">
        <f>IF('Pipe Insulation'!E155="", "", 'Pipe Insulation'!E155)</f>
        <v/>
      </c>
      <c r="F132" s="76" t="str">
        <f>IFERROR(VLOOKUP('Pipe Insulation'!G155,'Pipe Insulation'!$AM$142:$AN$149,2,FALSE),"")</f>
        <v/>
      </c>
      <c r="G132" s="86" t="str">
        <f>IF('Pipe Insulation'!W155="", "", 'Pipe Insulation'!W155)</f>
        <v/>
      </c>
      <c r="H132" s="76" t="str">
        <f>IFERROR(VLOOKUP('Pipe Insulation'!Y155,'Pipe Insulation'!$AM$152:$AN$153,2,FALSE),"")</f>
        <v/>
      </c>
      <c r="I132" s="68" t="str">
        <f>IF('Pipe Insulation'!Z155="", "", 'Pipe Insulation'!Z155)</f>
        <v/>
      </c>
      <c r="J132" s="480"/>
    </row>
    <row r="133" spans="2:10" s="1" customFormat="1" x14ac:dyDescent="0.25">
      <c r="B133" s="76">
        <f>'Pipe Insulation'!B156</f>
        <v>123</v>
      </c>
      <c r="C133" s="76" t="str">
        <f>IF('Pipe Insulation'!C156="", "", 'Pipe Insulation'!C156)</f>
        <v/>
      </c>
      <c r="D133" s="76" t="str">
        <f>IF('Pipe Insulation'!D156="", "", 'Pipe Insulation'!D156)</f>
        <v/>
      </c>
      <c r="E133" s="69" t="str">
        <f>IF('Pipe Insulation'!E156="", "", 'Pipe Insulation'!E156)</f>
        <v/>
      </c>
      <c r="F133" s="76" t="str">
        <f>IFERROR(VLOOKUP('Pipe Insulation'!G156,'Pipe Insulation'!$AM$142:$AN$149,2,FALSE),"")</f>
        <v/>
      </c>
      <c r="G133" s="86" t="str">
        <f>IF('Pipe Insulation'!W156="", "", 'Pipe Insulation'!W156)</f>
        <v/>
      </c>
      <c r="H133" s="76" t="str">
        <f>IFERROR(VLOOKUP('Pipe Insulation'!Y156,'Pipe Insulation'!$AM$152:$AN$153,2,FALSE),"")</f>
        <v/>
      </c>
      <c r="I133" s="68" t="str">
        <f>IF('Pipe Insulation'!Z156="", "", 'Pipe Insulation'!Z156)</f>
        <v/>
      </c>
      <c r="J133" s="480"/>
    </row>
    <row r="134" spans="2:10" s="1" customFormat="1" x14ac:dyDescent="0.25">
      <c r="B134" s="76">
        <f>'Pipe Insulation'!B157</f>
        <v>124</v>
      </c>
      <c r="C134" s="76" t="str">
        <f>IF('Pipe Insulation'!C157="", "", 'Pipe Insulation'!C157)</f>
        <v/>
      </c>
      <c r="D134" s="76" t="str">
        <f>IF('Pipe Insulation'!D157="", "", 'Pipe Insulation'!D157)</f>
        <v/>
      </c>
      <c r="E134" s="69" t="str">
        <f>IF('Pipe Insulation'!E157="", "", 'Pipe Insulation'!E157)</f>
        <v/>
      </c>
      <c r="F134" s="76" t="str">
        <f>IFERROR(VLOOKUP('Pipe Insulation'!G157,'Pipe Insulation'!$AM$142:$AN$149,2,FALSE),"")</f>
        <v/>
      </c>
      <c r="G134" s="86" t="str">
        <f>IF('Pipe Insulation'!W157="", "", 'Pipe Insulation'!W157)</f>
        <v/>
      </c>
      <c r="H134" s="76" t="str">
        <f>IFERROR(VLOOKUP('Pipe Insulation'!Y157,'Pipe Insulation'!$AM$152:$AN$153,2,FALSE),"")</f>
        <v/>
      </c>
      <c r="I134" s="68" t="str">
        <f>IF('Pipe Insulation'!Z157="", "", 'Pipe Insulation'!Z157)</f>
        <v/>
      </c>
      <c r="J134" s="480"/>
    </row>
    <row r="135" spans="2:10" s="1" customFormat="1" x14ac:dyDescent="0.25">
      <c r="B135" s="76">
        <f>'Pipe Insulation'!B158</f>
        <v>125</v>
      </c>
      <c r="C135" s="76" t="str">
        <f>IF('Pipe Insulation'!C158="", "", 'Pipe Insulation'!C158)</f>
        <v/>
      </c>
      <c r="D135" s="76" t="str">
        <f>IF('Pipe Insulation'!D158="", "", 'Pipe Insulation'!D158)</f>
        <v/>
      </c>
      <c r="E135" s="69" t="str">
        <f>IF('Pipe Insulation'!E158="", "", 'Pipe Insulation'!E158)</f>
        <v/>
      </c>
      <c r="F135" s="76" t="str">
        <f>IFERROR(VLOOKUP('Pipe Insulation'!G158,'Pipe Insulation'!$AM$142:$AN$149,2,FALSE),"")</f>
        <v/>
      </c>
      <c r="G135" s="86" t="str">
        <f>IF('Pipe Insulation'!W158="", "", 'Pipe Insulation'!W158)</f>
        <v/>
      </c>
      <c r="H135" s="76" t="str">
        <f>IFERROR(VLOOKUP('Pipe Insulation'!Y158,'Pipe Insulation'!$AM$152:$AN$153,2,FALSE),"")</f>
        <v/>
      </c>
      <c r="I135" s="68" t="str">
        <f>IF('Pipe Insulation'!Z158="", "", 'Pipe Insulation'!Z158)</f>
        <v/>
      </c>
      <c r="J135" s="480"/>
    </row>
    <row r="136" spans="2:10" s="1" customFormat="1" x14ac:dyDescent="0.25">
      <c r="B136" s="76">
        <f>'Pipe Insulation'!B159</f>
        <v>126</v>
      </c>
      <c r="C136" s="76" t="str">
        <f>IF('Pipe Insulation'!C159="", "", 'Pipe Insulation'!C159)</f>
        <v/>
      </c>
      <c r="D136" s="76" t="str">
        <f>IF('Pipe Insulation'!D159="", "", 'Pipe Insulation'!D159)</f>
        <v/>
      </c>
      <c r="E136" s="69" t="str">
        <f>IF('Pipe Insulation'!E159="", "", 'Pipe Insulation'!E159)</f>
        <v/>
      </c>
      <c r="F136" s="76" t="str">
        <f>IFERROR(VLOOKUP('Pipe Insulation'!G159,'Pipe Insulation'!$AM$142:$AN$149,2,FALSE),"")</f>
        <v/>
      </c>
      <c r="G136" s="86" t="str">
        <f>IF('Pipe Insulation'!W159="", "", 'Pipe Insulation'!W159)</f>
        <v/>
      </c>
      <c r="H136" s="76" t="str">
        <f>IFERROR(VLOOKUP('Pipe Insulation'!Y159,'Pipe Insulation'!$AM$152:$AN$153,2,FALSE),"")</f>
        <v/>
      </c>
      <c r="I136" s="68" t="str">
        <f>IF('Pipe Insulation'!Z159="", "", 'Pipe Insulation'!Z159)</f>
        <v/>
      </c>
      <c r="J136" s="480"/>
    </row>
    <row r="137" spans="2:10" s="1" customFormat="1" x14ac:dyDescent="0.25">
      <c r="B137" s="76">
        <f>'Pipe Insulation'!B160</f>
        <v>127</v>
      </c>
      <c r="C137" s="76" t="str">
        <f>IF('Pipe Insulation'!C160="", "", 'Pipe Insulation'!C160)</f>
        <v/>
      </c>
      <c r="D137" s="76" t="str">
        <f>IF('Pipe Insulation'!D160="", "", 'Pipe Insulation'!D160)</f>
        <v/>
      </c>
      <c r="E137" s="69" t="str">
        <f>IF('Pipe Insulation'!E160="", "", 'Pipe Insulation'!E160)</f>
        <v/>
      </c>
      <c r="F137" s="76" t="str">
        <f>IFERROR(VLOOKUP('Pipe Insulation'!G160,'Pipe Insulation'!$AM$142:$AN$149,2,FALSE),"")</f>
        <v/>
      </c>
      <c r="G137" s="86" t="str">
        <f>IF('Pipe Insulation'!W160="", "", 'Pipe Insulation'!W160)</f>
        <v/>
      </c>
      <c r="H137" s="76" t="str">
        <f>IFERROR(VLOOKUP('Pipe Insulation'!Y160,'Pipe Insulation'!$AM$152:$AN$153,2,FALSE),"")</f>
        <v/>
      </c>
      <c r="I137" s="68" t="str">
        <f>IF('Pipe Insulation'!Z160="", "", 'Pipe Insulation'!Z160)</f>
        <v/>
      </c>
      <c r="J137" s="480"/>
    </row>
    <row r="138" spans="2:10" s="1" customFormat="1" x14ac:dyDescent="0.25">
      <c r="B138" s="76">
        <f>'Pipe Insulation'!B161</f>
        <v>128</v>
      </c>
      <c r="C138" s="76" t="str">
        <f>IF('Pipe Insulation'!C161="", "", 'Pipe Insulation'!C161)</f>
        <v/>
      </c>
      <c r="D138" s="76" t="str">
        <f>IF('Pipe Insulation'!D161="", "", 'Pipe Insulation'!D161)</f>
        <v/>
      </c>
      <c r="E138" s="69" t="str">
        <f>IF('Pipe Insulation'!E161="", "", 'Pipe Insulation'!E161)</f>
        <v/>
      </c>
      <c r="F138" s="76" t="str">
        <f>IFERROR(VLOOKUP('Pipe Insulation'!G161,'Pipe Insulation'!$AM$142:$AN$149,2,FALSE),"")</f>
        <v/>
      </c>
      <c r="G138" s="86" t="str">
        <f>IF('Pipe Insulation'!W161="", "", 'Pipe Insulation'!W161)</f>
        <v/>
      </c>
      <c r="H138" s="76" t="str">
        <f>IFERROR(VLOOKUP('Pipe Insulation'!Y161,'Pipe Insulation'!$AM$152:$AN$153,2,FALSE),"")</f>
        <v/>
      </c>
      <c r="I138" s="68" t="str">
        <f>IF('Pipe Insulation'!Z161="", "", 'Pipe Insulation'!Z161)</f>
        <v/>
      </c>
      <c r="J138" s="480"/>
    </row>
    <row r="139" spans="2:10" s="1" customFormat="1" x14ac:dyDescent="0.25">
      <c r="B139" s="76">
        <f>'Pipe Insulation'!B162</f>
        <v>129</v>
      </c>
      <c r="C139" s="76" t="str">
        <f>IF('Pipe Insulation'!C162="", "", 'Pipe Insulation'!C162)</f>
        <v/>
      </c>
      <c r="D139" s="76" t="str">
        <f>IF('Pipe Insulation'!D162="", "", 'Pipe Insulation'!D162)</f>
        <v/>
      </c>
      <c r="E139" s="69" t="str">
        <f>IF('Pipe Insulation'!E162="", "", 'Pipe Insulation'!E162)</f>
        <v/>
      </c>
      <c r="F139" s="76" t="str">
        <f>IFERROR(VLOOKUP('Pipe Insulation'!G162,'Pipe Insulation'!$AM$142:$AN$149,2,FALSE),"")</f>
        <v/>
      </c>
      <c r="G139" s="86" t="str">
        <f>IF('Pipe Insulation'!W162="", "", 'Pipe Insulation'!W162)</f>
        <v/>
      </c>
      <c r="H139" s="76" t="str">
        <f>IFERROR(VLOOKUP('Pipe Insulation'!Y162,'Pipe Insulation'!$AM$152:$AN$153,2,FALSE),"")</f>
        <v/>
      </c>
      <c r="I139" s="68" t="str">
        <f>IF('Pipe Insulation'!Z162="", "", 'Pipe Insulation'!Z162)</f>
        <v/>
      </c>
      <c r="J139" s="480"/>
    </row>
    <row r="140" spans="2:10" s="1" customFormat="1" x14ac:dyDescent="0.25">
      <c r="B140" s="76">
        <f>'Pipe Insulation'!B163</f>
        <v>130</v>
      </c>
      <c r="C140" s="76" t="str">
        <f>IF('Pipe Insulation'!C163="", "", 'Pipe Insulation'!C163)</f>
        <v/>
      </c>
      <c r="D140" s="76" t="str">
        <f>IF('Pipe Insulation'!D163="", "", 'Pipe Insulation'!D163)</f>
        <v/>
      </c>
      <c r="E140" s="69" t="str">
        <f>IF('Pipe Insulation'!E163="", "", 'Pipe Insulation'!E163)</f>
        <v/>
      </c>
      <c r="F140" s="76" t="str">
        <f>IFERROR(VLOOKUP('Pipe Insulation'!G163,'Pipe Insulation'!$AM$142:$AN$149,2,FALSE),"")</f>
        <v/>
      </c>
      <c r="G140" s="86" t="str">
        <f>IF('Pipe Insulation'!W163="", "", 'Pipe Insulation'!W163)</f>
        <v/>
      </c>
      <c r="H140" s="76" t="str">
        <f>IFERROR(VLOOKUP('Pipe Insulation'!Y163,'Pipe Insulation'!$AM$152:$AN$153,2,FALSE),"")</f>
        <v/>
      </c>
      <c r="I140" s="68" t="str">
        <f>IF('Pipe Insulation'!Z163="", "", 'Pipe Insulation'!Z163)</f>
        <v/>
      </c>
      <c r="J140" s="480"/>
    </row>
    <row r="141" spans="2:10" s="1" customFormat="1" x14ac:dyDescent="0.25">
      <c r="B141" s="76">
        <f>'Pipe Insulation'!B164</f>
        <v>131</v>
      </c>
      <c r="C141" s="76" t="str">
        <f>IF('Pipe Insulation'!C164="", "", 'Pipe Insulation'!C164)</f>
        <v/>
      </c>
      <c r="D141" s="76" t="str">
        <f>IF('Pipe Insulation'!D164="", "", 'Pipe Insulation'!D164)</f>
        <v/>
      </c>
      <c r="E141" s="69" t="str">
        <f>IF('Pipe Insulation'!E164="", "", 'Pipe Insulation'!E164)</f>
        <v/>
      </c>
      <c r="F141" s="76" t="str">
        <f>IFERROR(VLOOKUP('Pipe Insulation'!G164,'Pipe Insulation'!$AM$142:$AN$149,2,FALSE),"")</f>
        <v/>
      </c>
      <c r="G141" s="86" t="str">
        <f>IF('Pipe Insulation'!W164="", "", 'Pipe Insulation'!W164)</f>
        <v/>
      </c>
      <c r="H141" s="76" t="str">
        <f>IFERROR(VLOOKUP('Pipe Insulation'!Y164,'Pipe Insulation'!$AM$152:$AN$153,2,FALSE),"")</f>
        <v/>
      </c>
      <c r="I141" s="68" t="str">
        <f>IF('Pipe Insulation'!Z164="", "", 'Pipe Insulation'!Z164)</f>
        <v/>
      </c>
      <c r="J141" s="480"/>
    </row>
    <row r="142" spans="2:10" s="1" customFormat="1" x14ac:dyDescent="0.25">
      <c r="B142" s="76">
        <f>'Pipe Insulation'!B165</f>
        <v>132</v>
      </c>
      <c r="C142" s="76" t="str">
        <f>IF('Pipe Insulation'!C165="", "", 'Pipe Insulation'!C165)</f>
        <v/>
      </c>
      <c r="D142" s="76" t="str">
        <f>IF('Pipe Insulation'!D165="", "", 'Pipe Insulation'!D165)</f>
        <v/>
      </c>
      <c r="E142" s="69" t="str">
        <f>IF('Pipe Insulation'!E165="", "", 'Pipe Insulation'!E165)</f>
        <v/>
      </c>
      <c r="F142" s="76" t="str">
        <f>IFERROR(VLOOKUP('Pipe Insulation'!G165,'Pipe Insulation'!$AM$142:$AN$149,2,FALSE),"")</f>
        <v/>
      </c>
      <c r="G142" s="86" t="str">
        <f>IF('Pipe Insulation'!W165="", "", 'Pipe Insulation'!W165)</f>
        <v/>
      </c>
      <c r="H142" s="76" t="str">
        <f>IFERROR(VLOOKUP('Pipe Insulation'!Y165,'Pipe Insulation'!$AM$152:$AN$153,2,FALSE),"")</f>
        <v/>
      </c>
      <c r="I142" s="68" t="str">
        <f>IF('Pipe Insulation'!Z165="", "", 'Pipe Insulation'!Z165)</f>
        <v/>
      </c>
      <c r="J142" s="480"/>
    </row>
    <row r="143" spans="2:10" s="1" customFormat="1" x14ac:dyDescent="0.25">
      <c r="B143" s="76">
        <f>'Pipe Insulation'!B166</f>
        <v>133</v>
      </c>
      <c r="C143" s="76" t="str">
        <f>IF('Pipe Insulation'!C166="", "", 'Pipe Insulation'!C166)</f>
        <v/>
      </c>
      <c r="D143" s="76" t="str">
        <f>IF('Pipe Insulation'!D166="", "", 'Pipe Insulation'!D166)</f>
        <v/>
      </c>
      <c r="E143" s="69" t="str">
        <f>IF('Pipe Insulation'!E166="", "", 'Pipe Insulation'!E166)</f>
        <v/>
      </c>
      <c r="F143" s="76" t="str">
        <f>IFERROR(VLOOKUP('Pipe Insulation'!G166,'Pipe Insulation'!$AM$142:$AN$149,2,FALSE),"")</f>
        <v/>
      </c>
      <c r="G143" s="86" t="str">
        <f>IF('Pipe Insulation'!W166="", "", 'Pipe Insulation'!W166)</f>
        <v/>
      </c>
      <c r="H143" s="76" t="str">
        <f>IFERROR(VLOOKUP('Pipe Insulation'!Y166,'Pipe Insulation'!$AM$152:$AN$153,2,FALSE),"")</f>
        <v/>
      </c>
      <c r="I143" s="68" t="str">
        <f>IF('Pipe Insulation'!Z166="", "", 'Pipe Insulation'!Z166)</f>
        <v/>
      </c>
      <c r="J143" s="480"/>
    </row>
    <row r="144" spans="2:10" s="1" customFormat="1" x14ac:dyDescent="0.25">
      <c r="B144" s="76">
        <f>'Pipe Insulation'!B167</f>
        <v>134</v>
      </c>
      <c r="C144" s="76" t="str">
        <f>IF('Pipe Insulation'!C167="", "", 'Pipe Insulation'!C167)</f>
        <v/>
      </c>
      <c r="D144" s="76" t="str">
        <f>IF('Pipe Insulation'!D167="", "", 'Pipe Insulation'!D167)</f>
        <v/>
      </c>
      <c r="E144" s="69" t="str">
        <f>IF('Pipe Insulation'!E167="", "", 'Pipe Insulation'!E167)</f>
        <v/>
      </c>
      <c r="F144" s="76" t="str">
        <f>IFERROR(VLOOKUP('Pipe Insulation'!G167,'Pipe Insulation'!$AM$142:$AN$149,2,FALSE),"")</f>
        <v/>
      </c>
      <c r="G144" s="86" t="str">
        <f>IF('Pipe Insulation'!W167="", "", 'Pipe Insulation'!W167)</f>
        <v/>
      </c>
      <c r="H144" s="76" t="str">
        <f>IFERROR(VLOOKUP('Pipe Insulation'!Y167,'Pipe Insulation'!$AM$152:$AN$153,2,FALSE),"")</f>
        <v/>
      </c>
      <c r="I144" s="68" t="str">
        <f>IF('Pipe Insulation'!Z167="", "", 'Pipe Insulation'!Z167)</f>
        <v/>
      </c>
      <c r="J144" s="480"/>
    </row>
    <row r="145" spans="2:10" s="1" customFormat="1" x14ac:dyDescent="0.25">
      <c r="B145" s="76">
        <f>'Pipe Insulation'!B168</f>
        <v>135</v>
      </c>
      <c r="C145" s="76" t="str">
        <f>IF('Pipe Insulation'!C168="", "", 'Pipe Insulation'!C168)</f>
        <v/>
      </c>
      <c r="D145" s="76" t="str">
        <f>IF('Pipe Insulation'!D168="", "", 'Pipe Insulation'!D168)</f>
        <v/>
      </c>
      <c r="E145" s="69" t="str">
        <f>IF('Pipe Insulation'!E168="", "", 'Pipe Insulation'!E168)</f>
        <v/>
      </c>
      <c r="F145" s="76" t="str">
        <f>IFERROR(VLOOKUP('Pipe Insulation'!G168,'Pipe Insulation'!$AM$142:$AN$149,2,FALSE),"")</f>
        <v/>
      </c>
      <c r="G145" s="86" t="str">
        <f>IF('Pipe Insulation'!W168="", "", 'Pipe Insulation'!W168)</f>
        <v/>
      </c>
      <c r="H145" s="76" t="str">
        <f>IFERROR(VLOOKUP('Pipe Insulation'!Y168,'Pipe Insulation'!$AM$152:$AN$153,2,FALSE),"")</f>
        <v/>
      </c>
      <c r="I145" s="68" t="str">
        <f>IF('Pipe Insulation'!Z168="", "", 'Pipe Insulation'!Z168)</f>
        <v/>
      </c>
      <c r="J145" s="480"/>
    </row>
    <row r="146" spans="2:10" s="1" customFormat="1" x14ac:dyDescent="0.25">
      <c r="B146" s="76">
        <f>'Pipe Insulation'!B169</f>
        <v>136</v>
      </c>
      <c r="C146" s="76" t="str">
        <f>IF('Pipe Insulation'!C169="", "", 'Pipe Insulation'!C169)</f>
        <v/>
      </c>
      <c r="D146" s="76" t="str">
        <f>IF('Pipe Insulation'!D169="", "", 'Pipe Insulation'!D169)</f>
        <v/>
      </c>
      <c r="E146" s="69" t="str">
        <f>IF('Pipe Insulation'!E169="", "", 'Pipe Insulation'!E169)</f>
        <v/>
      </c>
      <c r="F146" s="76" t="str">
        <f>IFERROR(VLOOKUP('Pipe Insulation'!G169,'Pipe Insulation'!$AM$142:$AN$149,2,FALSE),"")</f>
        <v/>
      </c>
      <c r="G146" s="86" t="str">
        <f>IF('Pipe Insulation'!W169="", "", 'Pipe Insulation'!W169)</f>
        <v/>
      </c>
      <c r="H146" s="76" t="str">
        <f>IFERROR(VLOOKUP('Pipe Insulation'!Y169,'Pipe Insulation'!$AM$152:$AN$153,2,FALSE),"")</f>
        <v/>
      </c>
      <c r="I146" s="68" t="str">
        <f>IF('Pipe Insulation'!Z169="", "", 'Pipe Insulation'!Z169)</f>
        <v/>
      </c>
      <c r="J146" s="480"/>
    </row>
    <row r="147" spans="2:10" s="1" customFormat="1" x14ac:dyDescent="0.25">
      <c r="B147" s="76">
        <f>'Pipe Insulation'!B170</f>
        <v>137</v>
      </c>
      <c r="C147" s="76" t="str">
        <f>IF('Pipe Insulation'!C170="", "", 'Pipe Insulation'!C170)</f>
        <v/>
      </c>
      <c r="D147" s="76" t="str">
        <f>IF('Pipe Insulation'!D170="", "", 'Pipe Insulation'!D170)</f>
        <v/>
      </c>
      <c r="E147" s="69" t="str">
        <f>IF('Pipe Insulation'!E170="", "", 'Pipe Insulation'!E170)</f>
        <v/>
      </c>
      <c r="F147" s="76" t="str">
        <f>IFERROR(VLOOKUP('Pipe Insulation'!G170,'Pipe Insulation'!$AM$142:$AN$149,2,FALSE),"")</f>
        <v/>
      </c>
      <c r="G147" s="86" t="str">
        <f>IF('Pipe Insulation'!W170="", "", 'Pipe Insulation'!W170)</f>
        <v/>
      </c>
      <c r="H147" s="76" t="str">
        <f>IFERROR(VLOOKUP('Pipe Insulation'!Y170,'Pipe Insulation'!$AM$152:$AN$153,2,FALSE),"")</f>
        <v/>
      </c>
      <c r="I147" s="68" t="str">
        <f>IF('Pipe Insulation'!Z170="", "", 'Pipe Insulation'!Z170)</f>
        <v/>
      </c>
      <c r="J147" s="480"/>
    </row>
    <row r="148" spans="2:10" s="1" customFormat="1" x14ac:dyDescent="0.25">
      <c r="B148" s="76">
        <f>'Pipe Insulation'!B171</f>
        <v>138</v>
      </c>
      <c r="C148" s="76" t="str">
        <f>IF('Pipe Insulation'!C171="", "", 'Pipe Insulation'!C171)</f>
        <v/>
      </c>
      <c r="D148" s="76" t="str">
        <f>IF('Pipe Insulation'!D171="", "", 'Pipe Insulation'!D171)</f>
        <v/>
      </c>
      <c r="E148" s="69" t="str">
        <f>IF('Pipe Insulation'!E171="", "", 'Pipe Insulation'!E171)</f>
        <v/>
      </c>
      <c r="F148" s="76" t="str">
        <f>IFERROR(VLOOKUP('Pipe Insulation'!G171,'Pipe Insulation'!$AM$142:$AN$149,2,FALSE),"")</f>
        <v/>
      </c>
      <c r="G148" s="86" t="str">
        <f>IF('Pipe Insulation'!W171="", "", 'Pipe Insulation'!W171)</f>
        <v/>
      </c>
      <c r="H148" s="76" t="str">
        <f>IFERROR(VLOOKUP('Pipe Insulation'!Y171,'Pipe Insulation'!$AM$152:$AN$153,2,FALSE),"")</f>
        <v/>
      </c>
      <c r="I148" s="68" t="str">
        <f>IF('Pipe Insulation'!Z171="", "", 'Pipe Insulation'!Z171)</f>
        <v/>
      </c>
      <c r="J148" s="480"/>
    </row>
    <row r="149" spans="2:10" s="1" customFormat="1" x14ac:dyDescent="0.25">
      <c r="B149" s="76">
        <f>'Pipe Insulation'!B172</f>
        <v>139</v>
      </c>
      <c r="C149" s="76" t="str">
        <f>IF('Pipe Insulation'!C172="", "", 'Pipe Insulation'!C172)</f>
        <v/>
      </c>
      <c r="D149" s="76" t="str">
        <f>IF('Pipe Insulation'!D172="", "", 'Pipe Insulation'!D172)</f>
        <v/>
      </c>
      <c r="E149" s="69" t="str">
        <f>IF('Pipe Insulation'!E172="", "", 'Pipe Insulation'!E172)</f>
        <v/>
      </c>
      <c r="F149" s="76" t="str">
        <f>IFERROR(VLOOKUP('Pipe Insulation'!G172,'Pipe Insulation'!$AM$142:$AN$149,2,FALSE),"")</f>
        <v/>
      </c>
      <c r="G149" s="86" t="str">
        <f>IF('Pipe Insulation'!W172="", "", 'Pipe Insulation'!W172)</f>
        <v/>
      </c>
      <c r="H149" s="76" t="str">
        <f>IFERROR(VLOOKUP('Pipe Insulation'!Y172,'Pipe Insulation'!$AM$152:$AN$153,2,FALSE),"")</f>
        <v/>
      </c>
      <c r="I149" s="68" t="str">
        <f>IF('Pipe Insulation'!Z172="", "", 'Pipe Insulation'!Z172)</f>
        <v/>
      </c>
      <c r="J149" s="480"/>
    </row>
    <row r="150" spans="2:10" s="1" customFormat="1" x14ac:dyDescent="0.25">
      <c r="B150" s="76">
        <f>'Pipe Insulation'!B173</f>
        <v>140</v>
      </c>
      <c r="C150" s="76" t="str">
        <f>IF('Pipe Insulation'!C173="", "", 'Pipe Insulation'!C173)</f>
        <v/>
      </c>
      <c r="D150" s="76" t="str">
        <f>IF('Pipe Insulation'!D173="", "", 'Pipe Insulation'!D173)</f>
        <v/>
      </c>
      <c r="E150" s="69" t="str">
        <f>IF('Pipe Insulation'!E173="", "", 'Pipe Insulation'!E173)</f>
        <v/>
      </c>
      <c r="F150" s="76" t="str">
        <f>IFERROR(VLOOKUP('Pipe Insulation'!G173,'Pipe Insulation'!$AM$142:$AN$149,2,FALSE),"")</f>
        <v/>
      </c>
      <c r="G150" s="86" t="str">
        <f>IF('Pipe Insulation'!W173="", "", 'Pipe Insulation'!W173)</f>
        <v/>
      </c>
      <c r="H150" s="76" t="str">
        <f>IFERROR(VLOOKUP('Pipe Insulation'!Y173,'Pipe Insulation'!$AM$152:$AN$153,2,FALSE),"")</f>
        <v/>
      </c>
      <c r="I150" s="68" t="str">
        <f>IF('Pipe Insulation'!Z173="", "", 'Pipe Insulation'!Z173)</f>
        <v/>
      </c>
      <c r="J150" s="480"/>
    </row>
    <row r="151" spans="2:10" s="1" customFormat="1" x14ac:dyDescent="0.25">
      <c r="B151" s="76">
        <f>'Pipe Insulation'!B174</f>
        <v>141</v>
      </c>
      <c r="C151" s="76" t="str">
        <f>IF('Pipe Insulation'!C174="", "", 'Pipe Insulation'!C174)</f>
        <v/>
      </c>
      <c r="D151" s="76" t="str">
        <f>IF('Pipe Insulation'!D174="", "", 'Pipe Insulation'!D174)</f>
        <v/>
      </c>
      <c r="E151" s="69" t="str">
        <f>IF('Pipe Insulation'!E174="", "", 'Pipe Insulation'!E174)</f>
        <v/>
      </c>
      <c r="F151" s="76" t="str">
        <f>IFERROR(VLOOKUP('Pipe Insulation'!G174,'Pipe Insulation'!$AM$142:$AN$149,2,FALSE),"")</f>
        <v/>
      </c>
      <c r="G151" s="86" t="str">
        <f>IF('Pipe Insulation'!W174="", "", 'Pipe Insulation'!W174)</f>
        <v/>
      </c>
      <c r="H151" s="76" t="str">
        <f>IFERROR(VLOOKUP('Pipe Insulation'!Y174,'Pipe Insulation'!$AM$152:$AN$153,2,FALSE),"")</f>
        <v/>
      </c>
      <c r="I151" s="68" t="str">
        <f>IF('Pipe Insulation'!Z174="", "", 'Pipe Insulation'!Z174)</f>
        <v/>
      </c>
      <c r="J151" s="480"/>
    </row>
    <row r="152" spans="2:10" s="1" customFormat="1" x14ac:dyDescent="0.25">
      <c r="B152" s="76">
        <f>'Pipe Insulation'!B175</f>
        <v>142</v>
      </c>
      <c r="C152" s="76" t="str">
        <f>IF('Pipe Insulation'!C175="", "", 'Pipe Insulation'!C175)</f>
        <v/>
      </c>
      <c r="D152" s="76" t="str">
        <f>IF('Pipe Insulation'!D175="", "", 'Pipe Insulation'!D175)</f>
        <v/>
      </c>
      <c r="E152" s="69" t="str">
        <f>IF('Pipe Insulation'!E175="", "", 'Pipe Insulation'!E175)</f>
        <v/>
      </c>
      <c r="F152" s="76" t="str">
        <f>IFERROR(VLOOKUP('Pipe Insulation'!G175,'Pipe Insulation'!$AM$142:$AN$149,2,FALSE),"")</f>
        <v/>
      </c>
      <c r="G152" s="86" t="str">
        <f>IF('Pipe Insulation'!W175="", "", 'Pipe Insulation'!W175)</f>
        <v/>
      </c>
      <c r="H152" s="76" t="str">
        <f>IFERROR(VLOOKUP('Pipe Insulation'!Y175,'Pipe Insulation'!$AM$152:$AN$153,2,FALSE),"")</f>
        <v/>
      </c>
      <c r="I152" s="68" t="str">
        <f>IF('Pipe Insulation'!Z175="", "", 'Pipe Insulation'!Z175)</f>
        <v/>
      </c>
      <c r="J152" s="480"/>
    </row>
    <row r="153" spans="2:10" s="1" customFormat="1" x14ac:dyDescent="0.25">
      <c r="B153" s="76">
        <f>'Pipe Insulation'!B176</f>
        <v>143</v>
      </c>
      <c r="C153" s="76" t="str">
        <f>IF('Pipe Insulation'!C176="", "", 'Pipe Insulation'!C176)</f>
        <v/>
      </c>
      <c r="D153" s="76" t="str">
        <f>IF('Pipe Insulation'!D176="", "", 'Pipe Insulation'!D176)</f>
        <v/>
      </c>
      <c r="E153" s="69" t="str">
        <f>IF('Pipe Insulation'!E176="", "", 'Pipe Insulation'!E176)</f>
        <v/>
      </c>
      <c r="F153" s="76" t="str">
        <f>IFERROR(VLOOKUP('Pipe Insulation'!G176,'Pipe Insulation'!$AM$142:$AN$149,2,FALSE),"")</f>
        <v/>
      </c>
      <c r="G153" s="86" t="str">
        <f>IF('Pipe Insulation'!W176="", "", 'Pipe Insulation'!W176)</f>
        <v/>
      </c>
      <c r="H153" s="76" t="str">
        <f>IFERROR(VLOOKUP('Pipe Insulation'!Y176,'Pipe Insulation'!$AM$152:$AN$153,2,FALSE),"")</f>
        <v/>
      </c>
      <c r="I153" s="68" t="str">
        <f>IF('Pipe Insulation'!Z176="", "", 'Pipe Insulation'!Z176)</f>
        <v/>
      </c>
      <c r="J153" s="480"/>
    </row>
    <row r="154" spans="2:10" s="1" customFormat="1" x14ac:dyDescent="0.25">
      <c r="B154" s="76">
        <f>'Pipe Insulation'!B177</f>
        <v>144</v>
      </c>
      <c r="C154" s="76" t="str">
        <f>IF('Pipe Insulation'!C177="", "", 'Pipe Insulation'!C177)</f>
        <v/>
      </c>
      <c r="D154" s="76" t="str">
        <f>IF('Pipe Insulation'!D177="", "", 'Pipe Insulation'!D177)</f>
        <v/>
      </c>
      <c r="E154" s="69" t="str">
        <f>IF('Pipe Insulation'!E177="", "", 'Pipe Insulation'!E177)</f>
        <v/>
      </c>
      <c r="F154" s="76" t="str">
        <f>IFERROR(VLOOKUP('Pipe Insulation'!G177,'Pipe Insulation'!$AM$142:$AN$149,2,FALSE),"")</f>
        <v/>
      </c>
      <c r="G154" s="86" t="str">
        <f>IF('Pipe Insulation'!W177="", "", 'Pipe Insulation'!W177)</f>
        <v/>
      </c>
      <c r="H154" s="76" t="str">
        <f>IFERROR(VLOOKUP('Pipe Insulation'!Y177,'Pipe Insulation'!$AM$152:$AN$153,2,FALSE),"")</f>
        <v/>
      </c>
      <c r="I154" s="68" t="str">
        <f>IF('Pipe Insulation'!Z177="", "", 'Pipe Insulation'!Z177)</f>
        <v/>
      </c>
      <c r="J154" s="480"/>
    </row>
    <row r="155" spans="2:10" s="1" customFormat="1" x14ac:dyDescent="0.25">
      <c r="B155" s="76">
        <f>'Pipe Insulation'!B178</f>
        <v>145</v>
      </c>
      <c r="C155" s="76" t="str">
        <f>IF('Pipe Insulation'!C178="", "", 'Pipe Insulation'!C178)</f>
        <v/>
      </c>
      <c r="D155" s="76" t="str">
        <f>IF('Pipe Insulation'!D178="", "", 'Pipe Insulation'!D178)</f>
        <v/>
      </c>
      <c r="E155" s="69" t="str">
        <f>IF('Pipe Insulation'!E178="", "", 'Pipe Insulation'!E178)</f>
        <v/>
      </c>
      <c r="F155" s="76" t="str">
        <f>IFERROR(VLOOKUP('Pipe Insulation'!G178,'Pipe Insulation'!$AM$142:$AN$149,2,FALSE),"")</f>
        <v/>
      </c>
      <c r="G155" s="86" t="str">
        <f>IF('Pipe Insulation'!W178="", "", 'Pipe Insulation'!W178)</f>
        <v/>
      </c>
      <c r="H155" s="76" t="str">
        <f>IFERROR(VLOOKUP('Pipe Insulation'!Y178,'Pipe Insulation'!$AM$152:$AN$153,2,FALSE),"")</f>
        <v/>
      </c>
      <c r="I155" s="68" t="str">
        <f>IF('Pipe Insulation'!Z178="", "", 'Pipe Insulation'!Z178)</f>
        <v/>
      </c>
      <c r="J155" s="480"/>
    </row>
    <row r="156" spans="2:10" s="1" customFormat="1" x14ac:dyDescent="0.25">
      <c r="B156" s="76">
        <f>'Pipe Insulation'!B179</f>
        <v>146</v>
      </c>
      <c r="C156" s="76" t="str">
        <f>IF('Pipe Insulation'!C179="", "", 'Pipe Insulation'!C179)</f>
        <v/>
      </c>
      <c r="D156" s="76" t="str">
        <f>IF('Pipe Insulation'!D179="", "", 'Pipe Insulation'!D179)</f>
        <v/>
      </c>
      <c r="E156" s="69" t="str">
        <f>IF('Pipe Insulation'!E179="", "", 'Pipe Insulation'!E179)</f>
        <v/>
      </c>
      <c r="F156" s="76" t="str">
        <f>IFERROR(VLOOKUP('Pipe Insulation'!G179,'Pipe Insulation'!$AM$142:$AN$149,2,FALSE),"")</f>
        <v/>
      </c>
      <c r="G156" s="86" t="str">
        <f>IF('Pipe Insulation'!W179="", "", 'Pipe Insulation'!W179)</f>
        <v/>
      </c>
      <c r="H156" s="76" t="str">
        <f>IFERROR(VLOOKUP('Pipe Insulation'!Y179,'Pipe Insulation'!$AM$152:$AN$153,2,FALSE),"")</f>
        <v/>
      </c>
      <c r="I156" s="68" t="str">
        <f>IF('Pipe Insulation'!Z179="", "", 'Pipe Insulation'!Z179)</f>
        <v/>
      </c>
      <c r="J156" s="480"/>
    </row>
    <row r="157" spans="2:10" s="1" customFormat="1" x14ac:dyDescent="0.25">
      <c r="B157" s="76">
        <f>'Pipe Insulation'!B180</f>
        <v>147</v>
      </c>
      <c r="C157" s="76" t="str">
        <f>IF('Pipe Insulation'!C180="", "", 'Pipe Insulation'!C180)</f>
        <v/>
      </c>
      <c r="D157" s="76" t="str">
        <f>IF('Pipe Insulation'!D180="", "", 'Pipe Insulation'!D180)</f>
        <v/>
      </c>
      <c r="E157" s="69" t="str">
        <f>IF('Pipe Insulation'!E180="", "", 'Pipe Insulation'!E180)</f>
        <v/>
      </c>
      <c r="F157" s="76" t="str">
        <f>IFERROR(VLOOKUP('Pipe Insulation'!G180,'Pipe Insulation'!$AM$142:$AN$149,2,FALSE),"")</f>
        <v/>
      </c>
      <c r="G157" s="86" t="str">
        <f>IF('Pipe Insulation'!W180="", "", 'Pipe Insulation'!W180)</f>
        <v/>
      </c>
      <c r="H157" s="76" t="str">
        <f>IFERROR(VLOOKUP('Pipe Insulation'!Y180,'Pipe Insulation'!$AM$152:$AN$153,2,FALSE),"")</f>
        <v/>
      </c>
      <c r="I157" s="68" t="str">
        <f>IF('Pipe Insulation'!Z180="", "", 'Pipe Insulation'!Z180)</f>
        <v/>
      </c>
      <c r="J157" s="480"/>
    </row>
    <row r="158" spans="2:10" s="1" customFormat="1" x14ac:dyDescent="0.25">
      <c r="B158" s="76">
        <f>'Pipe Insulation'!B181</f>
        <v>148</v>
      </c>
      <c r="C158" s="76" t="str">
        <f>IF('Pipe Insulation'!C181="", "", 'Pipe Insulation'!C181)</f>
        <v/>
      </c>
      <c r="D158" s="76" t="str">
        <f>IF('Pipe Insulation'!D181="", "", 'Pipe Insulation'!D181)</f>
        <v/>
      </c>
      <c r="E158" s="69" t="str">
        <f>IF('Pipe Insulation'!E181="", "", 'Pipe Insulation'!E181)</f>
        <v/>
      </c>
      <c r="F158" s="76" t="str">
        <f>IFERROR(VLOOKUP('Pipe Insulation'!G181,'Pipe Insulation'!$AM$142:$AN$149,2,FALSE),"")</f>
        <v/>
      </c>
      <c r="G158" s="86" t="str">
        <f>IF('Pipe Insulation'!W181="", "", 'Pipe Insulation'!W181)</f>
        <v/>
      </c>
      <c r="H158" s="76" t="str">
        <f>IFERROR(VLOOKUP('Pipe Insulation'!Y181,'Pipe Insulation'!$AM$152:$AN$153,2,FALSE),"")</f>
        <v/>
      </c>
      <c r="I158" s="68" t="str">
        <f>IF('Pipe Insulation'!Z181="", "", 'Pipe Insulation'!Z181)</f>
        <v/>
      </c>
      <c r="J158" s="480"/>
    </row>
    <row r="159" spans="2:10" s="1" customFormat="1" x14ac:dyDescent="0.25">
      <c r="B159" s="76">
        <f>'Pipe Insulation'!B182</f>
        <v>149</v>
      </c>
      <c r="C159" s="76" t="str">
        <f>IF('Pipe Insulation'!C182="", "", 'Pipe Insulation'!C182)</f>
        <v/>
      </c>
      <c r="D159" s="76" t="str">
        <f>IF('Pipe Insulation'!D182="", "", 'Pipe Insulation'!D182)</f>
        <v/>
      </c>
      <c r="E159" s="69" t="str">
        <f>IF('Pipe Insulation'!E182="", "", 'Pipe Insulation'!E182)</f>
        <v/>
      </c>
      <c r="F159" s="76" t="str">
        <f>IFERROR(VLOOKUP('Pipe Insulation'!G182,'Pipe Insulation'!$AM$142:$AN$149,2,FALSE),"")</f>
        <v/>
      </c>
      <c r="G159" s="86" t="str">
        <f>IF('Pipe Insulation'!W182="", "", 'Pipe Insulation'!W182)</f>
        <v/>
      </c>
      <c r="H159" s="76" t="str">
        <f>IFERROR(VLOOKUP('Pipe Insulation'!Y182,'Pipe Insulation'!$AM$152:$AN$153,2,FALSE),"")</f>
        <v/>
      </c>
      <c r="I159" s="68" t="str">
        <f>IF('Pipe Insulation'!Z182="", "", 'Pipe Insulation'!Z182)</f>
        <v/>
      </c>
      <c r="J159" s="480"/>
    </row>
    <row r="160" spans="2:10" s="1" customFormat="1" x14ac:dyDescent="0.25">
      <c r="B160" s="76">
        <f>'Pipe Insulation'!B183</f>
        <v>150</v>
      </c>
      <c r="C160" s="76" t="str">
        <f>IF('Pipe Insulation'!C183="", "", 'Pipe Insulation'!C183)</f>
        <v/>
      </c>
      <c r="D160" s="76" t="str">
        <f>IF('Pipe Insulation'!D183="", "", 'Pipe Insulation'!D183)</f>
        <v/>
      </c>
      <c r="E160" s="69" t="str">
        <f>IF('Pipe Insulation'!E183="", "", 'Pipe Insulation'!E183)</f>
        <v/>
      </c>
      <c r="F160" s="76" t="str">
        <f>IFERROR(VLOOKUP('Pipe Insulation'!G183,'Pipe Insulation'!$AM$142:$AN$149,2,FALSE),"")</f>
        <v/>
      </c>
      <c r="G160" s="86" t="str">
        <f>IF('Pipe Insulation'!W183="", "", 'Pipe Insulation'!W183)</f>
        <v/>
      </c>
      <c r="H160" s="76" t="str">
        <f>IFERROR(VLOOKUP('Pipe Insulation'!Y183,'Pipe Insulation'!$AM$152:$AN$153,2,FALSE),"")</f>
        <v/>
      </c>
      <c r="I160" s="68" t="str">
        <f>IF('Pipe Insulation'!Z183="", "", 'Pipe Insulation'!Z183)</f>
        <v/>
      </c>
      <c r="J160" s="480"/>
    </row>
    <row r="161" spans="2:10" s="64" customFormat="1" ht="45" x14ac:dyDescent="0.25">
      <c r="B161" s="206" t="s">
        <v>133</v>
      </c>
      <c r="C161" s="206" t="s">
        <v>134</v>
      </c>
      <c r="D161" s="206" t="s">
        <v>135</v>
      </c>
      <c r="E161" s="206" t="s">
        <v>136</v>
      </c>
      <c r="F161" s="206" t="s">
        <v>138</v>
      </c>
      <c r="G161" s="206" t="s">
        <v>675</v>
      </c>
      <c r="H161" s="206" t="s">
        <v>676</v>
      </c>
      <c r="I161" s="206" t="s">
        <v>677</v>
      </c>
      <c r="J161" s="785" t="s">
        <v>678</v>
      </c>
    </row>
    <row r="162" spans="2:10" s="1" customFormat="1" x14ac:dyDescent="0.25">
      <c r="B162" s="76">
        <f>'Pipe Insulation'!B184</f>
        <v>151</v>
      </c>
      <c r="C162" s="76" t="str">
        <f>IF('Pipe Insulation'!C184="", "", 'Pipe Insulation'!C184)</f>
        <v/>
      </c>
      <c r="D162" s="76" t="str">
        <f>IF('Pipe Insulation'!D184="", "", 'Pipe Insulation'!D184)</f>
        <v/>
      </c>
      <c r="E162" s="69" t="str">
        <f>IF('Pipe Insulation'!E184="", "", 'Pipe Insulation'!E184)</f>
        <v/>
      </c>
      <c r="F162" s="76" t="str">
        <f>IFERROR(VLOOKUP('Pipe Insulation'!G184,'Pipe Insulation'!$AM$142:$AN$149,2,FALSE),"")</f>
        <v/>
      </c>
      <c r="G162" s="86" t="str">
        <f>IF('Pipe Insulation'!W184="", "", 'Pipe Insulation'!W184)</f>
        <v/>
      </c>
      <c r="H162" s="76" t="str">
        <f>IFERROR(VLOOKUP('Pipe Insulation'!Y184,'Pipe Insulation'!$AM$152:$AN$153,2,FALSE),"")</f>
        <v/>
      </c>
      <c r="I162" s="68" t="str">
        <f>IF('Pipe Insulation'!Z184="", "", 'Pipe Insulation'!Z184)</f>
        <v/>
      </c>
      <c r="J162" s="480"/>
    </row>
    <row r="163" spans="2:10" s="1" customFormat="1" x14ac:dyDescent="0.25">
      <c r="B163" s="76">
        <f>'Pipe Insulation'!B185</f>
        <v>152</v>
      </c>
      <c r="C163" s="76" t="str">
        <f>IF('Pipe Insulation'!C185="", "", 'Pipe Insulation'!C185)</f>
        <v/>
      </c>
      <c r="D163" s="76" t="str">
        <f>IF('Pipe Insulation'!D185="", "", 'Pipe Insulation'!D185)</f>
        <v/>
      </c>
      <c r="E163" s="69" t="str">
        <f>IF('Pipe Insulation'!E185="", "", 'Pipe Insulation'!E185)</f>
        <v/>
      </c>
      <c r="F163" s="76" t="str">
        <f>IFERROR(VLOOKUP('Pipe Insulation'!G185,'Pipe Insulation'!$AM$142:$AN$149,2,FALSE),"")</f>
        <v/>
      </c>
      <c r="G163" s="86" t="str">
        <f>IF('Pipe Insulation'!W185="", "", 'Pipe Insulation'!W185)</f>
        <v/>
      </c>
      <c r="H163" s="76" t="str">
        <f>IFERROR(VLOOKUP('Pipe Insulation'!Y185,'Pipe Insulation'!$AM$152:$AN$153,2,FALSE),"")</f>
        <v/>
      </c>
      <c r="I163" s="68" t="str">
        <f>IF('Pipe Insulation'!Z185="", "", 'Pipe Insulation'!Z185)</f>
        <v/>
      </c>
      <c r="J163" s="480"/>
    </row>
    <row r="164" spans="2:10" s="1" customFormat="1" x14ac:dyDescent="0.25">
      <c r="B164" s="76">
        <f>'Pipe Insulation'!B186</f>
        <v>153</v>
      </c>
      <c r="C164" s="76" t="str">
        <f>IF('Pipe Insulation'!C186="", "", 'Pipe Insulation'!C186)</f>
        <v/>
      </c>
      <c r="D164" s="76" t="str">
        <f>IF('Pipe Insulation'!D186="", "", 'Pipe Insulation'!D186)</f>
        <v/>
      </c>
      <c r="E164" s="69" t="str">
        <f>IF('Pipe Insulation'!E186="", "", 'Pipe Insulation'!E186)</f>
        <v/>
      </c>
      <c r="F164" s="76" t="str">
        <f>IFERROR(VLOOKUP('Pipe Insulation'!G186,'Pipe Insulation'!$AM$142:$AN$149,2,FALSE),"")</f>
        <v/>
      </c>
      <c r="G164" s="86" t="str">
        <f>IF('Pipe Insulation'!W186="", "", 'Pipe Insulation'!W186)</f>
        <v/>
      </c>
      <c r="H164" s="76" t="str">
        <f>IFERROR(VLOOKUP('Pipe Insulation'!Y186,'Pipe Insulation'!$AM$152:$AN$153,2,FALSE),"")</f>
        <v/>
      </c>
      <c r="I164" s="68" t="str">
        <f>IF('Pipe Insulation'!Z186="", "", 'Pipe Insulation'!Z186)</f>
        <v/>
      </c>
      <c r="J164" s="480"/>
    </row>
    <row r="165" spans="2:10" s="1" customFormat="1" x14ac:dyDescent="0.25">
      <c r="B165" s="76">
        <f>'Pipe Insulation'!B187</f>
        <v>154</v>
      </c>
      <c r="C165" s="76" t="str">
        <f>IF('Pipe Insulation'!C187="", "", 'Pipe Insulation'!C187)</f>
        <v/>
      </c>
      <c r="D165" s="76" t="str">
        <f>IF('Pipe Insulation'!D187="", "", 'Pipe Insulation'!D187)</f>
        <v/>
      </c>
      <c r="E165" s="69" t="str">
        <f>IF('Pipe Insulation'!E187="", "", 'Pipe Insulation'!E187)</f>
        <v/>
      </c>
      <c r="F165" s="76" t="str">
        <f>IFERROR(VLOOKUP('Pipe Insulation'!G187,'Pipe Insulation'!$AM$142:$AN$149,2,FALSE),"")</f>
        <v/>
      </c>
      <c r="G165" s="86" t="str">
        <f>IF('Pipe Insulation'!W187="", "", 'Pipe Insulation'!W187)</f>
        <v/>
      </c>
      <c r="H165" s="76" t="str">
        <f>IFERROR(VLOOKUP('Pipe Insulation'!Y187,'Pipe Insulation'!$AM$152:$AN$153,2,FALSE),"")</f>
        <v/>
      </c>
      <c r="I165" s="68" t="str">
        <f>IF('Pipe Insulation'!Z187="", "", 'Pipe Insulation'!Z187)</f>
        <v/>
      </c>
      <c r="J165" s="480"/>
    </row>
    <row r="166" spans="2:10" s="1" customFormat="1" x14ac:dyDescent="0.25">
      <c r="B166" s="76">
        <f>'Pipe Insulation'!B188</f>
        <v>155</v>
      </c>
      <c r="C166" s="76" t="str">
        <f>IF('Pipe Insulation'!C188="", "", 'Pipe Insulation'!C188)</f>
        <v/>
      </c>
      <c r="D166" s="76" t="str">
        <f>IF('Pipe Insulation'!D188="", "", 'Pipe Insulation'!D188)</f>
        <v/>
      </c>
      <c r="E166" s="69" t="str">
        <f>IF('Pipe Insulation'!E188="", "", 'Pipe Insulation'!E188)</f>
        <v/>
      </c>
      <c r="F166" s="76" t="str">
        <f>IFERROR(VLOOKUP('Pipe Insulation'!G188,'Pipe Insulation'!$AM$142:$AN$149,2,FALSE),"")</f>
        <v/>
      </c>
      <c r="G166" s="86" t="str">
        <f>IF('Pipe Insulation'!W188="", "", 'Pipe Insulation'!W188)</f>
        <v/>
      </c>
      <c r="H166" s="76" t="str">
        <f>IFERROR(VLOOKUP('Pipe Insulation'!Y188,'Pipe Insulation'!$AM$152:$AN$153,2,FALSE),"")</f>
        <v/>
      </c>
      <c r="I166" s="68" t="str">
        <f>IF('Pipe Insulation'!Z188="", "", 'Pipe Insulation'!Z188)</f>
        <v/>
      </c>
      <c r="J166" s="480"/>
    </row>
    <row r="167" spans="2:10" s="1" customFormat="1" x14ac:dyDescent="0.25">
      <c r="B167" s="76">
        <f>'Pipe Insulation'!B189</f>
        <v>156</v>
      </c>
      <c r="C167" s="76" t="str">
        <f>IF('Pipe Insulation'!C189="", "", 'Pipe Insulation'!C189)</f>
        <v/>
      </c>
      <c r="D167" s="76" t="str">
        <f>IF('Pipe Insulation'!D189="", "", 'Pipe Insulation'!D189)</f>
        <v/>
      </c>
      <c r="E167" s="69" t="str">
        <f>IF('Pipe Insulation'!E189="", "", 'Pipe Insulation'!E189)</f>
        <v/>
      </c>
      <c r="F167" s="76" t="str">
        <f>IFERROR(VLOOKUP('Pipe Insulation'!G189,'Pipe Insulation'!$AM$142:$AN$149,2,FALSE),"")</f>
        <v/>
      </c>
      <c r="G167" s="86" t="str">
        <f>IF('Pipe Insulation'!W189="", "", 'Pipe Insulation'!W189)</f>
        <v/>
      </c>
      <c r="H167" s="76" t="str">
        <f>IFERROR(VLOOKUP('Pipe Insulation'!Y189,'Pipe Insulation'!$AM$152:$AN$153,2,FALSE),"")</f>
        <v/>
      </c>
      <c r="I167" s="68" t="str">
        <f>IF('Pipe Insulation'!Z189="", "", 'Pipe Insulation'!Z189)</f>
        <v/>
      </c>
      <c r="J167" s="480"/>
    </row>
    <row r="168" spans="2:10" s="1" customFormat="1" x14ac:dyDescent="0.25">
      <c r="B168" s="76">
        <f>'Pipe Insulation'!B190</f>
        <v>157</v>
      </c>
      <c r="C168" s="76" t="str">
        <f>IF('Pipe Insulation'!C190="", "", 'Pipe Insulation'!C190)</f>
        <v/>
      </c>
      <c r="D168" s="76" t="str">
        <f>IF('Pipe Insulation'!D190="", "", 'Pipe Insulation'!D190)</f>
        <v/>
      </c>
      <c r="E168" s="69" t="str">
        <f>IF('Pipe Insulation'!E190="", "", 'Pipe Insulation'!E190)</f>
        <v/>
      </c>
      <c r="F168" s="76" t="str">
        <f>IFERROR(VLOOKUP('Pipe Insulation'!G190,'Pipe Insulation'!$AM$142:$AN$149,2,FALSE),"")</f>
        <v/>
      </c>
      <c r="G168" s="86" t="str">
        <f>IF('Pipe Insulation'!W190="", "", 'Pipe Insulation'!W190)</f>
        <v/>
      </c>
      <c r="H168" s="76" t="str">
        <f>IFERROR(VLOOKUP('Pipe Insulation'!Y190,'Pipe Insulation'!$AM$152:$AN$153,2,FALSE),"")</f>
        <v/>
      </c>
      <c r="I168" s="68" t="str">
        <f>IF('Pipe Insulation'!Z190="", "", 'Pipe Insulation'!Z190)</f>
        <v/>
      </c>
      <c r="J168" s="480"/>
    </row>
    <row r="169" spans="2:10" s="1" customFormat="1" x14ac:dyDescent="0.25">
      <c r="B169" s="76">
        <f>'Pipe Insulation'!B191</f>
        <v>158</v>
      </c>
      <c r="C169" s="76" t="str">
        <f>IF('Pipe Insulation'!C191="", "", 'Pipe Insulation'!C191)</f>
        <v/>
      </c>
      <c r="D169" s="76" t="str">
        <f>IF('Pipe Insulation'!D191="", "", 'Pipe Insulation'!D191)</f>
        <v/>
      </c>
      <c r="E169" s="69" t="str">
        <f>IF('Pipe Insulation'!E191="", "", 'Pipe Insulation'!E191)</f>
        <v/>
      </c>
      <c r="F169" s="76" t="str">
        <f>IFERROR(VLOOKUP('Pipe Insulation'!G191,'Pipe Insulation'!$AM$142:$AN$149,2,FALSE),"")</f>
        <v/>
      </c>
      <c r="G169" s="86" t="str">
        <f>IF('Pipe Insulation'!W191="", "", 'Pipe Insulation'!W191)</f>
        <v/>
      </c>
      <c r="H169" s="76" t="str">
        <f>IFERROR(VLOOKUP('Pipe Insulation'!Y191,'Pipe Insulation'!$AM$152:$AN$153,2,FALSE),"")</f>
        <v/>
      </c>
      <c r="I169" s="68" t="str">
        <f>IF('Pipe Insulation'!Z191="", "", 'Pipe Insulation'!Z191)</f>
        <v/>
      </c>
      <c r="J169" s="480"/>
    </row>
    <row r="170" spans="2:10" s="1" customFormat="1" x14ac:dyDescent="0.25">
      <c r="B170" s="76">
        <f>'Pipe Insulation'!B192</f>
        <v>159</v>
      </c>
      <c r="C170" s="76" t="str">
        <f>IF('Pipe Insulation'!C192="", "", 'Pipe Insulation'!C192)</f>
        <v/>
      </c>
      <c r="D170" s="76" t="str">
        <f>IF('Pipe Insulation'!D192="", "", 'Pipe Insulation'!D192)</f>
        <v/>
      </c>
      <c r="E170" s="69" t="str">
        <f>IF('Pipe Insulation'!E192="", "", 'Pipe Insulation'!E192)</f>
        <v/>
      </c>
      <c r="F170" s="76" t="str">
        <f>IFERROR(VLOOKUP('Pipe Insulation'!G192,'Pipe Insulation'!$AM$142:$AN$149,2,FALSE),"")</f>
        <v/>
      </c>
      <c r="G170" s="86" t="str">
        <f>IF('Pipe Insulation'!W192="", "", 'Pipe Insulation'!W192)</f>
        <v/>
      </c>
      <c r="H170" s="76" t="str">
        <f>IFERROR(VLOOKUP('Pipe Insulation'!Y192,'Pipe Insulation'!$AM$152:$AN$153,2,FALSE),"")</f>
        <v/>
      </c>
      <c r="I170" s="68" t="str">
        <f>IF('Pipe Insulation'!Z192="", "", 'Pipe Insulation'!Z192)</f>
        <v/>
      </c>
      <c r="J170" s="480"/>
    </row>
    <row r="171" spans="2:10" s="1" customFormat="1" x14ac:dyDescent="0.25">
      <c r="B171" s="76">
        <f>'Pipe Insulation'!B193</f>
        <v>160</v>
      </c>
      <c r="C171" s="76" t="str">
        <f>IF('Pipe Insulation'!C193="", "", 'Pipe Insulation'!C193)</f>
        <v/>
      </c>
      <c r="D171" s="76" t="str">
        <f>IF('Pipe Insulation'!D193="", "", 'Pipe Insulation'!D193)</f>
        <v/>
      </c>
      <c r="E171" s="69" t="str">
        <f>IF('Pipe Insulation'!E193="", "", 'Pipe Insulation'!E193)</f>
        <v/>
      </c>
      <c r="F171" s="76" t="str">
        <f>IFERROR(VLOOKUP('Pipe Insulation'!G193,'Pipe Insulation'!$AM$142:$AN$149,2,FALSE),"")</f>
        <v/>
      </c>
      <c r="G171" s="86" t="str">
        <f>IF('Pipe Insulation'!W193="", "", 'Pipe Insulation'!W193)</f>
        <v/>
      </c>
      <c r="H171" s="76" t="str">
        <f>IFERROR(VLOOKUP('Pipe Insulation'!Y193,'Pipe Insulation'!$AM$152:$AN$153,2,FALSE),"")</f>
        <v/>
      </c>
      <c r="I171" s="68" t="str">
        <f>IF('Pipe Insulation'!Z193="", "", 'Pipe Insulation'!Z193)</f>
        <v/>
      </c>
      <c r="J171" s="480"/>
    </row>
    <row r="172" spans="2:10" s="1" customFormat="1" x14ac:dyDescent="0.25">
      <c r="B172" s="76">
        <f>'Pipe Insulation'!B194</f>
        <v>161</v>
      </c>
      <c r="C172" s="76" t="str">
        <f>IF('Pipe Insulation'!C194="", "", 'Pipe Insulation'!C194)</f>
        <v/>
      </c>
      <c r="D172" s="76" t="str">
        <f>IF('Pipe Insulation'!D194="", "", 'Pipe Insulation'!D194)</f>
        <v/>
      </c>
      <c r="E172" s="69" t="str">
        <f>IF('Pipe Insulation'!E194="", "", 'Pipe Insulation'!E194)</f>
        <v/>
      </c>
      <c r="F172" s="76" t="str">
        <f>IFERROR(VLOOKUP('Pipe Insulation'!G194,'Pipe Insulation'!$AM$142:$AN$149,2,FALSE),"")</f>
        <v/>
      </c>
      <c r="G172" s="86" t="str">
        <f>IF('Pipe Insulation'!W194="", "", 'Pipe Insulation'!W194)</f>
        <v/>
      </c>
      <c r="H172" s="76" t="str">
        <f>IFERROR(VLOOKUP('Pipe Insulation'!Y194,'Pipe Insulation'!$AM$152:$AN$153,2,FALSE),"")</f>
        <v/>
      </c>
      <c r="I172" s="68" t="str">
        <f>IF('Pipe Insulation'!Z194="", "", 'Pipe Insulation'!Z194)</f>
        <v/>
      </c>
      <c r="J172" s="480"/>
    </row>
    <row r="173" spans="2:10" s="1" customFormat="1" x14ac:dyDescent="0.25">
      <c r="B173" s="76">
        <f>'Pipe Insulation'!B195</f>
        <v>162</v>
      </c>
      <c r="C173" s="76" t="str">
        <f>IF('Pipe Insulation'!C195="", "", 'Pipe Insulation'!C195)</f>
        <v/>
      </c>
      <c r="D173" s="76" t="str">
        <f>IF('Pipe Insulation'!D195="", "", 'Pipe Insulation'!D195)</f>
        <v/>
      </c>
      <c r="E173" s="69" t="str">
        <f>IF('Pipe Insulation'!E195="", "", 'Pipe Insulation'!E195)</f>
        <v/>
      </c>
      <c r="F173" s="76" t="str">
        <f>IFERROR(VLOOKUP('Pipe Insulation'!G195,'Pipe Insulation'!$AM$142:$AN$149,2,FALSE),"")</f>
        <v/>
      </c>
      <c r="G173" s="86" t="str">
        <f>IF('Pipe Insulation'!W195="", "", 'Pipe Insulation'!W195)</f>
        <v/>
      </c>
      <c r="H173" s="76" t="str">
        <f>IFERROR(VLOOKUP('Pipe Insulation'!Y195,'Pipe Insulation'!$AM$152:$AN$153,2,FALSE),"")</f>
        <v/>
      </c>
      <c r="I173" s="68" t="str">
        <f>IF('Pipe Insulation'!Z195="", "", 'Pipe Insulation'!Z195)</f>
        <v/>
      </c>
      <c r="J173" s="480"/>
    </row>
    <row r="174" spans="2:10" s="1" customFormat="1" x14ac:dyDescent="0.25">
      <c r="B174" s="76">
        <f>'Pipe Insulation'!B196</f>
        <v>163</v>
      </c>
      <c r="C174" s="76" t="str">
        <f>IF('Pipe Insulation'!C196="", "", 'Pipe Insulation'!C196)</f>
        <v/>
      </c>
      <c r="D174" s="76" t="str">
        <f>IF('Pipe Insulation'!D196="", "", 'Pipe Insulation'!D196)</f>
        <v/>
      </c>
      <c r="E174" s="69" t="str">
        <f>IF('Pipe Insulation'!E196="", "", 'Pipe Insulation'!E196)</f>
        <v/>
      </c>
      <c r="F174" s="76" t="str">
        <f>IFERROR(VLOOKUP('Pipe Insulation'!G196,'Pipe Insulation'!$AM$142:$AN$149,2,FALSE),"")</f>
        <v/>
      </c>
      <c r="G174" s="86" t="str">
        <f>IF('Pipe Insulation'!W196="", "", 'Pipe Insulation'!W196)</f>
        <v/>
      </c>
      <c r="H174" s="76" t="str">
        <f>IFERROR(VLOOKUP('Pipe Insulation'!Y196,'Pipe Insulation'!$AM$152:$AN$153,2,FALSE),"")</f>
        <v/>
      </c>
      <c r="I174" s="68" t="str">
        <f>IF('Pipe Insulation'!Z196="", "", 'Pipe Insulation'!Z196)</f>
        <v/>
      </c>
      <c r="J174" s="480"/>
    </row>
    <row r="175" spans="2:10" s="1" customFormat="1" x14ac:dyDescent="0.25">
      <c r="B175" s="76">
        <f>'Pipe Insulation'!B197</f>
        <v>164</v>
      </c>
      <c r="C175" s="76" t="str">
        <f>IF('Pipe Insulation'!C197="", "", 'Pipe Insulation'!C197)</f>
        <v/>
      </c>
      <c r="D175" s="76" t="str">
        <f>IF('Pipe Insulation'!D197="", "", 'Pipe Insulation'!D197)</f>
        <v/>
      </c>
      <c r="E175" s="69" t="str">
        <f>IF('Pipe Insulation'!E197="", "", 'Pipe Insulation'!E197)</f>
        <v/>
      </c>
      <c r="F175" s="76" t="str">
        <f>IFERROR(VLOOKUP('Pipe Insulation'!G197,'Pipe Insulation'!$AM$142:$AN$149,2,FALSE),"")</f>
        <v/>
      </c>
      <c r="G175" s="86" t="str">
        <f>IF('Pipe Insulation'!W197="", "", 'Pipe Insulation'!W197)</f>
        <v/>
      </c>
      <c r="H175" s="76" t="str">
        <f>IFERROR(VLOOKUP('Pipe Insulation'!Y197,'Pipe Insulation'!$AM$152:$AN$153,2,FALSE),"")</f>
        <v/>
      </c>
      <c r="I175" s="68" t="str">
        <f>IF('Pipe Insulation'!Z197="", "", 'Pipe Insulation'!Z197)</f>
        <v/>
      </c>
      <c r="J175" s="480"/>
    </row>
    <row r="176" spans="2:10" s="1" customFormat="1" x14ac:dyDescent="0.25">
      <c r="B176" s="76">
        <f>'Pipe Insulation'!B198</f>
        <v>165</v>
      </c>
      <c r="C176" s="76" t="str">
        <f>IF('Pipe Insulation'!C198="", "", 'Pipe Insulation'!C198)</f>
        <v/>
      </c>
      <c r="D176" s="76" t="str">
        <f>IF('Pipe Insulation'!D198="", "", 'Pipe Insulation'!D198)</f>
        <v/>
      </c>
      <c r="E176" s="69" t="str">
        <f>IF('Pipe Insulation'!E198="", "", 'Pipe Insulation'!E198)</f>
        <v/>
      </c>
      <c r="F176" s="76" t="str">
        <f>IFERROR(VLOOKUP('Pipe Insulation'!G198,'Pipe Insulation'!$AM$142:$AN$149,2,FALSE),"")</f>
        <v/>
      </c>
      <c r="G176" s="86" t="str">
        <f>IF('Pipe Insulation'!W198="", "", 'Pipe Insulation'!W198)</f>
        <v/>
      </c>
      <c r="H176" s="76" t="str">
        <f>IFERROR(VLOOKUP('Pipe Insulation'!Y198,'Pipe Insulation'!$AM$152:$AN$153,2,FALSE),"")</f>
        <v/>
      </c>
      <c r="I176" s="68" t="str">
        <f>IF('Pipe Insulation'!Z198="", "", 'Pipe Insulation'!Z198)</f>
        <v/>
      </c>
      <c r="J176" s="480"/>
    </row>
    <row r="177" spans="2:10" s="1" customFormat="1" x14ac:dyDescent="0.25">
      <c r="B177" s="76">
        <f>'Pipe Insulation'!B199</f>
        <v>166</v>
      </c>
      <c r="C177" s="76" t="str">
        <f>IF('Pipe Insulation'!C199="", "", 'Pipe Insulation'!C199)</f>
        <v/>
      </c>
      <c r="D177" s="76" t="str">
        <f>IF('Pipe Insulation'!D199="", "", 'Pipe Insulation'!D199)</f>
        <v/>
      </c>
      <c r="E177" s="69" t="str">
        <f>IF('Pipe Insulation'!E199="", "", 'Pipe Insulation'!E199)</f>
        <v/>
      </c>
      <c r="F177" s="76" t="str">
        <f>IFERROR(VLOOKUP('Pipe Insulation'!G199,'Pipe Insulation'!$AM$142:$AN$149,2,FALSE),"")</f>
        <v/>
      </c>
      <c r="G177" s="86" t="str">
        <f>IF('Pipe Insulation'!W199="", "", 'Pipe Insulation'!W199)</f>
        <v/>
      </c>
      <c r="H177" s="76" t="str">
        <f>IFERROR(VLOOKUP('Pipe Insulation'!Y199,'Pipe Insulation'!$AM$152:$AN$153,2,FALSE),"")</f>
        <v/>
      </c>
      <c r="I177" s="68" t="str">
        <f>IF('Pipe Insulation'!Z199="", "", 'Pipe Insulation'!Z199)</f>
        <v/>
      </c>
      <c r="J177" s="480"/>
    </row>
    <row r="178" spans="2:10" s="1" customFormat="1" x14ac:dyDescent="0.25">
      <c r="B178" s="76">
        <f>'Pipe Insulation'!B200</f>
        <v>167</v>
      </c>
      <c r="C178" s="76" t="str">
        <f>IF('Pipe Insulation'!C200="", "", 'Pipe Insulation'!C200)</f>
        <v/>
      </c>
      <c r="D178" s="76" t="str">
        <f>IF('Pipe Insulation'!D200="", "", 'Pipe Insulation'!D200)</f>
        <v/>
      </c>
      <c r="E178" s="69" t="str">
        <f>IF('Pipe Insulation'!E200="", "", 'Pipe Insulation'!E200)</f>
        <v/>
      </c>
      <c r="F178" s="76" t="str">
        <f>IFERROR(VLOOKUP('Pipe Insulation'!G200,'Pipe Insulation'!$AM$142:$AN$149,2,FALSE),"")</f>
        <v/>
      </c>
      <c r="G178" s="86" t="str">
        <f>IF('Pipe Insulation'!W200="", "", 'Pipe Insulation'!W200)</f>
        <v/>
      </c>
      <c r="H178" s="76" t="str">
        <f>IFERROR(VLOOKUP('Pipe Insulation'!Y200,'Pipe Insulation'!$AM$152:$AN$153,2,FALSE),"")</f>
        <v/>
      </c>
      <c r="I178" s="68" t="str">
        <f>IF('Pipe Insulation'!Z200="", "", 'Pipe Insulation'!Z200)</f>
        <v/>
      </c>
      <c r="J178" s="480"/>
    </row>
    <row r="179" spans="2:10" s="1" customFormat="1" x14ac:dyDescent="0.25">
      <c r="B179" s="76">
        <f>'Pipe Insulation'!B201</f>
        <v>168</v>
      </c>
      <c r="C179" s="76" t="str">
        <f>IF('Pipe Insulation'!C201="", "", 'Pipe Insulation'!C201)</f>
        <v/>
      </c>
      <c r="D179" s="76" t="str">
        <f>IF('Pipe Insulation'!D201="", "", 'Pipe Insulation'!D201)</f>
        <v/>
      </c>
      <c r="E179" s="69" t="str">
        <f>IF('Pipe Insulation'!E201="", "", 'Pipe Insulation'!E201)</f>
        <v/>
      </c>
      <c r="F179" s="76" t="str">
        <f>IFERROR(VLOOKUP('Pipe Insulation'!G201,'Pipe Insulation'!$AM$142:$AN$149,2,FALSE),"")</f>
        <v/>
      </c>
      <c r="G179" s="86" t="str">
        <f>IF('Pipe Insulation'!W201="", "", 'Pipe Insulation'!W201)</f>
        <v/>
      </c>
      <c r="H179" s="76" t="str">
        <f>IFERROR(VLOOKUP('Pipe Insulation'!Y201,'Pipe Insulation'!$AM$152:$AN$153,2,FALSE),"")</f>
        <v/>
      </c>
      <c r="I179" s="68" t="str">
        <f>IF('Pipe Insulation'!Z201="", "", 'Pipe Insulation'!Z201)</f>
        <v/>
      </c>
      <c r="J179" s="480"/>
    </row>
    <row r="180" spans="2:10" s="1" customFormat="1" x14ac:dyDescent="0.25">
      <c r="B180" s="76">
        <f>'Pipe Insulation'!B202</f>
        <v>169</v>
      </c>
      <c r="C180" s="76" t="str">
        <f>IF('Pipe Insulation'!C202="", "", 'Pipe Insulation'!C202)</f>
        <v/>
      </c>
      <c r="D180" s="76" t="str">
        <f>IF('Pipe Insulation'!D202="", "", 'Pipe Insulation'!D202)</f>
        <v/>
      </c>
      <c r="E180" s="69" t="str">
        <f>IF('Pipe Insulation'!E202="", "", 'Pipe Insulation'!E202)</f>
        <v/>
      </c>
      <c r="F180" s="76" t="str">
        <f>IFERROR(VLOOKUP('Pipe Insulation'!G202,'Pipe Insulation'!$AM$142:$AN$149,2,FALSE),"")</f>
        <v/>
      </c>
      <c r="G180" s="86" t="str">
        <f>IF('Pipe Insulation'!W202="", "", 'Pipe Insulation'!W202)</f>
        <v/>
      </c>
      <c r="H180" s="76" t="str">
        <f>IFERROR(VLOOKUP('Pipe Insulation'!Y202,'Pipe Insulation'!$AM$152:$AN$153,2,FALSE),"")</f>
        <v/>
      </c>
      <c r="I180" s="68" t="str">
        <f>IF('Pipe Insulation'!Z202="", "", 'Pipe Insulation'!Z202)</f>
        <v/>
      </c>
      <c r="J180" s="480"/>
    </row>
    <row r="181" spans="2:10" s="1" customFormat="1" x14ac:dyDescent="0.25">
      <c r="B181" s="76">
        <f>'Pipe Insulation'!B203</f>
        <v>170</v>
      </c>
      <c r="C181" s="76" t="str">
        <f>IF('Pipe Insulation'!C203="", "", 'Pipe Insulation'!C203)</f>
        <v/>
      </c>
      <c r="D181" s="76" t="str">
        <f>IF('Pipe Insulation'!D203="", "", 'Pipe Insulation'!D203)</f>
        <v/>
      </c>
      <c r="E181" s="69" t="str">
        <f>IF('Pipe Insulation'!E203="", "", 'Pipe Insulation'!E203)</f>
        <v/>
      </c>
      <c r="F181" s="76" t="str">
        <f>IFERROR(VLOOKUP('Pipe Insulation'!G203,'Pipe Insulation'!$AM$142:$AN$149,2,FALSE),"")</f>
        <v/>
      </c>
      <c r="G181" s="86" t="str">
        <f>IF('Pipe Insulation'!W203="", "", 'Pipe Insulation'!W203)</f>
        <v/>
      </c>
      <c r="H181" s="76" t="str">
        <f>IFERROR(VLOOKUP('Pipe Insulation'!Y203,'Pipe Insulation'!$AM$152:$AN$153,2,FALSE),"")</f>
        <v/>
      </c>
      <c r="I181" s="68" t="str">
        <f>IF('Pipe Insulation'!Z203="", "", 'Pipe Insulation'!Z203)</f>
        <v/>
      </c>
      <c r="J181" s="480"/>
    </row>
    <row r="182" spans="2:10" s="1" customFormat="1" x14ac:dyDescent="0.25">
      <c r="B182" s="76">
        <f>'Pipe Insulation'!B204</f>
        <v>171</v>
      </c>
      <c r="C182" s="76" t="str">
        <f>IF('Pipe Insulation'!C204="", "", 'Pipe Insulation'!C204)</f>
        <v/>
      </c>
      <c r="D182" s="76" t="str">
        <f>IF('Pipe Insulation'!D204="", "", 'Pipe Insulation'!D204)</f>
        <v/>
      </c>
      <c r="E182" s="69" t="str">
        <f>IF('Pipe Insulation'!E204="", "", 'Pipe Insulation'!E204)</f>
        <v/>
      </c>
      <c r="F182" s="76" t="str">
        <f>IFERROR(VLOOKUP('Pipe Insulation'!G204,'Pipe Insulation'!$AM$142:$AN$149,2,FALSE),"")</f>
        <v/>
      </c>
      <c r="G182" s="86" t="str">
        <f>IF('Pipe Insulation'!W204="", "", 'Pipe Insulation'!W204)</f>
        <v/>
      </c>
      <c r="H182" s="76" t="str">
        <f>IFERROR(VLOOKUP('Pipe Insulation'!Y204,'Pipe Insulation'!$AM$152:$AN$153,2,FALSE),"")</f>
        <v/>
      </c>
      <c r="I182" s="68" t="str">
        <f>IF('Pipe Insulation'!Z204="", "", 'Pipe Insulation'!Z204)</f>
        <v/>
      </c>
      <c r="J182" s="480"/>
    </row>
    <row r="183" spans="2:10" s="1" customFormat="1" x14ac:dyDescent="0.25">
      <c r="B183" s="76">
        <f>'Pipe Insulation'!B205</f>
        <v>172</v>
      </c>
      <c r="C183" s="76" t="str">
        <f>IF('Pipe Insulation'!C205="", "", 'Pipe Insulation'!C205)</f>
        <v/>
      </c>
      <c r="D183" s="76" t="str">
        <f>IF('Pipe Insulation'!D205="", "", 'Pipe Insulation'!D205)</f>
        <v/>
      </c>
      <c r="E183" s="69" t="str">
        <f>IF('Pipe Insulation'!E205="", "", 'Pipe Insulation'!E205)</f>
        <v/>
      </c>
      <c r="F183" s="76" t="str">
        <f>IFERROR(VLOOKUP('Pipe Insulation'!G205,'Pipe Insulation'!$AM$142:$AN$149,2,FALSE),"")</f>
        <v/>
      </c>
      <c r="G183" s="86" t="str">
        <f>IF('Pipe Insulation'!W205="", "", 'Pipe Insulation'!W205)</f>
        <v/>
      </c>
      <c r="H183" s="76" t="str">
        <f>IFERROR(VLOOKUP('Pipe Insulation'!Y205,'Pipe Insulation'!$AM$152:$AN$153,2,FALSE),"")</f>
        <v/>
      </c>
      <c r="I183" s="68" t="str">
        <f>IF('Pipe Insulation'!Z205="", "", 'Pipe Insulation'!Z205)</f>
        <v/>
      </c>
      <c r="J183" s="480"/>
    </row>
    <row r="184" spans="2:10" s="1" customFormat="1" x14ac:dyDescent="0.25">
      <c r="B184" s="76">
        <f>'Pipe Insulation'!B206</f>
        <v>173</v>
      </c>
      <c r="C184" s="76" t="str">
        <f>IF('Pipe Insulation'!C206="", "", 'Pipe Insulation'!C206)</f>
        <v/>
      </c>
      <c r="D184" s="76" t="str">
        <f>IF('Pipe Insulation'!D206="", "", 'Pipe Insulation'!D206)</f>
        <v/>
      </c>
      <c r="E184" s="69" t="str">
        <f>IF('Pipe Insulation'!E206="", "", 'Pipe Insulation'!E206)</f>
        <v/>
      </c>
      <c r="F184" s="76" t="str">
        <f>IFERROR(VLOOKUP('Pipe Insulation'!G206,'Pipe Insulation'!$AM$142:$AN$149,2,FALSE),"")</f>
        <v/>
      </c>
      <c r="G184" s="86" t="str">
        <f>IF('Pipe Insulation'!W206="", "", 'Pipe Insulation'!W206)</f>
        <v/>
      </c>
      <c r="H184" s="76" t="str">
        <f>IFERROR(VLOOKUP('Pipe Insulation'!Y206,'Pipe Insulation'!$AM$152:$AN$153,2,FALSE),"")</f>
        <v/>
      </c>
      <c r="I184" s="68" t="str">
        <f>IF('Pipe Insulation'!Z206="", "", 'Pipe Insulation'!Z206)</f>
        <v/>
      </c>
      <c r="J184" s="480"/>
    </row>
    <row r="185" spans="2:10" s="1" customFormat="1" x14ac:dyDescent="0.25">
      <c r="B185" s="76">
        <f>'Pipe Insulation'!B207</f>
        <v>174</v>
      </c>
      <c r="C185" s="76" t="str">
        <f>IF('Pipe Insulation'!C207="", "", 'Pipe Insulation'!C207)</f>
        <v/>
      </c>
      <c r="D185" s="76" t="str">
        <f>IF('Pipe Insulation'!D207="", "", 'Pipe Insulation'!D207)</f>
        <v/>
      </c>
      <c r="E185" s="69" t="str">
        <f>IF('Pipe Insulation'!E207="", "", 'Pipe Insulation'!E207)</f>
        <v/>
      </c>
      <c r="F185" s="76" t="str">
        <f>IFERROR(VLOOKUP('Pipe Insulation'!G207,'Pipe Insulation'!$AM$142:$AN$149,2,FALSE),"")</f>
        <v/>
      </c>
      <c r="G185" s="86" t="str">
        <f>IF('Pipe Insulation'!W207="", "", 'Pipe Insulation'!W207)</f>
        <v/>
      </c>
      <c r="H185" s="76" t="str">
        <f>IFERROR(VLOOKUP('Pipe Insulation'!Y207,'Pipe Insulation'!$AM$152:$AN$153,2,FALSE),"")</f>
        <v/>
      </c>
      <c r="I185" s="68" t="str">
        <f>IF('Pipe Insulation'!Z207="", "", 'Pipe Insulation'!Z207)</f>
        <v/>
      </c>
      <c r="J185" s="480"/>
    </row>
    <row r="186" spans="2:10" s="1" customFormat="1" x14ac:dyDescent="0.25">
      <c r="B186" s="76">
        <f>'Pipe Insulation'!B208</f>
        <v>175</v>
      </c>
      <c r="C186" s="76" t="str">
        <f>IF('Pipe Insulation'!C208="", "", 'Pipe Insulation'!C208)</f>
        <v/>
      </c>
      <c r="D186" s="76" t="str">
        <f>IF('Pipe Insulation'!D208="", "", 'Pipe Insulation'!D208)</f>
        <v/>
      </c>
      <c r="E186" s="69" t="str">
        <f>IF('Pipe Insulation'!E208="", "", 'Pipe Insulation'!E208)</f>
        <v/>
      </c>
      <c r="F186" s="76" t="str">
        <f>IFERROR(VLOOKUP('Pipe Insulation'!G208,'Pipe Insulation'!$AM$142:$AN$149,2,FALSE),"")</f>
        <v/>
      </c>
      <c r="G186" s="86" t="str">
        <f>IF('Pipe Insulation'!W208="", "", 'Pipe Insulation'!W208)</f>
        <v/>
      </c>
      <c r="H186" s="76" t="str">
        <f>IFERROR(VLOOKUP('Pipe Insulation'!Y208,'Pipe Insulation'!$AM$152:$AN$153,2,FALSE),"")</f>
        <v/>
      </c>
      <c r="I186" s="68" t="str">
        <f>IF('Pipe Insulation'!Z208="", "", 'Pipe Insulation'!Z208)</f>
        <v/>
      </c>
      <c r="J186" s="480"/>
    </row>
    <row r="187" spans="2:10" s="1" customFormat="1" x14ac:dyDescent="0.25">
      <c r="B187" s="76">
        <f>'Pipe Insulation'!B209</f>
        <v>176</v>
      </c>
      <c r="C187" s="76" t="str">
        <f>IF('Pipe Insulation'!C209="", "", 'Pipe Insulation'!C209)</f>
        <v/>
      </c>
      <c r="D187" s="76" t="str">
        <f>IF('Pipe Insulation'!D209="", "", 'Pipe Insulation'!D209)</f>
        <v/>
      </c>
      <c r="E187" s="69" t="str">
        <f>IF('Pipe Insulation'!E209="", "", 'Pipe Insulation'!E209)</f>
        <v/>
      </c>
      <c r="F187" s="76" t="str">
        <f>IFERROR(VLOOKUP('Pipe Insulation'!G209,'Pipe Insulation'!$AM$142:$AN$149,2,FALSE),"")</f>
        <v/>
      </c>
      <c r="G187" s="86" t="str">
        <f>IF('Pipe Insulation'!W209="", "", 'Pipe Insulation'!W209)</f>
        <v/>
      </c>
      <c r="H187" s="76" t="str">
        <f>IFERROR(VLOOKUP('Pipe Insulation'!Y209,'Pipe Insulation'!$AM$152:$AN$153,2,FALSE),"")</f>
        <v/>
      </c>
      <c r="I187" s="68" t="str">
        <f>IF('Pipe Insulation'!Z209="", "", 'Pipe Insulation'!Z209)</f>
        <v/>
      </c>
      <c r="J187" s="480"/>
    </row>
    <row r="188" spans="2:10" s="1" customFormat="1" x14ac:dyDescent="0.25">
      <c r="B188" s="76">
        <f>'Pipe Insulation'!B210</f>
        <v>177</v>
      </c>
      <c r="C188" s="76" t="str">
        <f>IF('Pipe Insulation'!C210="", "", 'Pipe Insulation'!C210)</f>
        <v/>
      </c>
      <c r="D188" s="76" t="str">
        <f>IF('Pipe Insulation'!D210="", "", 'Pipe Insulation'!D210)</f>
        <v/>
      </c>
      <c r="E188" s="69" t="str">
        <f>IF('Pipe Insulation'!E210="", "", 'Pipe Insulation'!E210)</f>
        <v/>
      </c>
      <c r="F188" s="76" t="str">
        <f>IFERROR(VLOOKUP('Pipe Insulation'!G210,'Pipe Insulation'!$AM$142:$AN$149,2,FALSE),"")</f>
        <v/>
      </c>
      <c r="G188" s="86" t="str">
        <f>IF('Pipe Insulation'!W210="", "", 'Pipe Insulation'!W210)</f>
        <v/>
      </c>
      <c r="H188" s="76" t="str">
        <f>IFERROR(VLOOKUP('Pipe Insulation'!Y210,'Pipe Insulation'!$AM$152:$AN$153,2,FALSE),"")</f>
        <v/>
      </c>
      <c r="I188" s="68" t="str">
        <f>IF('Pipe Insulation'!Z210="", "", 'Pipe Insulation'!Z210)</f>
        <v/>
      </c>
      <c r="J188" s="480"/>
    </row>
    <row r="189" spans="2:10" s="1" customFormat="1" x14ac:dyDescent="0.25">
      <c r="B189" s="76">
        <f>'Pipe Insulation'!B211</f>
        <v>178</v>
      </c>
      <c r="C189" s="76" t="str">
        <f>IF('Pipe Insulation'!C211="", "", 'Pipe Insulation'!C211)</f>
        <v/>
      </c>
      <c r="D189" s="76" t="str">
        <f>IF('Pipe Insulation'!D211="", "", 'Pipe Insulation'!D211)</f>
        <v/>
      </c>
      <c r="E189" s="69" t="str">
        <f>IF('Pipe Insulation'!E211="", "", 'Pipe Insulation'!E211)</f>
        <v/>
      </c>
      <c r="F189" s="76" t="str">
        <f>IFERROR(VLOOKUP('Pipe Insulation'!G211,'Pipe Insulation'!$AM$142:$AN$149,2,FALSE),"")</f>
        <v/>
      </c>
      <c r="G189" s="86" t="str">
        <f>IF('Pipe Insulation'!W211="", "", 'Pipe Insulation'!W211)</f>
        <v/>
      </c>
      <c r="H189" s="76" t="str">
        <f>IFERROR(VLOOKUP('Pipe Insulation'!Y211,'Pipe Insulation'!$AM$152:$AN$153,2,FALSE),"")</f>
        <v/>
      </c>
      <c r="I189" s="68" t="str">
        <f>IF('Pipe Insulation'!Z211="", "", 'Pipe Insulation'!Z211)</f>
        <v/>
      </c>
      <c r="J189" s="480"/>
    </row>
    <row r="190" spans="2:10" s="1" customFormat="1" x14ac:dyDescent="0.25">
      <c r="B190" s="76">
        <f>'Pipe Insulation'!B212</f>
        <v>179</v>
      </c>
      <c r="C190" s="76" t="str">
        <f>IF('Pipe Insulation'!C212="", "", 'Pipe Insulation'!C212)</f>
        <v/>
      </c>
      <c r="D190" s="76" t="str">
        <f>IF('Pipe Insulation'!D212="", "", 'Pipe Insulation'!D212)</f>
        <v/>
      </c>
      <c r="E190" s="69" t="str">
        <f>IF('Pipe Insulation'!E212="", "", 'Pipe Insulation'!E212)</f>
        <v/>
      </c>
      <c r="F190" s="76" t="str">
        <f>IFERROR(VLOOKUP('Pipe Insulation'!G212,'Pipe Insulation'!$AM$142:$AN$149,2,FALSE),"")</f>
        <v/>
      </c>
      <c r="G190" s="86" t="str">
        <f>IF('Pipe Insulation'!W212="", "", 'Pipe Insulation'!W212)</f>
        <v/>
      </c>
      <c r="H190" s="76" t="str">
        <f>IFERROR(VLOOKUP('Pipe Insulation'!Y212,'Pipe Insulation'!$AM$152:$AN$153,2,FALSE),"")</f>
        <v/>
      </c>
      <c r="I190" s="68" t="str">
        <f>IF('Pipe Insulation'!Z212="", "", 'Pipe Insulation'!Z212)</f>
        <v/>
      </c>
      <c r="J190" s="480"/>
    </row>
    <row r="191" spans="2:10" s="1" customFormat="1" x14ac:dyDescent="0.25">
      <c r="B191" s="76">
        <f>'Pipe Insulation'!B213</f>
        <v>180</v>
      </c>
      <c r="C191" s="76" t="str">
        <f>IF('Pipe Insulation'!C213="", "", 'Pipe Insulation'!C213)</f>
        <v/>
      </c>
      <c r="D191" s="76" t="str">
        <f>IF('Pipe Insulation'!D213="", "", 'Pipe Insulation'!D213)</f>
        <v/>
      </c>
      <c r="E191" s="69" t="str">
        <f>IF('Pipe Insulation'!E213="", "", 'Pipe Insulation'!E213)</f>
        <v/>
      </c>
      <c r="F191" s="76" t="str">
        <f>IFERROR(VLOOKUP('Pipe Insulation'!G213,'Pipe Insulation'!$AM$142:$AN$149,2,FALSE),"")</f>
        <v/>
      </c>
      <c r="G191" s="86" t="str">
        <f>IF('Pipe Insulation'!W213="", "", 'Pipe Insulation'!W213)</f>
        <v/>
      </c>
      <c r="H191" s="76" t="str">
        <f>IFERROR(VLOOKUP('Pipe Insulation'!Y213,'Pipe Insulation'!$AM$152:$AN$153,2,FALSE),"")</f>
        <v/>
      </c>
      <c r="I191" s="68" t="str">
        <f>IF('Pipe Insulation'!Z213="", "", 'Pipe Insulation'!Z213)</f>
        <v/>
      </c>
      <c r="J191" s="480"/>
    </row>
    <row r="192" spans="2:10" s="1" customFormat="1" x14ac:dyDescent="0.25">
      <c r="B192" s="76">
        <f>'Pipe Insulation'!B214</f>
        <v>181</v>
      </c>
      <c r="C192" s="76" t="str">
        <f>IF('Pipe Insulation'!C214="", "", 'Pipe Insulation'!C214)</f>
        <v/>
      </c>
      <c r="D192" s="76" t="str">
        <f>IF('Pipe Insulation'!D214="", "", 'Pipe Insulation'!D214)</f>
        <v/>
      </c>
      <c r="E192" s="69" t="str">
        <f>IF('Pipe Insulation'!E214="", "", 'Pipe Insulation'!E214)</f>
        <v/>
      </c>
      <c r="F192" s="76" t="str">
        <f>IFERROR(VLOOKUP('Pipe Insulation'!G214,'Pipe Insulation'!$AM$142:$AN$149,2,FALSE),"")</f>
        <v/>
      </c>
      <c r="G192" s="86" t="str">
        <f>IF('Pipe Insulation'!W214="", "", 'Pipe Insulation'!W214)</f>
        <v/>
      </c>
      <c r="H192" s="76" t="str">
        <f>IFERROR(VLOOKUP('Pipe Insulation'!Y214,'Pipe Insulation'!$AM$152:$AN$153,2,FALSE),"")</f>
        <v/>
      </c>
      <c r="I192" s="68" t="str">
        <f>IF('Pipe Insulation'!Z214="", "", 'Pipe Insulation'!Z214)</f>
        <v/>
      </c>
      <c r="J192" s="480"/>
    </row>
    <row r="193" spans="2:10" s="1" customFormat="1" x14ac:dyDescent="0.25">
      <c r="B193" s="76">
        <f>'Pipe Insulation'!B215</f>
        <v>182</v>
      </c>
      <c r="C193" s="76" t="str">
        <f>IF('Pipe Insulation'!C215="", "", 'Pipe Insulation'!C215)</f>
        <v/>
      </c>
      <c r="D193" s="76" t="str">
        <f>IF('Pipe Insulation'!D215="", "", 'Pipe Insulation'!D215)</f>
        <v/>
      </c>
      <c r="E193" s="69" t="str">
        <f>IF('Pipe Insulation'!E215="", "", 'Pipe Insulation'!E215)</f>
        <v/>
      </c>
      <c r="F193" s="76" t="str">
        <f>IFERROR(VLOOKUP('Pipe Insulation'!G215,'Pipe Insulation'!$AM$142:$AN$149,2,FALSE),"")</f>
        <v/>
      </c>
      <c r="G193" s="86" t="str">
        <f>IF('Pipe Insulation'!W215="", "", 'Pipe Insulation'!W215)</f>
        <v/>
      </c>
      <c r="H193" s="76" t="str">
        <f>IFERROR(VLOOKUP('Pipe Insulation'!Y215,'Pipe Insulation'!$AM$152:$AN$153,2,FALSE),"")</f>
        <v/>
      </c>
      <c r="I193" s="68" t="str">
        <f>IF('Pipe Insulation'!Z215="", "", 'Pipe Insulation'!Z215)</f>
        <v/>
      </c>
      <c r="J193" s="480"/>
    </row>
    <row r="194" spans="2:10" s="1" customFormat="1" x14ac:dyDescent="0.25">
      <c r="B194" s="76">
        <f>'Pipe Insulation'!B216</f>
        <v>183</v>
      </c>
      <c r="C194" s="76" t="str">
        <f>IF('Pipe Insulation'!C216="", "", 'Pipe Insulation'!C216)</f>
        <v/>
      </c>
      <c r="D194" s="76" t="str">
        <f>IF('Pipe Insulation'!D216="", "", 'Pipe Insulation'!D216)</f>
        <v/>
      </c>
      <c r="E194" s="69" t="str">
        <f>IF('Pipe Insulation'!E216="", "", 'Pipe Insulation'!E216)</f>
        <v/>
      </c>
      <c r="F194" s="76" t="str">
        <f>IFERROR(VLOOKUP('Pipe Insulation'!G216,'Pipe Insulation'!$AM$142:$AN$149,2,FALSE),"")</f>
        <v/>
      </c>
      <c r="G194" s="86" t="str">
        <f>IF('Pipe Insulation'!W216="", "", 'Pipe Insulation'!W216)</f>
        <v/>
      </c>
      <c r="H194" s="76" t="str">
        <f>IFERROR(VLOOKUP('Pipe Insulation'!Y216,'Pipe Insulation'!$AM$152:$AN$153,2,FALSE),"")</f>
        <v/>
      </c>
      <c r="I194" s="68" t="str">
        <f>IF('Pipe Insulation'!Z216="", "", 'Pipe Insulation'!Z216)</f>
        <v/>
      </c>
      <c r="J194" s="480"/>
    </row>
    <row r="195" spans="2:10" s="1" customFormat="1" x14ac:dyDescent="0.25">
      <c r="B195" s="76">
        <f>'Pipe Insulation'!B217</f>
        <v>184</v>
      </c>
      <c r="C195" s="76" t="str">
        <f>IF('Pipe Insulation'!C217="", "", 'Pipe Insulation'!C217)</f>
        <v/>
      </c>
      <c r="D195" s="76" t="str">
        <f>IF('Pipe Insulation'!D217="", "", 'Pipe Insulation'!D217)</f>
        <v/>
      </c>
      <c r="E195" s="69" t="str">
        <f>IF('Pipe Insulation'!E217="", "", 'Pipe Insulation'!E217)</f>
        <v/>
      </c>
      <c r="F195" s="76" t="str">
        <f>IFERROR(VLOOKUP('Pipe Insulation'!G217,'Pipe Insulation'!$AM$142:$AN$149,2,FALSE),"")</f>
        <v/>
      </c>
      <c r="G195" s="86" t="str">
        <f>IF('Pipe Insulation'!W217="", "", 'Pipe Insulation'!W217)</f>
        <v/>
      </c>
      <c r="H195" s="76" t="str">
        <f>IFERROR(VLOOKUP('Pipe Insulation'!Y217,'Pipe Insulation'!$AM$152:$AN$153,2,FALSE),"")</f>
        <v/>
      </c>
      <c r="I195" s="68" t="str">
        <f>IF('Pipe Insulation'!Z217="", "", 'Pipe Insulation'!Z217)</f>
        <v/>
      </c>
      <c r="J195" s="480"/>
    </row>
    <row r="196" spans="2:10" s="1" customFormat="1" x14ac:dyDescent="0.25">
      <c r="B196" s="76">
        <f>'Pipe Insulation'!B218</f>
        <v>185</v>
      </c>
      <c r="C196" s="76" t="str">
        <f>IF('Pipe Insulation'!C218="", "", 'Pipe Insulation'!C218)</f>
        <v/>
      </c>
      <c r="D196" s="76" t="str">
        <f>IF('Pipe Insulation'!D218="", "", 'Pipe Insulation'!D218)</f>
        <v/>
      </c>
      <c r="E196" s="69" t="str">
        <f>IF('Pipe Insulation'!E218="", "", 'Pipe Insulation'!E218)</f>
        <v/>
      </c>
      <c r="F196" s="76" t="str">
        <f>IFERROR(VLOOKUP('Pipe Insulation'!G218,'Pipe Insulation'!$AM$142:$AN$149,2,FALSE),"")</f>
        <v/>
      </c>
      <c r="G196" s="86" t="str">
        <f>IF('Pipe Insulation'!W218="", "", 'Pipe Insulation'!W218)</f>
        <v/>
      </c>
      <c r="H196" s="76" t="str">
        <f>IFERROR(VLOOKUP('Pipe Insulation'!Y218,'Pipe Insulation'!$AM$152:$AN$153,2,FALSE),"")</f>
        <v/>
      </c>
      <c r="I196" s="68" t="str">
        <f>IF('Pipe Insulation'!Z218="", "", 'Pipe Insulation'!Z218)</f>
        <v/>
      </c>
      <c r="J196" s="480"/>
    </row>
    <row r="197" spans="2:10" s="1" customFormat="1" x14ac:dyDescent="0.25">
      <c r="B197" s="76">
        <f>'Pipe Insulation'!B219</f>
        <v>186</v>
      </c>
      <c r="C197" s="76" t="str">
        <f>IF('Pipe Insulation'!C219="", "", 'Pipe Insulation'!C219)</f>
        <v/>
      </c>
      <c r="D197" s="76" t="str">
        <f>IF('Pipe Insulation'!D219="", "", 'Pipe Insulation'!D219)</f>
        <v/>
      </c>
      <c r="E197" s="69" t="str">
        <f>IF('Pipe Insulation'!E219="", "", 'Pipe Insulation'!E219)</f>
        <v/>
      </c>
      <c r="F197" s="76" t="str">
        <f>IFERROR(VLOOKUP('Pipe Insulation'!G219,'Pipe Insulation'!$AM$142:$AN$149,2,FALSE),"")</f>
        <v/>
      </c>
      <c r="G197" s="86" t="str">
        <f>IF('Pipe Insulation'!W219="", "", 'Pipe Insulation'!W219)</f>
        <v/>
      </c>
      <c r="H197" s="76" t="str">
        <f>IFERROR(VLOOKUP('Pipe Insulation'!Y219,'Pipe Insulation'!$AM$152:$AN$153,2,FALSE),"")</f>
        <v/>
      </c>
      <c r="I197" s="68" t="str">
        <f>IF('Pipe Insulation'!Z219="", "", 'Pipe Insulation'!Z219)</f>
        <v/>
      </c>
      <c r="J197" s="480"/>
    </row>
    <row r="198" spans="2:10" s="1" customFormat="1" x14ac:dyDescent="0.25">
      <c r="B198" s="76">
        <f>'Pipe Insulation'!B220</f>
        <v>187</v>
      </c>
      <c r="C198" s="76" t="str">
        <f>IF('Pipe Insulation'!C220="", "", 'Pipe Insulation'!C220)</f>
        <v/>
      </c>
      <c r="D198" s="76" t="str">
        <f>IF('Pipe Insulation'!D220="", "", 'Pipe Insulation'!D220)</f>
        <v/>
      </c>
      <c r="E198" s="69" t="str">
        <f>IF('Pipe Insulation'!E220="", "", 'Pipe Insulation'!E220)</f>
        <v/>
      </c>
      <c r="F198" s="76" t="str">
        <f>IFERROR(VLOOKUP('Pipe Insulation'!G220,'Pipe Insulation'!$AM$142:$AN$149,2,FALSE),"")</f>
        <v/>
      </c>
      <c r="G198" s="86" t="str">
        <f>IF('Pipe Insulation'!W220="", "", 'Pipe Insulation'!W220)</f>
        <v/>
      </c>
      <c r="H198" s="76" t="str">
        <f>IFERROR(VLOOKUP('Pipe Insulation'!Y220,'Pipe Insulation'!$AM$152:$AN$153,2,FALSE),"")</f>
        <v/>
      </c>
      <c r="I198" s="68" t="str">
        <f>IF('Pipe Insulation'!Z220="", "", 'Pipe Insulation'!Z220)</f>
        <v/>
      </c>
      <c r="J198" s="480"/>
    </row>
    <row r="199" spans="2:10" s="1" customFormat="1" x14ac:dyDescent="0.25">
      <c r="B199" s="76">
        <f>'Pipe Insulation'!B221</f>
        <v>188</v>
      </c>
      <c r="C199" s="76" t="str">
        <f>IF('Pipe Insulation'!C221="", "", 'Pipe Insulation'!C221)</f>
        <v/>
      </c>
      <c r="D199" s="76" t="str">
        <f>IF('Pipe Insulation'!D221="", "", 'Pipe Insulation'!D221)</f>
        <v/>
      </c>
      <c r="E199" s="69" t="str">
        <f>IF('Pipe Insulation'!E221="", "", 'Pipe Insulation'!E221)</f>
        <v/>
      </c>
      <c r="F199" s="76" t="str">
        <f>IFERROR(VLOOKUP('Pipe Insulation'!G221,'Pipe Insulation'!$AM$142:$AN$149,2,FALSE),"")</f>
        <v/>
      </c>
      <c r="G199" s="86" t="str">
        <f>IF('Pipe Insulation'!W221="", "", 'Pipe Insulation'!W221)</f>
        <v/>
      </c>
      <c r="H199" s="76" t="str">
        <f>IFERROR(VLOOKUP('Pipe Insulation'!Y221,'Pipe Insulation'!$AM$152:$AN$153,2,FALSE),"")</f>
        <v/>
      </c>
      <c r="I199" s="68" t="str">
        <f>IF('Pipe Insulation'!Z221="", "", 'Pipe Insulation'!Z221)</f>
        <v/>
      </c>
      <c r="J199" s="480"/>
    </row>
    <row r="200" spans="2:10" s="1" customFormat="1" x14ac:dyDescent="0.25">
      <c r="B200" s="76">
        <f>'Pipe Insulation'!B222</f>
        <v>189</v>
      </c>
      <c r="C200" s="76" t="str">
        <f>IF('Pipe Insulation'!C222="", "", 'Pipe Insulation'!C222)</f>
        <v/>
      </c>
      <c r="D200" s="76" t="str">
        <f>IF('Pipe Insulation'!D222="", "", 'Pipe Insulation'!D222)</f>
        <v/>
      </c>
      <c r="E200" s="69" t="str">
        <f>IF('Pipe Insulation'!E222="", "", 'Pipe Insulation'!E222)</f>
        <v/>
      </c>
      <c r="F200" s="76" t="str">
        <f>IFERROR(VLOOKUP('Pipe Insulation'!G222,'Pipe Insulation'!$AM$142:$AN$149,2,FALSE),"")</f>
        <v/>
      </c>
      <c r="G200" s="86" t="str">
        <f>IF('Pipe Insulation'!W222="", "", 'Pipe Insulation'!W222)</f>
        <v/>
      </c>
      <c r="H200" s="76" t="str">
        <f>IFERROR(VLOOKUP('Pipe Insulation'!Y222,'Pipe Insulation'!$AM$152:$AN$153,2,FALSE),"")</f>
        <v/>
      </c>
      <c r="I200" s="68" t="str">
        <f>IF('Pipe Insulation'!Z222="", "", 'Pipe Insulation'!Z222)</f>
        <v/>
      </c>
      <c r="J200" s="480"/>
    </row>
    <row r="201" spans="2:10" s="1" customFormat="1" x14ac:dyDescent="0.25">
      <c r="B201" s="76">
        <f>'Pipe Insulation'!B223</f>
        <v>190</v>
      </c>
      <c r="C201" s="76" t="str">
        <f>IF('Pipe Insulation'!C223="", "", 'Pipe Insulation'!C223)</f>
        <v/>
      </c>
      <c r="D201" s="76" t="str">
        <f>IF('Pipe Insulation'!D223="", "", 'Pipe Insulation'!D223)</f>
        <v/>
      </c>
      <c r="E201" s="69" t="str">
        <f>IF('Pipe Insulation'!E223="", "", 'Pipe Insulation'!E223)</f>
        <v/>
      </c>
      <c r="F201" s="76" t="str">
        <f>IFERROR(VLOOKUP('Pipe Insulation'!G223,'Pipe Insulation'!$AM$142:$AN$149,2,FALSE),"")</f>
        <v/>
      </c>
      <c r="G201" s="86" t="str">
        <f>IF('Pipe Insulation'!W223="", "", 'Pipe Insulation'!W223)</f>
        <v/>
      </c>
      <c r="H201" s="76" t="str">
        <f>IFERROR(VLOOKUP('Pipe Insulation'!Y223,'Pipe Insulation'!$AM$152:$AN$153,2,FALSE),"")</f>
        <v/>
      </c>
      <c r="I201" s="68" t="str">
        <f>IF('Pipe Insulation'!Z223="", "", 'Pipe Insulation'!Z223)</f>
        <v/>
      </c>
      <c r="J201" s="480"/>
    </row>
    <row r="202" spans="2:10" s="1" customFormat="1" x14ac:dyDescent="0.25">
      <c r="B202" s="76">
        <f>'Pipe Insulation'!B224</f>
        <v>191</v>
      </c>
      <c r="C202" s="76" t="str">
        <f>IF('Pipe Insulation'!C224="", "", 'Pipe Insulation'!C224)</f>
        <v/>
      </c>
      <c r="D202" s="76" t="str">
        <f>IF('Pipe Insulation'!D224="", "", 'Pipe Insulation'!D224)</f>
        <v/>
      </c>
      <c r="E202" s="69" t="str">
        <f>IF('Pipe Insulation'!E224="", "", 'Pipe Insulation'!E224)</f>
        <v/>
      </c>
      <c r="F202" s="76" t="str">
        <f>IFERROR(VLOOKUP('Pipe Insulation'!G224,'Pipe Insulation'!$AM$142:$AN$149,2,FALSE),"")</f>
        <v/>
      </c>
      <c r="G202" s="86" t="str">
        <f>IF('Pipe Insulation'!W224="", "", 'Pipe Insulation'!W224)</f>
        <v/>
      </c>
      <c r="H202" s="76" t="str">
        <f>IFERROR(VLOOKUP('Pipe Insulation'!Y224,'Pipe Insulation'!$AM$152:$AN$153,2,FALSE),"")</f>
        <v/>
      </c>
      <c r="I202" s="68" t="str">
        <f>IF('Pipe Insulation'!Z224="", "", 'Pipe Insulation'!Z224)</f>
        <v/>
      </c>
      <c r="J202" s="480"/>
    </row>
    <row r="203" spans="2:10" s="1" customFormat="1" x14ac:dyDescent="0.25">
      <c r="B203" s="76">
        <f>'Pipe Insulation'!B225</f>
        <v>192</v>
      </c>
      <c r="C203" s="76" t="str">
        <f>IF('Pipe Insulation'!C225="", "", 'Pipe Insulation'!C225)</f>
        <v/>
      </c>
      <c r="D203" s="76" t="str">
        <f>IF('Pipe Insulation'!D225="", "", 'Pipe Insulation'!D225)</f>
        <v/>
      </c>
      <c r="E203" s="69" t="str">
        <f>IF('Pipe Insulation'!E225="", "", 'Pipe Insulation'!E225)</f>
        <v/>
      </c>
      <c r="F203" s="76" t="str">
        <f>IFERROR(VLOOKUP('Pipe Insulation'!G225,'Pipe Insulation'!$AM$142:$AN$149,2,FALSE),"")</f>
        <v/>
      </c>
      <c r="G203" s="86" t="str">
        <f>IF('Pipe Insulation'!W225="", "", 'Pipe Insulation'!W225)</f>
        <v/>
      </c>
      <c r="H203" s="76" t="str">
        <f>IFERROR(VLOOKUP('Pipe Insulation'!Y225,'Pipe Insulation'!$AM$152:$AN$153,2,FALSE),"")</f>
        <v/>
      </c>
      <c r="I203" s="68" t="str">
        <f>IF('Pipe Insulation'!Z225="", "", 'Pipe Insulation'!Z225)</f>
        <v/>
      </c>
      <c r="J203" s="480"/>
    </row>
    <row r="204" spans="2:10" s="1" customFormat="1" x14ac:dyDescent="0.25">
      <c r="B204" s="76">
        <f>'Pipe Insulation'!B226</f>
        <v>193</v>
      </c>
      <c r="C204" s="76" t="str">
        <f>IF('Pipe Insulation'!C226="", "", 'Pipe Insulation'!C226)</f>
        <v/>
      </c>
      <c r="D204" s="76" t="str">
        <f>IF('Pipe Insulation'!D226="", "", 'Pipe Insulation'!D226)</f>
        <v/>
      </c>
      <c r="E204" s="69" t="str">
        <f>IF('Pipe Insulation'!E226="", "", 'Pipe Insulation'!E226)</f>
        <v/>
      </c>
      <c r="F204" s="76" t="str">
        <f>IFERROR(VLOOKUP('Pipe Insulation'!G226,'Pipe Insulation'!$AM$142:$AN$149,2,FALSE),"")</f>
        <v/>
      </c>
      <c r="G204" s="86" t="str">
        <f>IF('Pipe Insulation'!W226="", "", 'Pipe Insulation'!W226)</f>
        <v/>
      </c>
      <c r="H204" s="76" t="str">
        <f>IFERROR(VLOOKUP('Pipe Insulation'!Y226,'Pipe Insulation'!$AM$152:$AN$153,2,FALSE),"")</f>
        <v/>
      </c>
      <c r="I204" s="68" t="str">
        <f>IF('Pipe Insulation'!Z226="", "", 'Pipe Insulation'!Z226)</f>
        <v/>
      </c>
      <c r="J204" s="480"/>
    </row>
    <row r="205" spans="2:10" s="1" customFormat="1" x14ac:dyDescent="0.25">
      <c r="B205" s="76">
        <f>'Pipe Insulation'!B227</f>
        <v>194</v>
      </c>
      <c r="C205" s="76" t="str">
        <f>IF('Pipe Insulation'!C227="", "", 'Pipe Insulation'!C227)</f>
        <v/>
      </c>
      <c r="D205" s="76" t="str">
        <f>IF('Pipe Insulation'!D227="", "", 'Pipe Insulation'!D227)</f>
        <v/>
      </c>
      <c r="E205" s="69" t="str">
        <f>IF('Pipe Insulation'!E227="", "", 'Pipe Insulation'!E227)</f>
        <v/>
      </c>
      <c r="F205" s="76" t="str">
        <f>IFERROR(VLOOKUP('Pipe Insulation'!G227,'Pipe Insulation'!$AM$142:$AN$149,2,FALSE),"")</f>
        <v/>
      </c>
      <c r="G205" s="86" t="str">
        <f>IF('Pipe Insulation'!W227="", "", 'Pipe Insulation'!W227)</f>
        <v/>
      </c>
      <c r="H205" s="76" t="str">
        <f>IFERROR(VLOOKUP('Pipe Insulation'!Y227,'Pipe Insulation'!$AM$152:$AN$153,2,FALSE),"")</f>
        <v/>
      </c>
      <c r="I205" s="68" t="str">
        <f>IF('Pipe Insulation'!Z227="", "", 'Pipe Insulation'!Z227)</f>
        <v/>
      </c>
      <c r="J205" s="480"/>
    </row>
    <row r="206" spans="2:10" s="1" customFormat="1" x14ac:dyDescent="0.25">
      <c r="B206" s="76">
        <f>'Pipe Insulation'!B228</f>
        <v>195</v>
      </c>
      <c r="C206" s="76" t="str">
        <f>IF('Pipe Insulation'!C228="", "", 'Pipe Insulation'!C228)</f>
        <v/>
      </c>
      <c r="D206" s="76" t="str">
        <f>IF('Pipe Insulation'!D228="", "", 'Pipe Insulation'!D228)</f>
        <v/>
      </c>
      <c r="E206" s="69" t="str">
        <f>IF('Pipe Insulation'!E228="", "", 'Pipe Insulation'!E228)</f>
        <v/>
      </c>
      <c r="F206" s="76" t="str">
        <f>IFERROR(VLOOKUP('Pipe Insulation'!G228,'Pipe Insulation'!$AM$142:$AN$149,2,FALSE),"")</f>
        <v/>
      </c>
      <c r="G206" s="86" t="str">
        <f>IF('Pipe Insulation'!W228="", "", 'Pipe Insulation'!W228)</f>
        <v/>
      </c>
      <c r="H206" s="76" t="str">
        <f>IFERROR(VLOOKUP('Pipe Insulation'!Y228,'Pipe Insulation'!$AM$152:$AN$153,2,FALSE),"")</f>
        <v/>
      </c>
      <c r="I206" s="68" t="str">
        <f>IF('Pipe Insulation'!Z228="", "", 'Pipe Insulation'!Z228)</f>
        <v/>
      </c>
      <c r="J206" s="480"/>
    </row>
    <row r="207" spans="2:10" s="1" customFormat="1" x14ac:dyDescent="0.25">
      <c r="B207" s="76">
        <f>'Pipe Insulation'!B229</f>
        <v>196</v>
      </c>
      <c r="C207" s="76" t="str">
        <f>IF('Pipe Insulation'!C229="", "", 'Pipe Insulation'!C229)</f>
        <v/>
      </c>
      <c r="D207" s="76" t="str">
        <f>IF('Pipe Insulation'!D229="", "", 'Pipe Insulation'!D229)</f>
        <v/>
      </c>
      <c r="E207" s="69" t="str">
        <f>IF('Pipe Insulation'!E229="", "", 'Pipe Insulation'!E229)</f>
        <v/>
      </c>
      <c r="F207" s="76" t="str">
        <f>IFERROR(VLOOKUP('Pipe Insulation'!G229,'Pipe Insulation'!$AM$142:$AN$149,2,FALSE),"")</f>
        <v/>
      </c>
      <c r="G207" s="86" t="str">
        <f>IF('Pipe Insulation'!W229="", "", 'Pipe Insulation'!W229)</f>
        <v/>
      </c>
      <c r="H207" s="76" t="str">
        <f>IFERROR(VLOOKUP('Pipe Insulation'!Y229,'Pipe Insulation'!$AM$152:$AN$153,2,FALSE),"")</f>
        <v/>
      </c>
      <c r="I207" s="68" t="str">
        <f>IF('Pipe Insulation'!Z229="", "", 'Pipe Insulation'!Z229)</f>
        <v/>
      </c>
      <c r="J207" s="480"/>
    </row>
    <row r="208" spans="2:10" s="1" customFormat="1" x14ac:dyDescent="0.25">
      <c r="B208" s="76">
        <f>'Pipe Insulation'!B230</f>
        <v>197</v>
      </c>
      <c r="C208" s="76" t="str">
        <f>IF('Pipe Insulation'!C230="", "", 'Pipe Insulation'!C230)</f>
        <v/>
      </c>
      <c r="D208" s="76" t="str">
        <f>IF('Pipe Insulation'!D230="", "", 'Pipe Insulation'!D230)</f>
        <v/>
      </c>
      <c r="E208" s="69" t="str">
        <f>IF('Pipe Insulation'!E230="", "", 'Pipe Insulation'!E230)</f>
        <v/>
      </c>
      <c r="F208" s="76" t="str">
        <f>IFERROR(VLOOKUP('Pipe Insulation'!G230,'Pipe Insulation'!$AM$142:$AN$149,2,FALSE),"")</f>
        <v/>
      </c>
      <c r="G208" s="86" t="str">
        <f>IF('Pipe Insulation'!W230="", "", 'Pipe Insulation'!W230)</f>
        <v/>
      </c>
      <c r="H208" s="76" t="str">
        <f>IFERROR(VLOOKUP('Pipe Insulation'!Y230,'Pipe Insulation'!$AM$152:$AN$153,2,FALSE),"")</f>
        <v/>
      </c>
      <c r="I208" s="68" t="str">
        <f>IF('Pipe Insulation'!Z230="", "", 'Pipe Insulation'!Z230)</f>
        <v/>
      </c>
      <c r="J208" s="480"/>
    </row>
    <row r="209" spans="2:10" s="1" customFormat="1" x14ac:dyDescent="0.25">
      <c r="B209" s="76">
        <f>'Pipe Insulation'!B231</f>
        <v>198</v>
      </c>
      <c r="C209" s="76" t="str">
        <f>IF('Pipe Insulation'!C231="", "", 'Pipe Insulation'!C231)</f>
        <v/>
      </c>
      <c r="D209" s="76" t="str">
        <f>IF('Pipe Insulation'!D231="", "", 'Pipe Insulation'!D231)</f>
        <v/>
      </c>
      <c r="E209" s="69" t="str">
        <f>IF('Pipe Insulation'!E231="", "", 'Pipe Insulation'!E231)</f>
        <v/>
      </c>
      <c r="F209" s="76" t="str">
        <f>IFERROR(VLOOKUP('Pipe Insulation'!G231,'Pipe Insulation'!$AM$142:$AN$149,2,FALSE),"")</f>
        <v/>
      </c>
      <c r="G209" s="86" t="str">
        <f>IF('Pipe Insulation'!W231="", "", 'Pipe Insulation'!W231)</f>
        <v/>
      </c>
      <c r="H209" s="76" t="str">
        <f>IFERROR(VLOOKUP('Pipe Insulation'!Y231,'Pipe Insulation'!$AM$152:$AN$153,2,FALSE),"")</f>
        <v/>
      </c>
      <c r="I209" s="68" t="str">
        <f>IF('Pipe Insulation'!Z231="", "", 'Pipe Insulation'!Z231)</f>
        <v/>
      </c>
      <c r="J209" s="480"/>
    </row>
    <row r="210" spans="2:10" s="1" customFormat="1" x14ac:dyDescent="0.25">
      <c r="B210" s="76">
        <f>'Pipe Insulation'!B232</f>
        <v>199</v>
      </c>
      <c r="C210" s="76" t="str">
        <f>IF('Pipe Insulation'!C232="", "", 'Pipe Insulation'!C232)</f>
        <v/>
      </c>
      <c r="D210" s="76" t="str">
        <f>IF('Pipe Insulation'!D232="", "", 'Pipe Insulation'!D232)</f>
        <v/>
      </c>
      <c r="E210" s="69" t="str">
        <f>IF('Pipe Insulation'!E232="", "", 'Pipe Insulation'!E232)</f>
        <v/>
      </c>
      <c r="F210" s="76" t="str">
        <f>IFERROR(VLOOKUP('Pipe Insulation'!G232,'Pipe Insulation'!$AM$142:$AN$149,2,FALSE),"")</f>
        <v/>
      </c>
      <c r="G210" s="86" t="str">
        <f>IF('Pipe Insulation'!W232="", "", 'Pipe Insulation'!W232)</f>
        <v/>
      </c>
      <c r="H210" s="76" t="str">
        <f>IFERROR(VLOOKUP('Pipe Insulation'!Y232,'Pipe Insulation'!$AM$152:$AN$153,2,FALSE),"")</f>
        <v/>
      </c>
      <c r="I210" s="68" t="str">
        <f>IF('Pipe Insulation'!Z232="", "", 'Pipe Insulation'!Z232)</f>
        <v/>
      </c>
      <c r="J210" s="480"/>
    </row>
    <row r="211" spans="2:10" s="1" customFormat="1" x14ac:dyDescent="0.25">
      <c r="B211" s="76">
        <f>'Pipe Insulation'!B233</f>
        <v>200</v>
      </c>
      <c r="C211" s="76" t="str">
        <f>IF('Pipe Insulation'!C233="", "", 'Pipe Insulation'!C233)</f>
        <v/>
      </c>
      <c r="D211" s="76" t="str">
        <f>IF('Pipe Insulation'!D233="", "", 'Pipe Insulation'!D233)</f>
        <v/>
      </c>
      <c r="E211" s="69" t="str">
        <f>IF('Pipe Insulation'!E233="", "", 'Pipe Insulation'!E233)</f>
        <v/>
      </c>
      <c r="F211" s="76" t="str">
        <f>IFERROR(VLOOKUP('Pipe Insulation'!G233,'Pipe Insulation'!$AM$142:$AN$149,2,FALSE),"")</f>
        <v/>
      </c>
      <c r="G211" s="86" t="str">
        <f>IF('Pipe Insulation'!W233="", "", 'Pipe Insulation'!W233)</f>
        <v/>
      </c>
      <c r="H211" s="76" t="str">
        <f>IFERROR(VLOOKUP('Pipe Insulation'!Y233,'Pipe Insulation'!$AM$152:$AN$153,2,FALSE),"")</f>
        <v/>
      </c>
      <c r="I211" s="68" t="str">
        <f>IF('Pipe Insulation'!Z233="", "", 'Pipe Insulation'!Z233)</f>
        <v/>
      </c>
      <c r="J211" s="480"/>
    </row>
    <row r="212" spans="2:10" s="1" customFormat="1" x14ac:dyDescent="0.25">
      <c r="B212" s="76">
        <f>'Pipe Insulation'!B234</f>
        <v>201</v>
      </c>
      <c r="C212" s="76" t="str">
        <f>IF('Pipe Insulation'!C234="", "", 'Pipe Insulation'!C234)</f>
        <v/>
      </c>
      <c r="D212" s="76" t="str">
        <f>IF('Pipe Insulation'!D234="", "", 'Pipe Insulation'!D234)</f>
        <v/>
      </c>
      <c r="E212" s="69" t="str">
        <f>IF('Pipe Insulation'!E234="", "", 'Pipe Insulation'!E234)</f>
        <v/>
      </c>
      <c r="F212" s="76" t="str">
        <f>IFERROR(VLOOKUP('Pipe Insulation'!G234,'Pipe Insulation'!$AM$142:$AN$149,2,FALSE),"")</f>
        <v/>
      </c>
      <c r="G212" s="86" t="str">
        <f>IF('Pipe Insulation'!W234="", "", 'Pipe Insulation'!W234)</f>
        <v/>
      </c>
      <c r="H212" s="76" t="str">
        <f>IFERROR(VLOOKUP('Pipe Insulation'!Y234,'Pipe Insulation'!$AM$152:$AN$153,2,FALSE),"")</f>
        <v/>
      </c>
      <c r="I212" s="68" t="str">
        <f>IF('Pipe Insulation'!Z234="", "", 'Pipe Insulation'!Z234)</f>
        <v/>
      </c>
      <c r="J212" s="480"/>
    </row>
    <row r="213" spans="2:10" s="1" customFormat="1" x14ac:dyDescent="0.25">
      <c r="B213" s="76">
        <f>'Pipe Insulation'!B235</f>
        <v>202</v>
      </c>
      <c r="C213" s="76" t="str">
        <f>IF('Pipe Insulation'!C235="", "", 'Pipe Insulation'!C235)</f>
        <v/>
      </c>
      <c r="D213" s="76" t="str">
        <f>IF('Pipe Insulation'!D235="", "", 'Pipe Insulation'!D235)</f>
        <v/>
      </c>
      <c r="E213" s="69" t="str">
        <f>IF('Pipe Insulation'!E235="", "", 'Pipe Insulation'!E235)</f>
        <v/>
      </c>
      <c r="F213" s="76" t="str">
        <f>IFERROR(VLOOKUP('Pipe Insulation'!G235,'Pipe Insulation'!$AM$142:$AN$149,2,FALSE),"")</f>
        <v/>
      </c>
      <c r="G213" s="86" t="str">
        <f>IF('Pipe Insulation'!W235="", "", 'Pipe Insulation'!W235)</f>
        <v/>
      </c>
      <c r="H213" s="76" t="str">
        <f>IFERROR(VLOOKUP('Pipe Insulation'!Y235,'Pipe Insulation'!$AM$152:$AN$153,2,FALSE),"")</f>
        <v/>
      </c>
      <c r="I213" s="68" t="str">
        <f>IF('Pipe Insulation'!Z235="", "", 'Pipe Insulation'!Z235)</f>
        <v/>
      </c>
      <c r="J213" s="480"/>
    </row>
    <row r="214" spans="2:10" s="1" customFormat="1" x14ac:dyDescent="0.25">
      <c r="B214" s="76">
        <f>'Pipe Insulation'!B236</f>
        <v>203</v>
      </c>
      <c r="C214" s="76" t="str">
        <f>IF('Pipe Insulation'!C236="", "", 'Pipe Insulation'!C236)</f>
        <v/>
      </c>
      <c r="D214" s="76" t="str">
        <f>IF('Pipe Insulation'!D236="", "", 'Pipe Insulation'!D236)</f>
        <v/>
      </c>
      <c r="E214" s="69" t="str">
        <f>IF('Pipe Insulation'!E236="", "", 'Pipe Insulation'!E236)</f>
        <v/>
      </c>
      <c r="F214" s="76" t="str">
        <f>IFERROR(VLOOKUP('Pipe Insulation'!G236,'Pipe Insulation'!$AM$142:$AN$149,2,FALSE),"")</f>
        <v/>
      </c>
      <c r="G214" s="86" t="str">
        <f>IF('Pipe Insulation'!W236="", "", 'Pipe Insulation'!W236)</f>
        <v/>
      </c>
      <c r="H214" s="76" t="str">
        <f>IFERROR(VLOOKUP('Pipe Insulation'!Y236,'Pipe Insulation'!$AM$152:$AN$153,2,FALSE),"")</f>
        <v/>
      </c>
      <c r="I214" s="68" t="str">
        <f>IF('Pipe Insulation'!Z236="", "", 'Pipe Insulation'!Z236)</f>
        <v/>
      </c>
      <c r="J214" s="480"/>
    </row>
    <row r="215" spans="2:10" s="1" customFormat="1" x14ac:dyDescent="0.25">
      <c r="B215" s="76">
        <f>'Pipe Insulation'!B237</f>
        <v>204</v>
      </c>
      <c r="C215" s="76" t="str">
        <f>IF('Pipe Insulation'!C237="", "", 'Pipe Insulation'!C237)</f>
        <v/>
      </c>
      <c r="D215" s="76" t="str">
        <f>IF('Pipe Insulation'!D237="", "", 'Pipe Insulation'!D237)</f>
        <v/>
      </c>
      <c r="E215" s="69" t="str">
        <f>IF('Pipe Insulation'!E237="", "", 'Pipe Insulation'!E237)</f>
        <v/>
      </c>
      <c r="F215" s="76" t="str">
        <f>IFERROR(VLOOKUP('Pipe Insulation'!G237,'Pipe Insulation'!$AM$142:$AN$149,2,FALSE),"")</f>
        <v/>
      </c>
      <c r="G215" s="86" t="str">
        <f>IF('Pipe Insulation'!W237="", "", 'Pipe Insulation'!W237)</f>
        <v/>
      </c>
      <c r="H215" s="76" t="str">
        <f>IFERROR(VLOOKUP('Pipe Insulation'!Y237,'Pipe Insulation'!$AM$152:$AN$153,2,FALSE),"")</f>
        <v/>
      </c>
      <c r="I215" s="68" t="str">
        <f>IF('Pipe Insulation'!Z237="", "", 'Pipe Insulation'!Z237)</f>
        <v/>
      </c>
      <c r="J215" s="480"/>
    </row>
    <row r="216" spans="2:10" s="1" customFormat="1" x14ac:dyDescent="0.25">
      <c r="B216" s="76">
        <f>'Pipe Insulation'!B238</f>
        <v>205</v>
      </c>
      <c r="C216" s="76" t="str">
        <f>IF('Pipe Insulation'!C238="", "", 'Pipe Insulation'!C238)</f>
        <v/>
      </c>
      <c r="D216" s="76" t="str">
        <f>IF('Pipe Insulation'!D238="", "", 'Pipe Insulation'!D238)</f>
        <v/>
      </c>
      <c r="E216" s="69" t="str">
        <f>IF('Pipe Insulation'!E238="", "", 'Pipe Insulation'!E238)</f>
        <v/>
      </c>
      <c r="F216" s="76" t="str">
        <f>IFERROR(VLOOKUP('Pipe Insulation'!G238,'Pipe Insulation'!$AM$142:$AN$149,2,FALSE),"")</f>
        <v/>
      </c>
      <c r="G216" s="86" t="str">
        <f>IF('Pipe Insulation'!W238="", "", 'Pipe Insulation'!W238)</f>
        <v/>
      </c>
      <c r="H216" s="76" t="str">
        <f>IFERROR(VLOOKUP('Pipe Insulation'!Y238,'Pipe Insulation'!$AM$152:$AN$153,2,FALSE),"")</f>
        <v/>
      </c>
      <c r="I216" s="68" t="str">
        <f>IF('Pipe Insulation'!Z238="", "", 'Pipe Insulation'!Z238)</f>
        <v/>
      </c>
      <c r="J216" s="480"/>
    </row>
    <row r="217" spans="2:10" s="1" customFormat="1" x14ac:dyDescent="0.25">
      <c r="B217" s="76">
        <f>'Pipe Insulation'!B239</f>
        <v>206</v>
      </c>
      <c r="C217" s="76" t="str">
        <f>IF('Pipe Insulation'!C239="", "", 'Pipe Insulation'!C239)</f>
        <v/>
      </c>
      <c r="D217" s="76" t="str">
        <f>IF('Pipe Insulation'!D239="", "", 'Pipe Insulation'!D239)</f>
        <v/>
      </c>
      <c r="E217" s="69" t="str">
        <f>IF('Pipe Insulation'!E239="", "", 'Pipe Insulation'!E239)</f>
        <v/>
      </c>
      <c r="F217" s="76" t="str">
        <f>IFERROR(VLOOKUP('Pipe Insulation'!G239,'Pipe Insulation'!$AM$142:$AN$149,2,FALSE),"")</f>
        <v/>
      </c>
      <c r="G217" s="86" t="str">
        <f>IF('Pipe Insulation'!W239="", "", 'Pipe Insulation'!W239)</f>
        <v/>
      </c>
      <c r="H217" s="76" t="str">
        <f>IFERROR(VLOOKUP('Pipe Insulation'!Y239,'Pipe Insulation'!$AM$152:$AN$153,2,FALSE),"")</f>
        <v/>
      </c>
      <c r="I217" s="68" t="str">
        <f>IF('Pipe Insulation'!Z239="", "", 'Pipe Insulation'!Z239)</f>
        <v/>
      </c>
      <c r="J217" s="480"/>
    </row>
    <row r="218" spans="2:10" s="1" customFormat="1" x14ac:dyDescent="0.25">
      <c r="B218" s="76">
        <f>'Pipe Insulation'!B240</f>
        <v>207</v>
      </c>
      <c r="C218" s="76" t="str">
        <f>IF('Pipe Insulation'!C240="", "", 'Pipe Insulation'!C240)</f>
        <v/>
      </c>
      <c r="D218" s="76" t="str">
        <f>IF('Pipe Insulation'!D240="", "", 'Pipe Insulation'!D240)</f>
        <v/>
      </c>
      <c r="E218" s="69" t="str">
        <f>IF('Pipe Insulation'!E240="", "", 'Pipe Insulation'!E240)</f>
        <v/>
      </c>
      <c r="F218" s="76" t="str">
        <f>IFERROR(VLOOKUP('Pipe Insulation'!G240,'Pipe Insulation'!$AM$142:$AN$149,2,FALSE),"")</f>
        <v/>
      </c>
      <c r="G218" s="86" t="str">
        <f>IF('Pipe Insulation'!W240="", "", 'Pipe Insulation'!W240)</f>
        <v/>
      </c>
      <c r="H218" s="76" t="str">
        <f>IFERROR(VLOOKUP('Pipe Insulation'!Y240,'Pipe Insulation'!$AM$152:$AN$153,2,FALSE),"")</f>
        <v/>
      </c>
      <c r="I218" s="68" t="str">
        <f>IF('Pipe Insulation'!Z240="", "", 'Pipe Insulation'!Z240)</f>
        <v/>
      </c>
      <c r="J218" s="480"/>
    </row>
    <row r="219" spans="2:10" s="1" customFormat="1" x14ac:dyDescent="0.25">
      <c r="B219" s="76">
        <f>'Pipe Insulation'!B241</f>
        <v>208</v>
      </c>
      <c r="C219" s="76" t="str">
        <f>IF('Pipe Insulation'!C241="", "", 'Pipe Insulation'!C241)</f>
        <v/>
      </c>
      <c r="D219" s="76" t="str">
        <f>IF('Pipe Insulation'!D241="", "", 'Pipe Insulation'!D241)</f>
        <v/>
      </c>
      <c r="E219" s="69" t="str">
        <f>IF('Pipe Insulation'!E241="", "", 'Pipe Insulation'!E241)</f>
        <v/>
      </c>
      <c r="F219" s="76" t="str">
        <f>IFERROR(VLOOKUP('Pipe Insulation'!G241,'Pipe Insulation'!$AM$142:$AN$149,2,FALSE),"")</f>
        <v/>
      </c>
      <c r="G219" s="86" t="str">
        <f>IF('Pipe Insulation'!W241="", "", 'Pipe Insulation'!W241)</f>
        <v/>
      </c>
      <c r="H219" s="76" t="str">
        <f>IFERROR(VLOOKUP('Pipe Insulation'!Y241,'Pipe Insulation'!$AM$152:$AN$153,2,FALSE),"")</f>
        <v/>
      </c>
      <c r="I219" s="68" t="str">
        <f>IF('Pipe Insulation'!Z241="", "", 'Pipe Insulation'!Z241)</f>
        <v/>
      </c>
      <c r="J219" s="480"/>
    </row>
    <row r="220" spans="2:10" s="1" customFormat="1" x14ac:dyDescent="0.25">
      <c r="B220" s="76">
        <f>'Pipe Insulation'!B242</f>
        <v>209</v>
      </c>
      <c r="C220" s="76" t="str">
        <f>IF('Pipe Insulation'!C242="", "", 'Pipe Insulation'!C242)</f>
        <v/>
      </c>
      <c r="D220" s="76" t="str">
        <f>IF('Pipe Insulation'!D242="", "", 'Pipe Insulation'!D242)</f>
        <v/>
      </c>
      <c r="E220" s="69" t="str">
        <f>IF('Pipe Insulation'!E242="", "", 'Pipe Insulation'!E242)</f>
        <v/>
      </c>
      <c r="F220" s="76" t="str">
        <f>IFERROR(VLOOKUP('Pipe Insulation'!G242,'Pipe Insulation'!$AM$142:$AN$149,2,FALSE),"")</f>
        <v/>
      </c>
      <c r="G220" s="86" t="str">
        <f>IF('Pipe Insulation'!W242="", "", 'Pipe Insulation'!W242)</f>
        <v/>
      </c>
      <c r="H220" s="76" t="str">
        <f>IFERROR(VLOOKUP('Pipe Insulation'!Y242,'Pipe Insulation'!$AM$152:$AN$153,2,FALSE),"")</f>
        <v/>
      </c>
      <c r="I220" s="68" t="str">
        <f>IF('Pipe Insulation'!Z242="", "", 'Pipe Insulation'!Z242)</f>
        <v/>
      </c>
      <c r="J220" s="480"/>
    </row>
    <row r="221" spans="2:10" s="1" customFormat="1" x14ac:dyDescent="0.25">
      <c r="B221" s="76">
        <f>'Pipe Insulation'!B243</f>
        <v>210</v>
      </c>
      <c r="C221" s="76" t="str">
        <f>IF('Pipe Insulation'!C243="", "", 'Pipe Insulation'!C243)</f>
        <v/>
      </c>
      <c r="D221" s="76" t="str">
        <f>IF('Pipe Insulation'!D243="", "", 'Pipe Insulation'!D243)</f>
        <v/>
      </c>
      <c r="E221" s="69" t="str">
        <f>IF('Pipe Insulation'!E243="", "", 'Pipe Insulation'!E243)</f>
        <v/>
      </c>
      <c r="F221" s="76" t="str">
        <f>IFERROR(VLOOKUP('Pipe Insulation'!G243,'Pipe Insulation'!$AM$142:$AN$149,2,FALSE),"")</f>
        <v/>
      </c>
      <c r="G221" s="86" t="str">
        <f>IF('Pipe Insulation'!W243="", "", 'Pipe Insulation'!W243)</f>
        <v/>
      </c>
      <c r="H221" s="76" t="str">
        <f>IFERROR(VLOOKUP('Pipe Insulation'!Y243,'Pipe Insulation'!$AM$152:$AN$153,2,FALSE),"")</f>
        <v/>
      </c>
      <c r="I221" s="68" t="str">
        <f>IF('Pipe Insulation'!Z243="", "", 'Pipe Insulation'!Z243)</f>
        <v/>
      </c>
      <c r="J221" s="480"/>
    </row>
    <row r="222" spans="2:10" s="1" customFormat="1" x14ac:dyDescent="0.25">
      <c r="B222" s="76">
        <f>'Pipe Insulation'!B244</f>
        <v>211</v>
      </c>
      <c r="C222" s="76" t="str">
        <f>IF('Pipe Insulation'!C244="", "", 'Pipe Insulation'!C244)</f>
        <v/>
      </c>
      <c r="D222" s="76" t="str">
        <f>IF('Pipe Insulation'!D244="", "", 'Pipe Insulation'!D244)</f>
        <v/>
      </c>
      <c r="E222" s="69" t="str">
        <f>IF('Pipe Insulation'!E244="", "", 'Pipe Insulation'!E244)</f>
        <v/>
      </c>
      <c r="F222" s="76" t="str">
        <f>IFERROR(VLOOKUP('Pipe Insulation'!G244,'Pipe Insulation'!$AM$142:$AN$149,2,FALSE),"")</f>
        <v/>
      </c>
      <c r="G222" s="86" t="str">
        <f>IF('Pipe Insulation'!W244="", "", 'Pipe Insulation'!W244)</f>
        <v/>
      </c>
      <c r="H222" s="76" t="str">
        <f>IFERROR(VLOOKUP('Pipe Insulation'!Y244,'Pipe Insulation'!$AM$152:$AN$153,2,FALSE),"")</f>
        <v/>
      </c>
      <c r="I222" s="68" t="str">
        <f>IF('Pipe Insulation'!Z244="", "", 'Pipe Insulation'!Z244)</f>
        <v/>
      </c>
      <c r="J222" s="480"/>
    </row>
    <row r="223" spans="2:10" s="1" customFormat="1" x14ac:dyDescent="0.25">
      <c r="B223" s="76">
        <f>'Pipe Insulation'!B245</f>
        <v>212</v>
      </c>
      <c r="C223" s="76" t="str">
        <f>IF('Pipe Insulation'!C245="", "", 'Pipe Insulation'!C245)</f>
        <v/>
      </c>
      <c r="D223" s="76" t="str">
        <f>IF('Pipe Insulation'!D245="", "", 'Pipe Insulation'!D245)</f>
        <v/>
      </c>
      <c r="E223" s="69" t="str">
        <f>IF('Pipe Insulation'!E245="", "", 'Pipe Insulation'!E245)</f>
        <v/>
      </c>
      <c r="F223" s="76" t="str">
        <f>IFERROR(VLOOKUP('Pipe Insulation'!G245,'Pipe Insulation'!$AM$142:$AN$149,2,FALSE),"")</f>
        <v/>
      </c>
      <c r="G223" s="86" t="str">
        <f>IF('Pipe Insulation'!W245="", "", 'Pipe Insulation'!W245)</f>
        <v/>
      </c>
      <c r="H223" s="76" t="str">
        <f>IFERROR(VLOOKUP('Pipe Insulation'!Y245,'Pipe Insulation'!$AM$152:$AN$153,2,FALSE),"")</f>
        <v/>
      </c>
      <c r="I223" s="68" t="str">
        <f>IF('Pipe Insulation'!Z245="", "", 'Pipe Insulation'!Z245)</f>
        <v/>
      </c>
      <c r="J223" s="480"/>
    </row>
    <row r="224" spans="2:10" s="1" customFormat="1" x14ac:dyDescent="0.25">
      <c r="B224" s="76">
        <f>'Pipe Insulation'!B246</f>
        <v>213</v>
      </c>
      <c r="C224" s="76" t="str">
        <f>IF('Pipe Insulation'!C246="", "", 'Pipe Insulation'!C246)</f>
        <v/>
      </c>
      <c r="D224" s="76" t="str">
        <f>IF('Pipe Insulation'!D246="", "", 'Pipe Insulation'!D246)</f>
        <v/>
      </c>
      <c r="E224" s="69" t="str">
        <f>IF('Pipe Insulation'!E246="", "", 'Pipe Insulation'!E246)</f>
        <v/>
      </c>
      <c r="F224" s="76" t="str">
        <f>IFERROR(VLOOKUP('Pipe Insulation'!G246,'Pipe Insulation'!$AM$142:$AN$149,2,FALSE),"")</f>
        <v/>
      </c>
      <c r="G224" s="86" t="str">
        <f>IF('Pipe Insulation'!W246="", "", 'Pipe Insulation'!W246)</f>
        <v/>
      </c>
      <c r="H224" s="76" t="str">
        <f>IFERROR(VLOOKUP('Pipe Insulation'!Y246,'Pipe Insulation'!$AM$152:$AN$153,2,FALSE),"")</f>
        <v/>
      </c>
      <c r="I224" s="68" t="str">
        <f>IF('Pipe Insulation'!Z246="", "", 'Pipe Insulation'!Z246)</f>
        <v/>
      </c>
      <c r="J224" s="480"/>
    </row>
    <row r="225" spans="2:10" s="1" customFormat="1" x14ac:dyDescent="0.25">
      <c r="B225" s="76">
        <f>'Pipe Insulation'!B247</f>
        <v>214</v>
      </c>
      <c r="C225" s="76" t="str">
        <f>IF('Pipe Insulation'!C247="", "", 'Pipe Insulation'!C247)</f>
        <v/>
      </c>
      <c r="D225" s="76" t="str">
        <f>IF('Pipe Insulation'!D247="", "", 'Pipe Insulation'!D247)</f>
        <v/>
      </c>
      <c r="E225" s="69" t="str">
        <f>IF('Pipe Insulation'!E247="", "", 'Pipe Insulation'!E247)</f>
        <v/>
      </c>
      <c r="F225" s="76" t="str">
        <f>IFERROR(VLOOKUP('Pipe Insulation'!G247,'Pipe Insulation'!$AM$142:$AN$149,2,FALSE),"")</f>
        <v/>
      </c>
      <c r="G225" s="86" t="str">
        <f>IF('Pipe Insulation'!W247="", "", 'Pipe Insulation'!W247)</f>
        <v/>
      </c>
      <c r="H225" s="76" t="str">
        <f>IFERROR(VLOOKUP('Pipe Insulation'!Y247,'Pipe Insulation'!$AM$152:$AN$153,2,FALSE),"")</f>
        <v/>
      </c>
      <c r="I225" s="68" t="str">
        <f>IF('Pipe Insulation'!Z247="", "", 'Pipe Insulation'!Z247)</f>
        <v/>
      </c>
      <c r="J225" s="480"/>
    </row>
    <row r="226" spans="2:10" s="1" customFormat="1" x14ac:dyDescent="0.25">
      <c r="B226" s="76">
        <f>'Pipe Insulation'!B248</f>
        <v>215</v>
      </c>
      <c r="C226" s="76" t="str">
        <f>IF('Pipe Insulation'!C248="", "", 'Pipe Insulation'!C248)</f>
        <v/>
      </c>
      <c r="D226" s="76" t="str">
        <f>IF('Pipe Insulation'!D248="", "", 'Pipe Insulation'!D248)</f>
        <v/>
      </c>
      <c r="E226" s="69" t="str">
        <f>IF('Pipe Insulation'!E248="", "", 'Pipe Insulation'!E248)</f>
        <v/>
      </c>
      <c r="F226" s="76" t="str">
        <f>IFERROR(VLOOKUP('Pipe Insulation'!G248,'Pipe Insulation'!$AM$142:$AN$149,2,FALSE),"")</f>
        <v/>
      </c>
      <c r="G226" s="86" t="str">
        <f>IF('Pipe Insulation'!W248="", "", 'Pipe Insulation'!W248)</f>
        <v/>
      </c>
      <c r="H226" s="76" t="str">
        <f>IFERROR(VLOOKUP('Pipe Insulation'!Y248,'Pipe Insulation'!$AM$152:$AN$153,2,FALSE),"")</f>
        <v/>
      </c>
      <c r="I226" s="68" t="str">
        <f>IF('Pipe Insulation'!Z248="", "", 'Pipe Insulation'!Z248)</f>
        <v/>
      </c>
      <c r="J226" s="480"/>
    </row>
    <row r="227" spans="2:10" s="1" customFormat="1" x14ac:dyDescent="0.25">
      <c r="B227" s="76">
        <f>'Pipe Insulation'!B249</f>
        <v>216</v>
      </c>
      <c r="C227" s="76" t="str">
        <f>IF('Pipe Insulation'!C249="", "", 'Pipe Insulation'!C249)</f>
        <v/>
      </c>
      <c r="D227" s="76" t="str">
        <f>IF('Pipe Insulation'!D249="", "", 'Pipe Insulation'!D249)</f>
        <v/>
      </c>
      <c r="E227" s="69" t="str">
        <f>IF('Pipe Insulation'!E249="", "", 'Pipe Insulation'!E249)</f>
        <v/>
      </c>
      <c r="F227" s="76" t="str">
        <f>IFERROR(VLOOKUP('Pipe Insulation'!G249,'Pipe Insulation'!$AM$142:$AN$149,2,FALSE),"")</f>
        <v/>
      </c>
      <c r="G227" s="86" t="str">
        <f>IF('Pipe Insulation'!W249="", "", 'Pipe Insulation'!W249)</f>
        <v/>
      </c>
      <c r="H227" s="76" t="str">
        <f>IFERROR(VLOOKUP('Pipe Insulation'!Y249,'Pipe Insulation'!$AM$152:$AN$153,2,FALSE),"")</f>
        <v/>
      </c>
      <c r="I227" s="68" t="str">
        <f>IF('Pipe Insulation'!Z249="", "", 'Pipe Insulation'!Z249)</f>
        <v/>
      </c>
      <c r="J227" s="480"/>
    </row>
    <row r="228" spans="2:10" s="1" customFormat="1" x14ac:dyDescent="0.25">
      <c r="B228" s="76">
        <f>'Pipe Insulation'!B250</f>
        <v>217</v>
      </c>
      <c r="C228" s="76" t="str">
        <f>IF('Pipe Insulation'!C250="", "", 'Pipe Insulation'!C250)</f>
        <v/>
      </c>
      <c r="D228" s="76" t="str">
        <f>IF('Pipe Insulation'!D250="", "", 'Pipe Insulation'!D250)</f>
        <v/>
      </c>
      <c r="E228" s="69" t="str">
        <f>IF('Pipe Insulation'!E250="", "", 'Pipe Insulation'!E250)</f>
        <v/>
      </c>
      <c r="F228" s="76" t="str">
        <f>IFERROR(VLOOKUP('Pipe Insulation'!G250,'Pipe Insulation'!$AM$142:$AN$149,2,FALSE),"")</f>
        <v/>
      </c>
      <c r="G228" s="86" t="str">
        <f>IF('Pipe Insulation'!W250="", "", 'Pipe Insulation'!W250)</f>
        <v/>
      </c>
      <c r="H228" s="76" t="str">
        <f>IFERROR(VLOOKUP('Pipe Insulation'!Y250,'Pipe Insulation'!$AM$152:$AN$153,2,FALSE),"")</f>
        <v/>
      </c>
      <c r="I228" s="68" t="str">
        <f>IF('Pipe Insulation'!Z250="", "", 'Pipe Insulation'!Z250)</f>
        <v/>
      </c>
      <c r="J228" s="480"/>
    </row>
    <row r="229" spans="2:10" s="1" customFormat="1" x14ac:dyDescent="0.25">
      <c r="B229" s="76">
        <f>'Pipe Insulation'!B251</f>
        <v>218</v>
      </c>
      <c r="C229" s="76" t="str">
        <f>IF('Pipe Insulation'!C251="", "", 'Pipe Insulation'!C251)</f>
        <v/>
      </c>
      <c r="D229" s="76" t="str">
        <f>IF('Pipe Insulation'!D251="", "", 'Pipe Insulation'!D251)</f>
        <v/>
      </c>
      <c r="E229" s="69" t="str">
        <f>IF('Pipe Insulation'!E251="", "", 'Pipe Insulation'!E251)</f>
        <v/>
      </c>
      <c r="F229" s="76" t="str">
        <f>IFERROR(VLOOKUP('Pipe Insulation'!G251,'Pipe Insulation'!$AM$142:$AN$149,2,FALSE),"")</f>
        <v/>
      </c>
      <c r="G229" s="86" t="str">
        <f>IF('Pipe Insulation'!W251="", "", 'Pipe Insulation'!W251)</f>
        <v/>
      </c>
      <c r="H229" s="76" t="str">
        <f>IFERROR(VLOOKUP('Pipe Insulation'!Y251,'Pipe Insulation'!$AM$152:$AN$153,2,FALSE),"")</f>
        <v/>
      </c>
      <c r="I229" s="68" t="str">
        <f>IF('Pipe Insulation'!Z251="", "", 'Pipe Insulation'!Z251)</f>
        <v/>
      </c>
      <c r="J229" s="480"/>
    </row>
    <row r="230" spans="2:10" s="1" customFormat="1" x14ac:dyDescent="0.25">
      <c r="B230" s="76">
        <f>'Pipe Insulation'!B252</f>
        <v>219</v>
      </c>
      <c r="C230" s="76" t="str">
        <f>IF('Pipe Insulation'!C252="", "", 'Pipe Insulation'!C252)</f>
        <v/>
      </c>
      <c r="D230" s="76" t="str">
        <f>IF('Pipe Insulation'!D252="", "", 'Pipe Insulation'!D252)</f>
        <v/>
      </c>
      <c r="E230" s="69" t="str">
        <f>IF('Pipe Insulation'!E252="", "", 'Pipe Insulation'!E252)</f>
        <v/>
      </c>
      <c r="F230" s="76" t="str">
        <f>IFERROR(VLOOKUP('Pipe Insulation'!G252,'Pipe Insulation'!$AM$142:$AN$149,2,FALSE),"")</f>
        <v/>
      </c>
      <c r="G230" s="86" t="str">
        <f>IF('Pipe Insulation'!W252="", "", 'Pipe Insulation'!W252)</f>
        <v/>
      </c>
      <c r="H230" s="76" t="str">
        <f>IFERROR(VLOOKUP('Pipe Insulation'!Y252,'Pipe Insulation'!$AM$152:$AN$153,2,FALSE),"")</f>
        <v/>
      </c>
      <c r="I230" s="68" t="str">
        <f>IF('Pipe Insulation'!Z252="", "", 'Pipe Insulation'!Z252)</f>
        <v/>
      </c>
      <c r="J230" s="480"/>
    </row>
    <row r="231" spans="2:10" s="1" customFormat="1" x14ac:dyDescent="0.25">
      <c r="B231" s="76">
        <f>'Pipe Insulation'!B253</f>
        <v>220</v>
      </c>
      <c r="C231" s="76" t="str">
        <f>IF('Pipe Insulation'!C253="", "", 'Pipe Insulation'!C253)</f>
        <v/>
      </c>
      <c r="D231" s="76" t="str">
        <f>IF('Pipe Insulation'!D253="", "", 'Pipe Insulation'!D253)</f>
        <v/>
      </c>
      <c r="E231" s="69" t="str">
        <f>IF('Pipe Insulation'!E253="", "", 'Pipe Insulation'!E253)</f>
        <v/>
      </c>
      <c r="F231" s="76" t="str">
        <f>IFERROR(VLOOKUP('Pipe Insulation'!G253,'Pipe Insulation'!$AM$142:$AN$149,2,FALSE),"")</f>
        <v/>
      </c>
      <c r="G231" s="86" t="str">
        <f>IF('Pipe Insulation'!W253="", "", 'Pipe Insulation'!W253)</f>
        <v/>
      </c>
      <c r="H231" s="76" t="str">
        <f>IFERROR(VLOOKUP('Pipe Insulation'!Y253,'Pipe Insulation'!$AM$152:$AN$153,2,FALSE),"")</f>
        <v/>
      </c>
      <c r="I231" s="68" t="str">
        <f>IF('Pipe Insulation'!Z253="", "", 'Pipe Insulation'!Z253)</f>
        <v/>
      </c>
      <c r="J231" s="480"/>
    </row>
    <row r="232" spans="2:10" s="1" customFormat="1" x14ac:dyDescent="0.25">
      <c r="B232" s="76">
        <f>'Pipe Insulation'!B254</f>
        <v>221</v>
      </c>
      <c r="C232" s="76" t="str">
        <f>IF('Pipe Insulation'!C254="", "", 'Pipe Insulation'!C254)</f>
        <v/>
      </c>
      <c r="D232" s="76" t="str">
        <f>IF('Pipe Insulation'!D254="", "", 'Pipe Insulation'!D254)</f>
        <v/>
      </c>
      <c r="E232" s="69" t="str">
        <f>IF('Pipe Insulation'!E254="", "", 'Pipe Insulation'!E254)</f>
        <v/>
      </c>
      <c r="F232" s="76" t="str">
        <f>IFERROR(VLOOKUP('Pipe Insulation'!G254,'Pipe Insulation'!$AM$142:$AN$149,2,FALSE),"")</f>
        <v/>
      </c>
      <c r="G232" s="86" t="str">
        <f>IF('Pipe Insulation'!W254="", "", 'Pipe Insulation'!W254)</f>
        <v/>
      </c>
      <c r="H232" s="76" t="str">
        <f>IFERROR(VLOOKUP('Pipe Insulation'!Y254,'Pipe Insulation'!$AM$152:$AN$153,2,FALSE),"")</f>
        <v/>
      </c>
      <c r="I232" s="68" t="str">
        <f>IF('Pipe Insulation'!Z254="", "", 'Pipe Insulation'!Z254)</f>
        <v/>
      </c>
      <c r="J232" s="480"/>
    </row>
    <row r="233" spans="2:10" s="1" customFormat="1" x14ac:dyDescent="0.25">
      <c r="B233" s="76">
        <f>'Pipe Insulation'!B255</f>
        <v>222</v>
      </c>
      <c r="C233" s="76" t="str">
        <f>IF('Pipe Insulation'!C255="", "", 'Pipe Insulation'!C255)</f>
        <v/>
      </c>
      <c r="D233" s="76" t="str">
        <f>IF('Pipe Insulation'!D255="", "", 'Pipe Insulation'!D255)</f>
        <v/>
      </c>
      <c r="E233" s="69" t="str">
        <f>IF('Pipe Insulation'!E255="", "", 'Pipe Insulation'!E255)</f>
        <v/>
      </c>
      <c r="F233" s="76" t="str">
        <f>IFERROR(VLOOKUP('Pipe Insulation'!G255,'Pipe Insulation'!$AM$142:$AN$149,2,FALSE),"")</f>
        <v/>
      </c>
      <c r="G233" s="86" t="str">
        <f>IF('Pipe Insulation'!W255="", "", 'Pipe Insulation'!W255)</f>
        <v/>
      </c>
      <c r="H233" s="76" t="str">
        <f>IFERROR(VLOOKUP('Pipe Insulation'!Y255,'Pipe Insulation'!$AM$152:$AN$153,2,FALSE),"")</f>
        <v/>
      </c>
      <c r="I233" s="68" t="str">
        <f>IF('Pipe Insulation'!Z255="", "", 'Pipe Insulation'!Z255)</f>
        <v/>
      </c>
      <c r="J233" s="480"/>
    </row>
    <row r="234" spans="2:10" s="1" customFormat="1" x14ac:dyDescent="0.25">
      <c r="B234" s="76">
        <f>'Pipe Insulation'!B256</f>
        <v>223</v>
      </c>
      <c r="C234" s="76" t="str">
        <f>IF('Pipe Insulation'!C256="", "", 'Pipe Insulation'!C256)</f>
        <v/>
      </c>
      <c r="D234" s="76" t="str">
        <f>IF('Pipe Insulation'!D256="", "", 'Pipe Insulation'!D256)</f>
        <v/>
      </c>
      <c r="E234" s="69" t="str">
        <f>IF('Pipe Insulation'!E256="", "", 'Pipe Insulation'!E256)</f>
        <v/>
      </c>
      <c r="F234" s="76" t="str">
        <f>IFERROR(VLOOKUP('Pipe Insulation'!G256,'Pipe Insulation'!$AM$142:$AN$149,2,FALSE),"")</f>
        <v/>
      </c>
      <c r="G234" s="86" t="str">
        <f>IF('Pipe Insulation'!W256="", "", 'Pipe Insulation'!W256)</f>
        <v/>
      </c>
      <c r="H234" s="76" t="str">
        <f>IFERROR(VLOOKUP('Pipe Insulation'!Y256,'Pipe Insulation'!$AM$152:$AN$153,2,FALSE),"")</f>
        <v/>
      </c>
      <c r="I234" s="68" t="str">
        <f>IF('Pipe Insulation'!Z256="", "", 'Pipe Insulation'!Z256)</f>
        <v/>
      </c>
      <c r="J234" s="480"/>
    </row>
    <row r="235" spans="2:10" s="1" customFormat="1" x14ac:dyDescent="0.25">
      <c r="B235" s="76">
        <f>'Pipe Insulation'!B257</f>
        <v>224</v>
      </c>
      <c r="C235" s="76" t="str">
        <f>IF('Pipe Insulation'!C257="", "", 'Pipe Insulation'!C257)</f>
        <v/>
      </c>
      <c r="D235" s="76" t="str">
        <f>IF('Pipe Insulation'!D257="", "", 'Pipe Insulation'!D257)</f>
        <v/>
      </c>
      <c r="E235" s="69" t="str">
        <f>IF('Pipe Insulation'!E257="", "", 'Pipe Insulation'!E257)</f>
        <v/>
      </c>
      <c r="F235" s="76" t="str">
        <f>IFERROR(VLOOKUP('Pipe Insulation'!G257,'Pipe Insulation'!$AM$142:$AN$149,2,FALSE),"")</f>
        <v/>
      </c>
      <c r="G235" s="86" t="str">
        <f>IF('Pipe Insulation'!W257="", "", 'Pipe Insulation'!W257)</f>
        <v/>
      </c>
      <c r="H235" s="76" t="str">
        <f>IFERROR(VLOOKUP('Pipe Insulation'!Y257,'Pipe Insulation'!$AM$152:$AN$153,2,FALSE),"")</f>
        <v/>
      </c>
      <c r="I235" s="68" t="str">
        <f>IF('Pipe Insulation'!Z257="", "", 'Pipe Insulation'!Z257)</f>
        <v/>
      </c>
      <c r="J235" s="480"/>
    </row>
    <row r="236" spans="2:10" s="1" customFormat="1" x14ac:dyDescent="0.25">
      <c r="B236" s="76">
        <f>'Pipe Insulation'!B258</f>
        <v>225</v>
      </c>
      <c r="C236" s="76" t="str">
        <f>IF('Pipe Insulation'!C258="", "", 'Pipe Insulation'!C258)</f>
        <v/>
      </c>
      <c r="D236" s="76" t="str">
        <f>IF('Pipe Insulation'!D258="", "", 'Pipe Insulation'!D258)</f>
        <v/>
      </c>
      <c r="E236" s="69" t="str">
        <f>IF('Pipe Insulation'!E258="", "", 'Pipe Insulation'!E258)</f>
        <v/>
      </c>
      <c r="F236" s="76" t="str">
        <f>IFERROR(VLOOKUP('Pipe Insulation'!G258,'Pipe Insulation'!$AM$142:$AN$149,2,FALSE),"")</f>
        <v/>
      </c>
      <c r="G236" s="86" t="str">
        <f>IF('Pipe Insulation'!W258="", "", 'Pipe Insulation'!W258)</f>
        <v/>
      </c>
      <c r="H236" s="76" t="str">
        <f>IFERROR(VLOOKUP('Pipe Insulation'!Y258,'Pipe Insulation'!$AM$152:$AN$153,2,FALSE),"")</f>
        <v/>
      </c>
      <c r="I236" s="68" t="str">
        <f>IF('Pipe Insulation'!Z258="", "", 'Pipe Insulation'!Z258)</f>
        <v/>
      </c>
      <c r="J236" s="480"/>
    </row>
    <row r="237" spans="2:10" s="64" customFormat="1" ht="45" x14ac:dyDescent="0.25">
      <c r="B237" s="206" t="s">
        <v>133</v>
      </c>
      <c r="C237" s="206" t="s">
        <v>134</v>
      </c>
      <c r="D237" s="206" t="s">
        <v>135</v>
      </c>
      <c r="E237" s="206" t="s">
        <v>136</v>
      </c>
      <c r="F237" s="206" t="s">
        <v>138</v>
      </c>
      <c r="G237" s="206" t="s">
        <v>675</v>
      </c>
      <c r="H237" s="206" t="s">
        <v>676</v>
      </c>
      <c r="I237" s="206" t="s">
        <v>677</v>
      </c>
      <c r="J237" s="785" t="s">
        <v>678</v>
      </c>
    </row>
    <row r="238" spans="2:10" s="1" customFormat="1" x14ac:dyDescent="0.25">
      <c r="B238" s="76">
        <f>'Pipe Insulation'!B259</f>
        <v>226</v>
      </c>
      <c r="C238" s="76" t="str">
        <f>IF('Pipe Insulation'!C259="", "", 'Pipe Insulation'!C259)</f>
        <v/>
      </c>
      <c r="D238" s="76" t="str">
        <f>IF('Pipe Insulation'!D259="", "", 'Pipe Insulation'!D259)</f>
        <v/>
      </c>
      <c r="E238" s="69" t="str">
        <f>IF('Pipe Insulation'!E259="", "", 'Pipe Insulation'!E259)</f>
        <v/>
      </c>
      <c r="F238" s="76" t="str">
        <f>IFERROR(VLOOKUP('Pipe Insulation'!G259,'Pipe Insulation'!$AM$142:$AN$149,2,FALSE),"")</f>
        <v/>
      </c>
      <c r="G238" s="86" t="str">
        <f>IF('Pipe Insulation'!W259="", "", 'Pipe Insulation'!W259)</f>
        <v/>
      </c>
      <c r="H238" s="76" t="str">
        <f>IFERROR(VLOOKUP('Pipe Insulation'!Y259,'Pipe Insulation'!$AM$152:$AN$153,2,FALSE),"")</f>
        <v/>
      </c>
      <c r="I238" s="68" t="str">
        <f>IF('Pipe Insulation'!Z259="", "", 'Pipe Insulation'!Z259)</f>
        <v/>
      </c>
      <c r="J238" s="480"/>
    </row>
    <row r="239" spans="2:10" s="1" customFormat="1" x14ac:dyDescent="0.25">
      <c r="B239" s="76">
        <f>'Pipe Insulation'!B260</f>
        <v>227</v>
      </c>
      <c r="C239" s="76" t="str">
        <f>IF('Pipe Insulation'!C260="", "", 'Pipe Insulation'!C260)</f>
        <v/>
      </c>
      <c r="D239" s="76" t="str">
        <f>IF('Pipe Insulation'!D260="", "", 'Pipe Insulation'!D260)</f>
        <v/>
      </c>
      <c r="E239" s="69" t="str">
        <f>IF('Pipe Insulation'!E260="", "", 'Pipe Insulation'!E260)</f>
        <v/>
      </c>
      <c r="F239" s="76" t="str">
        <f>IFERROR(VLOOKUP('Pipe Insulation'!G260,'Pipe Insulation'!$AM$142:$AN$149,2,FALSE),"")</f>
        <v/>
      </c>
      <c r="G239" s="86" t="str">
        <f>IF('Pipe Insulation'!W260="", "", 'Pipe Insulation'!W260)</f>
        <v/>
      </c>
      <c r="H239" s="76" t="str">
        <f>IFERROR(VLOOKUP('Pipe Insulation'!Y260,'Pipe Insulation'!$AM$152:$AN$153,2,FALSE),"")</f>
        <v/>
      </c>
      <c r="I239" s="68" t="str">
        <f>IF('Pipe Insulation'!Z260="", "", 'Pipe Insulation'!Z260)</f>
        <v/>
      </c>
      <c r="J239" s="480"/>
    </row>
    <row r="240" spans="2:10" s="1" customFormat="1" x14ac:dyDescent="0.25">
      <c r="B240" s="76">
        <f>'Pipe Insulation'!B261</f>
        <v>228</v>
      </c>
      <c r="C240" s="76" t="str">
        <f>IF('Pipe Insulation'!C261="", "", 'Pipe Insulation'!C261)</f>
        <v/>
      </c>
      <c r="D240" s="76" t="str">
        <f>IF('Pipe Insulation'!D261="", "", 'Pipe Insulation'!D261)</f>
        <v/>
      </c>
      <c r="E240" s="69" t="str">
        <f>IF('Pipe Insulation'!E261="", "", 'Pipe Insulation'!E261)</f>
        <v/>
      </c>
      <c r="F240" s="76" t="str">
        <f>IFERROR(VLOOKUP('Pipe Insulation'!G261,'Pipe Insulation'!$AM$142:$AN$149,2,FALSE),"")</f>
        <v/>
      </c>
      <c r="G240" s="86" t="str">
        <f>IF('Pipe Insulation'!W261="", "", 'Pipe Insulation'!W261)</f>
        <v/>
      </c>
      <c r="H240" s="76" t="str">
        <f>IFERROR(VLOOKUP('Pipe Insulation'!Y261,'Pipe Insulation'!$AM$152:$AN$153,2,FALSE),"")</f>
        <v/>
      </c>
      <c r="I240" s="68" t="str">
        <f>IF('Pipe Insulation'!Z261="", "", 'Pipe Insulation'!Z261)</f>
        <v/>
      </c>
      <c r="J240" s="480"/>
    </row>
    <row r="241" spans="2:10" s="1" customFormat="1" x14ac:dyDescent="0.25">
      <c r="B241" s="76">
        <f>'Pipe Insulation'!B262</f>
        <v>229</v>
      </c>
      <c r="C241" s="76" t="str">
        <f>IF('Pipe Insulation'!C262="", "", 'Pipe Insulation'!C262)</f>
        <v/>
      </c>
      <c r="D241" s="76" t="str">
        <f>IF('Pipe Insulation'!D262="", "", 'Pipe Insulation'!D262)</f>
        <v/>
      </c>
      <c r="E241" s="69" t="str">
        <f>IF('Pipe Insulation'!E262="", "", 'Pipe Insulation'!E262)</f>
        <v/>
      </c>
      <c r="F241" s="76" t="str">
        <f>IFERROR(VLOOKUP('Pipe Insulation'!G262,'Pipe Insulation'!$AM$142:$AN$149,2,FALSE),"")</f>
        <v/>
      </c>
      <c r="G241" s="86" t="str">
        <f>IF('Pipe Insulation'!W262="", "", 'Pipe Insulation'!W262)</f>
        <v/>
      </c>
      <c r="H241" s="76" t="str">
        <f>IFERROR(VLOOKUP('Pipe Insulation'!Y262,'Pipe Insulation'!$AM$152:$AN$153,2,FALSE),"")</f>
        <v/>
      </c>
      <c r="I241" s="68" t="str">
        <f>IF('Pipe Insulation'!Z262="", "", 'Pipe Insulation'!Z262)</f>
        <v/>
      </c>
      <c r="J241" s="480"/>
    </row>
    <row r="242" spans="2:10" s="1" customFormat="1" x14ac:dyDescent="0.25">
      <c r="B242" s="76">
        <f>'Pipe Insulation'!B263</f>
        <v>230</v>
      </c>
      <c r="C242" s="76" t="str">
        <f>IF('Pipe Insulation'!C263="", "", 'Pipe Insulation'!C263)</f>
        <v/>
      </c>
      <c r="D242" s="76" t="str">
        <f>IF('Pipe Insulation'!D263="", "", 'Pipe Insulation'!D263)</f>
        <v/>
      </c>
      <c r="E242" s="69" t="str">
        <f>IF('Pipe Insulation'!E263="", "", 'Pipe Insulation'!E263)</f>
        <v/>
      </c>
      <c r="F242" s="76" t="str">
        <f>IFERROR(VLOOKUP('Pipe Insulation'!G263,'Pipe Insulation'!$AM$142:$AN$149,2,FALSE),"")</f>
        <v/>
      </c>
      <c r="G242" s="86" t="str">
        <f>IF('Pipe Insulation'!W263="", "", 'Pipe Insulation'!W263)</f>
        <v/>
      </c>
      <c r="H242" s="76" t="str">
        <f>IFERROR(VLOOKUP('Pipe Insulation'!Y263,'Pipe Insulation'!$AM$152:$AN$153,2,FALSE),"")</f>
        <v/>
      </c>
      <c r="I242" s="68" t="str">
        <f>IF('Pipe Insulation'!Z263="", "", 'Pipe Insulation'!Z263)</f>
        <v/>
      </c>
      <c r="J242" s="480"/>
    </row>
    <row r="243" spans="2:10" s="1" customFormat="1" x14ac:dyDescent="0.25">
      <c r="B243" s="76">
        <f>'Pipe Insulation'!B264</f>
        <v>231</v>
      </c>
      <c r="C243" s="76" t="str">
        <f>IF('Pipe Insulation'!C264="", "", 'Pipe Insulation'!C264)</f>
        <v/>
      </c>
      <c r="D243" s="76" t="str">
        <f>IF('Pipe Insulation'!D264="", "", 'Pipe Insulation'!D264)</f>
        <v/>
      </c>
      <c r="E243" s="69" t="str">
        <f>IF('Pipe Insulation'!E264="", "", 'Pipe Insulation'!E264)</f>
        <v/>
      </c>
      <c r="F243" s="76" t="str">
        <f>IFERROR(VLOOKUP('Pipe Insulation'!G264,'Pipe Insulation'!$AM$142:$AN$149,2,FALSE),"")</f>
        <v/>
      </c>
      <c r="G243" s="86" t="str">
        <f>IF('Pipe Insulation'!W264="", "", 'Pipe Insulation'!W264)</f>
        <v/>
      </c>
      <c r="H243" s="76" t="str">
        <f>IFERROR(VLOOKUP('Pipe Insulation'!Y264,'Pipe Insulation'!$AM$152:$AN$153,2,FALSE),"")</f>
        <v/>
      </c>
      <c r="I243" s="68" t="str">
        <f>IF('Pipe Insulation'!Z264="", "", 'Pipe Insulation'!Z264)</f>
        <v/>
      </c>
      <c r="J243" s="480"/>
    </row>
    <row r="244" spans="2:10" s="1" customFormat="1" x14ac:dyDescent="0.25">
      <c r="B244" s="76">
        <f>'Pipe Insulation'!B265</f>
        <v>232</v>
      </c>
      <c r="C244" s="76" t="str">
        <f>IF('Pipe Insulation'!C265="", "", 'Pipe Insulation'!C265)</f>
        <v/>
      </c>
      <c r="D244" s="76" t="str">
        <f>IF('Pipe Insulation'!D265="", "", 'Pipe Insulation'!D265)</f>
        <v/>
      </c>
      <c r="E244" s="69" t="str">
        <f>IF('Pipe Insulation'!E265="", "", 'Pipe Insulation'!E265)</f>
        <v/>
      </c>
      <c r="F244" s="76" t="str">
        <f>IFERROR(VLOOKUP('Pipe Insulation'!G265,'Pipe Insulation'!$AM$142:$AN$149,2,FALSE),"")</f>
        <v/>
      </c>
      <c r="G244" s="86" t="str">
        <f>IF('Pipe Insulation'!W265="", "", 'Pipe Insulation'!W265)</f>
        <v/>
      </c>
      <c r="H244" s="76" t="str">
        <f>IFERROR(VLOOKUP('Pipe Insulation'!Y265,'Pipe Insulation'!$AM$152:$AN$153,2,FALSE),"")</f>
        <v/>
      </c>
      <c r="I244" s="68" t="str">
        <f>IF('Pipe Insulation'!Z265="", "", 'Pipe Insulation'!Z265)</f>
        <v/>
      </c>
      <c r="J244" s="480"/>
    </row>
    <row r="245" spans="2:10" s="1" customFormat="1" x14ac:dyDescent="0.25">
      <c r="B245" s="76">
        <f>'Pipe Insulation'!B266</f>
        <v>233</v>
      </c>
      <c r="C245" s="76" t="str">
        <f>IF('Pipe Insulation'!C266="", "", 'Pipe Insulation'!C266)</f>
        <v/>
      </c>
      <c r="D245" s="76" t="str">
        <f>IF('Pipe Insulation'!D266="", "", 'Pipe Insulation'!D266)</f>
        <v/>
      </c>
      <c r="E245" s="69" t="str">
        <f>IF('Pipe Insulation'!E266="", "", 'Pipe Insulation'!E266)</f>
        <v/>
      </c>
      <c r="F245" s="76" t="str">
        <f>IFERROR(VLOOKUP('Pipe Insulation'!G266,'Pipe Insulation'!$AM$142:$AN$149,2,FALSE),"")</f>
        <v/>
      </c>
      <c r="G245" s="86" t="str">
        <f>IF('Pipe Insulation'!W266="", "", 'Pipe Insulation'!W266)</f>
        <v/>
      </c>
      <c r="H245" s="76" t="str">
        <f>IFERROR(VLOOKUP('Pipe Insulation'!Y266,'Pipe Insulation'!$AM$152:$AN$153,2,FALSE),"")</f>
        <v/>
      </c>
      <c r="I245" s="68" t="str">
        <f>IF('Pipe Insulation'!Z266="", "", 'Pipe Insulation'!Z266)</f>
        <v/>
      </c>
      <c r="J245" s="480"/>
    </row>
    <row r="246" spans="2:10" s="1" customFormat="1" x14ac:dyDescent="0.25">
      <c r="B246" s="76">
        <f>'Pipe Insulation'!B267</f>
        <v>234</v>
      </c>
      <c r="C246" s="76" t="str">
        <f>IF('Pipe Insulation'!C267="", "", 'Pipe Insulation'!C267)</f>
        <v/>
      </c>
      <c r="D246" s="76" t="str">
        <f>IF('Pipe Insulation'!D267="", "", 'Pipe Insulation'!D267)</f>
        <v/>
      </c>
      <c r="E246" s="69" t="str">
        <f>IF('Pipe Insulation'!E267="", "", 'Pipe Insulation'!E267)</f>
        <v/>
      </c>
      <c r="F246" s="76" t="str">
        <f>IFERROR(VLOOKUP('Pipe Insulation'!G267,'Pipe Insulation'!$AM$142:$AN$149,2,FALSE),"")</f>
        <v/>
      </c>
      <c r="G246" s="86" t="str">
        <f>IF('Pipe Insulation'!W267="", "", 'Pipe Insulation'!W267)</f>
        <v/>
      </c>
      <c r="H246" s="76" t="str">
        <f>IFERROR(VLOOKUP('Pipe Insulation'!Y267,'Pipe Insulation'!$AM$152:$AN$153,2,FALSE),"")</f>
        <v/>
      </c>
      <c r="I246" s="68" t="str">
        <f>IF('Pipe Insulation'!Z267="", "", 'Pipe Insulation'!Z267)</f>
        <v/>
      </c>
      <c r="J246" s="480"/>
    </row>
    <row r="247" spans="2:10" s="1" customFormat="1" x14ac:dyDescent="0.25">
      <c r="B247" s="76">
        <f>'Pipe Insulation'!B268</f>
        <v>235</v>
      </c>
      <c r="C247" s="76" t="str">
        <f>IF('Pipe Insulation'!C268="", "", 'Pipe Insulation'!C268)</f>
        <v/>
      </c>
      <c r="D247" s="76" t="str">
        <f>IF('Pipe Insulation'!D268="", "", 'Pipe Insulation'!D268)</f>
        <v/>
      </c>
      <c r="E247" s="69" t="str">
        <f>IF('Pipe Insulation'!E268="", "", 'Pipe Insulation'!E268)</f>
        <v/>
      </c>
      <c r="F247" s="76" t="str">
        <f>IFERROR(VLOOKUP('Pipe Insulation'!G268,'Pipe Insulation'!$AM$142:$AN$149,2,FALSE),"")</f>
        <v/>
      </c>
      <c r="G247" s="86" t="str">
        <f>IF('Pipe Insulation'!W268="", "", 'Pipe Insulation'!W268)</f>
        <v/>
      </c>
      <c r="H247" s="76" t="str">
        <f>IFERROR(VLOOKUP('Pipe Insulation'!Y268,'Pipe Insulation'!$AM$152:$AN$153,2,FALSE),"")</f>
        <v/>
      </c>
      <c r="I247" s="68" t="str">
        <f>IF('Pipe Insulation'!Z268="", "", 'Pipe Insulation'!Z268)</f>
        <v/>
      </c>
      <c r="J247" s="480"/>
    </row>
    <row r="248" spans="2:10" s="1" customFormat="1" x14ac:dyDescent="0.25">
      <c r="B248" s="76">
        <f>'Pipe Insulation'!B269</f>
        <v>236</v>
      </c>
      <c r="C248" s="76" t="str">
        <f>IF('Pipe Insulation'!C269="", "", 'Pipe Insulation'!C269)</f>
        <v/>
      </c>
      <c r="D248" s="76" t="str">
        <f>IF('Pipe Insulation'!D269="", "", 'Pipe Insulation'!D269)</f>
        <v/>
      </c>
      <c r="E248" s="69" t="str">
        <f>IF('Pipe Insulation'!E269="", "", 'Pipe Insulation'!E269)</f>
        <v/>
      </c>
      <c r="F248" s="76" t="str">
        <f>IFERROR(VLOOKUP('Pipe Insulation'!G269,'Pipe Insulation'!$AM$142:$AN$149,2,FALSE),"")</f>
        <v/>
      </c>
      <c r="G248" s="86" t="str">
        <f>IF('Pipe Insulation'!W269="", "", 'Pipe Insulation'!W269)</f>
        <v/>
      </c>
      <c r="H248" s="76" t="str">
        <f>IFERROR(VLOOKUP('Pipe Insulation'!Y269,'Pipe Insulation'!$AM$152:$AN$153,2,FALSE),"")</f>
        <v/>
      </c>
      <c r="I248" s="68" t="str">
        <f>IF('Pipe Insulation'!Z269="", "", 'Pipe Insulation'!Z269)</f>
        <v/>
      </c>
      <c r="J248" s="480"/>
    </row>
    <row r="249" spans="2:10" s="1" customFormat="1" x14ac:dyDescent="0.25">
      <c r="B249" s="76">
        <f>'Pipe Insulation'!B270</f>
        <v>237</v>
      </c>
      <c r="C249" s="76" t="str">
        <f>IF('Pipe Insulation'!C270="", "", 'Pipe Insulation'!C270)</f>
        <v/>
      </c>
      <c r="D249" s="76" t="str">
        <f>IF('Pipe Insulation'!D270="", "", 'Pipe Insulation'!D270)</f>
        <v/>
      </c>
      <c r="E249" s="69" t="str">
        <f>IF('Pipe Insulation'!E270="", "", 'Pipe Insulation'!E270)</f>
        <v/>
      </c>
      <c r="F249" s="76" t="str">
        <f>IFERROR(VLOOKUP('Pipe Insulation'!G270,'Pipe Insulation'!$AM$142:$AN$149,2,FALSE),"")</f>
        <v/>
      </c>
      <c r="G249" s="86" t="str">
        <f>IF('Pipe Insulation'!W270="", "", 'Pipe Insulation'!W270)</f>
        <v/>
      </c>
      <c r="H249" s="76" t="str">
        <f>IFERROR(VLOOKUP('Pipe Insulation'!Y270,'Pipe Insulation'!$AM$152:$AN$153,2,FALSE),"")</f>
        <v/>
      </c>
      <c r="I249" s="68" t="str">
        <f>IF('Pipe Insulation'!Z270="", "", 'Pipe Insulation'!Z270)</f>
        <v/>
      </c>
      <c r="J249" s="480"/>
    </row>
    <row r="250" spans="2:10" s="1" customFormat="1" x14ac:dyDescent="0.25">
      <c r="B250" s="76">
        <f>'Pipe Insulation'!B271</f>
        <v>238</v>
      </c>
      <c r="C250" s="76" t="str">
        <f>IF('Pipe Insulation'!C271="", "", 'Pipe Insulation'!C271)</f>
        <v/>
      </c>
      <c r="D250" s="76" t="str">
        <f>IF('Pipe Insulation'!D271="", "", 'Pipe Insulation'!D271)</f>
        <v/>
      </c>
      <c r="E250" s="69" t="str">
        <f>IF('Pipe Insulation'!E271="", "", 'Pipe Insulation'!E271)</f>
        <v/>
      </c>
      <c r="F250" s="76" t="str">
        <f>IFERROR(VLOOKUP('Pipe Insulation'!G271,'Pipe Insulation'!$AM$142:$AN$149,2,FALSE),"")</f>
        <v/>
      </c>
      <c r="G250" s="86" t="str">
        <f>IF('Pipe Insulation'!W271="", "", 'Pipe Insulation'!W271)</f>
        <v/>
      </c>
      <c r="H250" s="76" t="str">
        <f>IFERROR(VLOOKUP('Pipe Insulation'!Y271,'Pipe Insulation'!$AM$152:$AN$153,2,FALSE),"")</f>
        <v/>
      </c>
      <c r="I250" s="68" t="str">
        <f>IF('Pipe Insulation'!Z271="", "", 'Pipe Insulation'!Z271)</f>
        <v/>
      </c>
      <c r="J250" s="480"/>
    </row>
    <row r="251" spans="2:10" s="1" customFormat="1" x14ac:dyDescent="0.25">
      <c r="B251" s="76">
        <f>'Pipe Insulation'!B272</f>
        <v>239</v>
      </c>
      <c r="C251" s="76" t="str">
        <f>IF('Pipe Insulation'!C272="", "", 'Pipe Insulation'!C272)</f>
        <v/>
      </c>
      <c r="D251" s="76" t="str">
        <f>IF('Pipe Insulation'!D272="", "", 'Pipe Insulation'!D272)</f>
        <v/>
      </c>
      <c r="E251" s="69" t="str">
        <f>IF('Pipe Insulation'!E272="", "", 'Pipe Insulation'!E272)</f>
        <v/>
      </c>
      <c r="F251" s="76" t="str">
        <f>IFERROR(VLOOKUP('Pipe Insulation'!G272,'Pipe Insulation'!$AM$142:$AN$149,2,FALSE),"")</f>
        <v/>
      </c>
      <c r="G251" s="86" t="str">
        <f>IF('Pipe Insulation'!W272="", "", 'Pipe Insulation'!W272)</f>
        <v/>
      </c>
      <c r="H251" s="76" t="str">
        <f>IFERROR(VLOOKUP('Pipe Insulation'!Y272,'Pipe Insulation'!$AM$152:$AN$153,2,FALSE),"")</f>
        <v/>
      </c>
      <c r="I251" s="68" t="str">
        <f>IF('Pipe Insulation'!Z272="", "", 'Pipe Insulation'!Z272)</f>
        <v/>
      </c>
      <c r="J251" s="480"/>
    </row>
    <row r="252" spans="2:10" s="1" customFormat="1" x14ac:dyDescent="0.25">
      <c r="B252" s="76">
        <f>'Pipe Insulation'!B273</f>
        <v>240</v>
      </c>
      <c r="C252" s="76" t="str">
        <f>IF('Pipe Insulation'!C273="", "", 'Pipe Insulation'!C273)</f>
        <v/>
      </c>
      <c r="D252" s="76" t="str">
        <f>IF('Pipe Insulation'!D273="", "", 'Pipe Insulation'!D273)</f>
        <v/>
      </c>
      <c r="E252" s="69" t="str">
        <f>IF('Pipe Insulation'!E273="", "", 'Pipe Insulation'!E273)</f>
        <v/>
      </c>
      <c r="F252" s="76" t="str">
        <f>IFERROR(VLOOKUP('Pipe Insulation'!G273,'Pipe Insulation'!$AM$142:$AN$149,2,FALSE),"")</f>
        <v/>
      </c>
      <c r="G252" s="86" t="str">
        <f>IF('Pipe Insulation'!W273="", "", 'Pipe Insulation'!W273)</f>
        <v/>
      </c>
      <c r="H252" s="76" t="str">
        <f>IFERROR(VLOOKUP('Pipe Insulation'!Y273,'Pipe Insulation'!$AM$152:$AN$153,2,FALSE),"")</f>
        <v/>
      </c>
      <c r="I252" s="68" t="str">
        <f>IF('Pipe Insulation'!Z273="", "", 'Pipe Insulation'!Z273)</f>
        <v/>
      </c>
      <c r="J252" s="480"/>
    </row>
    <row r="253" spans="2:10" s="1" customFormat="1" x14ac:dyDescent="0.25">
      <c r="B253" s="76">
        <f>'Pipe Insulation'!B274</f>
        <v>241</v>
      </c>
      <c r="C253" s="76" t="str">
        <f>IF('Pipe Insulation'!C274="", "", 'Pipe Insulation'!C274)</f>
        <v/>
      </c>
      <c r="D253" s="76" t="str">
        <f>IF('Pipe Insulation'!D274="", "", 'Pipe Insulation'!D274)</f>
        <v/>
      </c>
      <c r="E253" s="69" t="str">
        <f>IF('Pipe Insulation'!E274="", "", 'Pipe Insulation'!E274)</f>
        <v/>
      </c>
      <c r="F253" s="76" t="str">
        <f>IFERROR(VLOOKUP('Pipe Insulation'!G274,'Pipe Insulation'!$AM$142:$AN$149,2,FALSE),"")</f>
        <v/>
      </c>
      <c r="G253" s="86" t="str">
        <f>IF('Pipe Insulation'!W274="", "", 'Pipe Insulation'!W274)</f>
        <v/>
      </c>
      <c r="H253" s="76" t="str">
        <f>IFERROR(VLOOKUP('Pipe Insulation'!Y274,'Pipe Insulation'!$AM$152:$AN$153,2,FALSE),"")</f>
        <v/>
      </c>
      <c r="I253" s="68" t="str">
        <f>IF('Pipe Insulation'!Z274="", "", 'Pipe Insulation'!Z274)</f>
        <v/>
      </c>
      <c r="J253" s="480"/>
    </row>
    <row r="254" spans="2:10" s="1" customFormat="1" x14ac:dyDescent="0.25">
      <c r="B254" s="76">
        <f>'Pipe Insulation'!B275</f>
        <v>242</v>
      </c>
      <c r="C254" s="76" t="str">
        <f>IF('Pipe Insulation'!C275="", "", 'Pipe Insulation'!C275)</f>
        <v/>
      </c>
      <c r="D254" s="76" t="str">
        <f>IF('Pipe Insulation'!D275="", "", 'Pipe Insulation'!D275)</f>
        <v/>
      </c>
      <c r="E254" s="69" t="str">
        <f>IF('Pipe Insulation'!E275="", "", 'Pipe Insulation'!E275)</f>
        <v/>
      </c>
      <c r="F254" s="76" t="str">
        <f>IFERROR(VLOOKUP('Pipe Insulation'!G275,'Pipe Insulation'!$AM$142:$AN$149,2,FALSE),"")</f>
        <v/>
      </c>
      <c r="G254" s="86" t="str">
        <f>IF('Pipe Insulation'!W275="", "", 'Pipe Insulation'!W275)</f>
        <v/>
      </c>
      <c r="H254" s="76" t="str">
        <f>IFERROR(VLOOKUP('Pipe Insulation'!Y275,'Pipe Insulation'!$AM$152:$AN$153,2,FALSE),"")</f>
        <v/>
      </c>
      <c r="I254" s="68" t="str">
        <f>IF('Pipe Insulation'!Z275="", "", 'Pipe Insulation'!Z275)</f>
        <v/>
      </c>
      <c r="J254" s="480"/>
    </row>
    <row r="255" spans="2:10" s="1" customFormat="1" x14ac:dyDescent="0.25">
      <c r="B255" s="76">
        <f>'Pipe Insulation'!B276</f>
        <v>243</v>
      </c>
      <c r="C255" s="76" t="str">
        <f>IF('Pipe Insulation'!C276="", "", 'Pipe Insulation'!C276)</f>
        <v/>
      </c>
      <c r="D255" s="76" t="str">
        <f>IF('Pipe Insulation'!D276="", "", 'Pipe Insulation'!D276)</f>
        <v/>
      </c>
      <c r="E255" s="69" t="str">
        <f>IF('Pipe Insulation'!E276="", "", 'Pipe Insulation'!E276)</f>
        <v/>
      </c>
      <c r="F255" s="76" t="str">
        <f>IFERROR(VLOOKUP('Pipe Insulation'!G276,'Pipe Insulation'!$AM$142:$AN$149,2,FALSE),"")</f>
        <v/>
      </c>
      <c r="G255" s="86" t="str">
        <f>IF('Pipe Insulation'!W276="", "", 'Pipe Insulation'!W276)</f>
        <v/>
      </c>
      <c r="H255" s="76" t="str">
        <f>IFERROR(VLOOKUP('Pipe Insulation'!Y276,'Pipe Insulation'!$AM$152:$AN$153,2,FALSE),"")</f>
        <v/>
      </c>
      <c r="I255" s="68" t="str">
        <f>IF('Pipe Insulation'!Z276="", "", 'Pipe Insulation'!Z276)</f>
        <v/>
      </c>
      <c r="J255" s="480"/>
    </row>
    <row r="256" spans="2:10" s="1" customFormat="1" x14ac:dyDescent="0.25">
      <c r="B256" s="76">
        <f>'Pipe Insulation'!B277</f>
        <v>244</v>
      </c>
      <c r="C256" s="76" t="str">
        <f>IF('Pipe Insulation'!C277="", "", 'Pipe Insulation'!C277)</f>
        <v/>
      </c>
      <c r="D256" s="76" t="str">
        <f>IF('Pipe Insulation'!D277="", "", 'Pipe Insulation'!D277)</f>
        <v/>
      </c>
      <c r="E256" s="69" t="str">
        <f>IF('Pipe Insulation'!E277="", "", 'Pipe Insulation'!E277)</f>
        <v/>
      </c>
      <c r="F256" s="76" t="str">
        <f>IFERROR(VLOOKUP('Pipe Insulation'!G277,'Pipe Insulation'!$AM$142:$AN$149,2,FALSE),"")</f>
        <v/>
      </c>
      <c r="G256" s="86" t="str">
        <f>IF('Pipe Insulation'!W277="", "", 'Pipe Insulation'!W277)</f>
        <v/>
      </c>
      <c r="H256" s="76" t="str">
        <f>IFERROR(VLOOKUP('Pipe Insulation'!Y277,'Pipe Insulation'!$AM$152:$AN$153,2,FALSE),"")</f>
        <v/>
      </c>
      <c r="I256" s="68" t="str">
        <f>IF('Pipe Insulation'!Z277="", "", 'Pipe Insulation'!Z277)</f>
        <v/>
      </c>
      <c r="J256" s="480"/>
    </row>
    <row r="257" spans="2:10" s="1" customFormat="1" x14ac:dyDescent="0.25">
      <c r="B257" s="76">
        <f>'Pipe Insulation'!B278</f>
        <v>245</v>
      </c>
      <c r="C257" s="76" t="str">
        <f>IF('Pipe Insulation'!C278="", "", 'Pipe Insulation'!C278)</f>
        <v/>
      </c>
      <c r="D257" s="76" t="str">
        <f>IF('Pipe Insulation'!D278="", "", 'Pipe Insulation'!D278)</f>
        <v/>
      </c>
      <c r="E257" s="69" t="str">
        <f>IF('Pipe Insulation'!E278="", "", 'Pipe Insulation'!E278)</f>
        <v/>
      </c>
      <c r="F257" s="76" t="str">
        <f>IFERROR(VLOOKUP('Pipe Insulation'!G278,'Pipe Insulation'!$AM$142:$AN$149,2,FALSE),"")</f>
        <v/>
      </c>
      <c r="G257" s="86" t="str">
        <f>IF('Pipe Insulation'!W278="", "", 'Pipe Insulation'!W278)</f>
        <v/>
      </c>
      <c r="H257" s="76" t="str">
        <f>IFERROR(VLOOKUP('Pipe Insulation'!Y278,'Pipe Insulation'!$AM$152:$AN$153,2,FALSE),"")</f>
        <v/>
      </c>
      <c r="I257" s="68" t="str">
        <f>IF('Pipe Insulation'!Z278="", "", 'Pipe Insulation'!Z278)</f>
        <v/>
      </c>
      <c r="J257" s="480"/>
    </row>
    <row r="258" spans="2:10" s="1" customFormat="1" x14ac:dyDescent="0.25">
      <c r="B258" s="76">
        <f>'Pipe Insulation'!B279</f>
        <v>246</v>
      </c>
      <c r="C258" s="76" t="str">
        <f>IF('Pipe Insulation'!C279="", "", 'Pipe Insulation'!C279)</f>
        <v/>
      </c>
      <c r="D258" s="76" t="str">
        <f>IF('Pipe Insulation'!D279="", "", 'Pipe Insulation'!D279)</f>
        <v/>
      </c>
      <c r="E258" s="69" t="str">
        <f>IF('Pipe Insulation'!E279="", "", 'Pipe Insulation'!E279)</f>
        <v/>
      </c>
      <c r="F258" s="76" t="str">
        <f>IFERROR(VLOOKUP('Pipe Insulation'!G279,'Pipe Insulation'!$AM$142:$AN$149,2,FALSE),"")</f>
        <v/>
      </c>
      <c r="G258" s="86" t="str">
        <f>IF('Pipe Insulation'!W279="", "", 'Pipe Insulation'!W279)</f>
        <v/>
      </c>
      <c r="H258" s="76" t="str">
        <f>IFERROR(VLOOKUP('Pipe Insulation'!Y279,'Pipe Insulation'!$AM$152:$AN$153,2,FALSE),"")</f>
        <v/>
      </c>
      <c r="I258" s="68" t="str">
        <f>IF('Pipe Insulation'!Z279="", "", 'Pipe Insulation'!Z279)</f>
        <v/>
      </c>
      <c r="J258" s="480"/>
    </row>
    <row r="259" spans="2:10" s="1" customFormat="1" x14ac:dyDescent="0.25">
      <c r="B259" s="76">
        <f>'Pipe Insulation'!B280</f>
        <v>247</v>
      </c>
      <c r="C259" s="76" t="str">
        <f>IF('Pipe Insulation'!C280="", "", 'Pipe Insulation'!C280)</f>
        <v/>
      </c>
      <c r="D259" s="76" t="str">
        <f>IF('Pipe Insulation'!D280="", "", 'Pipe Insulation'!D280)</f>
        <v/>
      </c>
      <c r="E259" s="69" t="str">
        <f>IF('Pipe Insulation'!E280="", "", 'Pipe Insulation'!E280)</f>
        <v/>
      </c>
      <c r="F259" s="76" t="str">
        <f>IFERROR(VLOOKUP('Pipe Insulation'!G280,'Pipe Insulation'!$AM$142:$AN$149,2,FALSE),"")</f>
        <v/>
      </c>
      <c r="G259" s="86" t="str">
        <f>IF('Pipe Insulation'!W280="", "", 'Pipe Insulation'!W280)</f>
        <v/>
      </c>
      <c r="H259" s="76" t="str">
        <f>IFERROR(VLOOKUP('Pipe Insulation'!Y280,'Pipe Insulation'!$AM$152:$AN$153,2,FALSE),"")</f>
        <v/>
      </c>
      <c r="I259" s="68" t="str">
        <f>IF('Pipe Insulation'!Z280="", "", 'Pipe Insulation'!Z280)</f>
        <v/>
      </c>
      <c r="J259" s="480"/>
    </row>
    <row r="260" spans="2:10" s="1" customFormat="1" x14ac:dyDescent="0.25">
      <c r="B260" s="76">
        <f>'Pipe Insulation'!B281</f>
        <v>248</v>
      </c>
      <c r="C260" s="76" t="str">
        <f>IF('Pipe Insulation'!C281="", "", 'Pipe Insulation'!C281)</f>
        <v/>
      </c>
      <c r="D260" s="76" t="str">
        <f>IF('Pipe Insulation'!D281="", "", 'Pipe Insulation'!D281)</f>
        <v/>
      </c>
      <c r="E260" s="69" t="str">
        <f>IF('Pipe Insulation'!E281="", "", 'Pipe Insulation'!E281)</f>
        <v/>
      </c>
      <c r="F260" s="76" t="str">
        <f>IFERROR(VLOOKUP('Pipe Insulation'!G281,'Pipe Insulation'!$AM$142:$AN$149,2,FALSE),"")</f>
        <v/>
      </c>
      <c r="G260" s="86" t="str">
        <f>IF('Pipe Insulation'!W281="", "", 'Pipe Insulation'!W281)</f>
        <v/>
      </c>
      <c r="H260" s="76" t="str">
        <f>IFERROR(VLOOKUP('Pipe Insulation'!Y281,'Pipe Insulation'!$AM$152:$AN$153,2,FALSE),"")</f>
        <v/>
      </c>
      <c r="I260" s="68" t="str">
        <f>IF('Pipe Insulation'!Z281="", "", 'Pipe Insulation'!Z281)</f>
        <v/>
      </c>
      <c r="J260" s="480"/>
    </row>
    <row r="261" spans="2:10" s="1" customFormat="1" x14ac:dyDescent="0.25">
      <c r="B261" s="76">
        <f>'Pipe Insulation'!B282</f>
        <v>249</v>
      </c>
      <c r="C261" s="76" t="str">
        <f>IF('Pipe Insulation'!C282="", "", 'Pipe Insulation'!C282)</f>
        <v/>
      </c>
      <c r="D261" s="76" t="str">
        <f>IF('Pipe Insulation'!D282="", "", 'Pipe Insulation'!D282)</f>
        <v/>
      </c>
      <c r="E261" s="69" t="str">
        <f>IF('Pipe Insulation'!E282="", "", 'Pipe Insulation'!E282)</f>
        <v/>
      </c>
      <c r="F261" s="76" t="str">
        <f>IFERROR(VLOOKUP('Pipe Insulation'!G282,'Pipe Insulation'!$AM$142:$AN$149,2,FALSE),"")</f>
        <v/>
      </c>
      <c r="G261" s="86" t="str">
        <f>IF('Pipe Insulation'!W282="", "", 'Pipe Insulation'!W282)</f>
        <v/>
      </c>
      <c r="H261" s="76" t="str">
        <f>IFERROR(VLOOKUP('Pipe Insulation'!Y282,'Pipe Insulation'!$AM$152:$AN$153,2,FALSE),"")</f>
        <v/>
      </c>
      <c r="I261" s="68" t="str">
        <f>IF('Pipe Insulation'!Z282="", "", 'Pipe Insulation'!Z282)</f>
        <v/>
      </c>
      <c r="J261" s="480"/>
    </row>
    <row r="262" spans="2:10" s="1" customFormat="1" x14ac:dyDescent="0.25">
      <c r="B262" s="76">
        <f>'Pipe Insulation'!B283</f>
        <v>250</v>
      </c>
      <c r="C262" s="76" t="str">
        <f>IF('Pipe Insulation'!C283="", "", 'Pipe Insulation'!C283)</f>
        <v/>
      </c>
      <c r="D262" s="76" t="str">
        <f>IF('Pipe Insulation'!D283="", "", 'Pipe Insulation'!D283)</f>
        <v/>
      </c>
      <c r="E262" s="69" t="str">
        <f>IF('Pipe Insulation'!E283="", "", 'Pipe Insulation'!E283)</f>
        <v/>
      </c>
      <c r="F262" s="76" t="str">
        <f>IFERROR(VLOOKUP('Pipe Insulation'!G283,'Pipe Insulation'!$AM$142:$AN$149,2,FALSE),"")</f>
        <v/>
      </c>
      <c r="G262" s="86" t="str">
        <f>IF('Pipe Insulation'!W283="", "", 'Pipe Insulation'!W283)</f>
        <v/>
      </c>
      <c r="H262" s="76" t="str">
        <f>IFERROR(VLOOKUP('Pipe Insulation'!Y283,'Pipe Insulation'!$AM$152:$AN$153,2,FALSE),"")</f>
        <v/>
      </c>
      <c r="I262" s="68" t="str">
        <f>IF('Pipe Insulation'!Z283="", "", 'Pipe Insulation'!Z283)</f>
        <v/>
      </c>
      <c r="J262" s="480"/>
    </row>
    <row r="263" spans="2:10" s="1" customFormat="1" x14ac:dyDescent="0.25">
      <c r="B263" s="76">
        <f>'Pipe Insulation'!B284</f>
        <v>251</v>
      </c>
      <c r="C263" s="76" t="str">
        <f>IF('Pipe Insulation'!C284="", "", 'Pipe Insulation'!C284)</f>
        <v/>
      </c>
      <c r="D263" s="76" t="str">
        <f>IF('Pipe Insulation'!D284="", "", 'Pipe Insulation'!D284)</f>
        <v/>
      </c>
      <c r="E263" s="69" t="str">
        <f>IF('Pipe Insulation'!E284="", "", 'Pipe Insulation'!E284)</f>
        <v/>
      </c>
      <c r="F263" s="76" t="str">
        <f>IFERROR(VLOOKUP('Pipe Insulation'!G284,'Pipe Insulation'!$AM$142:$AN$149,2,FALSE),"")</f>
        <v/>
      </c>
      <c r="G263" s="86" t="str">
        <f>IF('Pipe Insulation'!W284="", "", 'Pipe Insulation'!W284)</f>
        <v/>
      </c>
      <c r="H263" s="76" t="str">
        <f>IFERROR(VLOOKUP('Pipe Insulation'!Y284,'Pipe Insulation'!$AM$152:$AN$153,2,FALSE),"")</f>
        <v/>
      </c>
      <c r="I263" s="68" t="str">
        <f>IF('Pipe Insulation'!Z284="", "", 'Pipe Insulation'!Z284)</f>
        <v/>
      </c>
      <c r="J263" s="480"/>
    </row>
    <row r="264" spans="2:10" s="1" customFormat="1" x14ac:dyDescent="0.25">
      <c r="B264" s="76">
        <f>'Pipe Insulation'!B285</f>
        <v>252</v>
      </c>
      <c r="C264" s="76" t="str">
        <f>IF('Pipe Insulation'!C285="", "", 'Pipe Insulation'!C285)</f>
        <v/>
      </c>
      <c r="D264" s="76" t="str">
        <f>IF('Pipe Insulation'!D285="", "", 'Pipe Insulation'!D285)</f>
        <v/>
      </c>
      <c r="E264" s="69" t="str">
        <f>IF('Pipe Insulation'!E285="", "", 'Pipe Insulation'!E285)</f>
        <v/>
      </c>
      <c r="F264" s="76" t="str">
        <f>IFERROR(VLOOKUP('Pipe Insulation'!G285,'Pipe Insulation'!$AM$142:$AN$149,2,FALSE),"")</f>
        <v/>
      </c>
      <c r="G264" s="86" t="str">
        <f>IF('Pipe Insulation'!W285="", "", 'Pipe Insulation'!W285)</f>
        <v/>
      </c>
      <c r="H264" s="76" t="str">
        <f>IFERROR(VLOOKUP('Pipe Insulation'!Y285,'Pipe Insulation'!$AM$152:$AN$153,2,FALSE),"")</f>
        <v/>
      </c>
      <c r="I264" s="68" t="str">
        <f>IF('Pipe Insulation'!Z285="", "", 'Pipe Insulation'!Z285)</f>
        <v/>
      </c>
      <c r="J264" s="480"/>
    </row>
    <row r="265" spans="2:10" s="1" customFormat="1" x14ac:dyDescent="0.25">
      <c r="B265" s="76">
        <f>'Pipe Insulation'!B286</f>
        <v>253</v>
      </c>
      <c r="C265" s="76" t="str">
        <f>IF('Pipe Insulation'!C286="", "", 'Pipe Insulation'!C286)</f>
        <v/>
      </c>
      <c r="D265" s="76" t="str">
        <f>IF('Pipe Insulation'!D286="", "", 'Pipe Insulation'!D286)</f>
        <v/>
      </c>
      <c r="E265" s="69" t="str">
        <f>IF('Pipe Insulation'!E286="", "", 'Pipe Insulation'!E286)</f>
        <v/>
      </c>
      <c r="F265" s="76" t="str">
        <f>IFERROR(VLOOKUP('Pipe Insulation'!G286,'Pipe Insulation'!$AM$142:$AN$149,2,FALSE),"")</f>
        <v/>
      </c>
      <c r="G265" s="86" t="str">
        <f>IF('Pipe Insulation'!W286="", "", 'Pipe Insulation'!W286)</f>
        <v/>
      </c>
      <c r="H265" s="76" t="str">
        <f>IFERROR(VLOOKUP('Pipe Insulation'!Y286,'Pipe Insulation'!$AM$152:$AN$153,2,FALSE),"")</f>
        <v/>
      </c>
      <c r="I265" s="68" t="str">
        <f>IF('Pipe Insulation'!Z286="", "", 'Pipe Insulation'!Z286)</f>
        <v/>
      </c>
      <c r="J265" s="480"/>
    </row>
    <row r="266" spans="2:10" s="1" customFormat="1" x14ac:dyDescent="0.25">
      <c r="B266" s="76">
        <f>'Pipe Insulation'!B287</f>
        <v>254</v>
      </c>
      <c r="C266" s="76" t="str">
        <f>IF('Pipe Insulation'!C287="", "", 'Pipe Insulation'!C287)</f>
        <v/>
      </c>
      <c r="D266" s="76" t="str">
        <f>IF('Pipe Insulation'!D287="", "", 'Pipe Insulation'!D287)</f>
        <v/>
      </c>
      <c r="E266" s="69" t="str">
        <f>IF('Pipe Insulation'!E287="", "", 'Pipe Insulation'!E287)</f>
        <v/>
      </c>
      <c r="F266" s="76" t="str">
        <f>IFERROR(VLOOKUP('Pipe Insulation'!G287,'Pipe Insulation'!$AM$142:$AN$149,2,FALSE),"")</f>
        <v/>
      </c>
      <c r="G266" s="86" t="str">
        <f>IF('Pipe Insulation'!W287="", "", 'Pipe Insulation'!W287)</f>
        <v/>
      </c>
      <c r="H266" s="76" t="str">
        <f>IFERROR(VLOOKUP('Pipe Insulation'!Y287,'Pipe Insulation'!$AM$152:$AN$153,2,FALSE),"")</f>
        <v/>
      </c>
      <c r="I266" s="68" t="str">
        <f>IF('Pipe Insulation'!Z287="", "", 'Pipe Insulation'!Z287)</f>
        <v/>
      </c>
      <c r="J266" s="480"/>
    </row>
    <row r="267" spans="2:10" s="1" customFormat="1" x14ac:dyDescent="0.25">
      <c r="B267" s="76">
        <f>'Pipe Insulation'!B288</f>
        <v>255</v>
      </c>
      <c r="C267" s="76" t="str">
        <f>IF('Pipe Insulation'!C288="", "", 'Pipe Insulation'!C288)</f>
        <v/>
      </c>
      <c r="D267" s="76" t="str">
        <f>IF('Pipe Insulation'!D288="", "", 'Pipe Insulation'!D288)</f>
        <v/>
      </c>
      <c r="E267" s="69" t="str">
        <f>IF('Pipe Insulation'!E288="", "", 'Pipe Insulation'!E288)</f>
        <v/>
      </c>
      <c r="F267" s="76" t="str">
        <f>IFERROR(VLOOKUP('Pipe Insulation'!G288,'Pipe Insulation'!$AM$142:$AN$149,2,FALSE),"")</f>
        <v/>
      </c>
      <c r="G267" s="86" t="str">
        <f>IF('Pipe Insulation'!W288="", "", 'Pipe Insulation'!W288)</f>
        <v/>
      </c>
      <c r="H267" s="76" t="str">
        <f>IFERROR(VLOOKUP('Pipe Insulation'!Y288,'Pipe Insulation'!$AM$152:$AN$153,2,FALSE),"")</f>
        <v/>
      </c>
      <c r="I267" s="68" t="str">
        <f>IF('Pipe Insulation'!Z288="", "", 'Pipe Insulation'!Z288)</f>
        <v/>
      </c>
      <c r="J267" s="480"/>
    </row>
    <row r="268" spans="2:10" s="1" customFormat="1" x14ac:dyDescent="0.25">
      <c r="B268" s="76">
        <f>'Pipe Insulation'!B289</f>
        <v>256</v>
      </c>
      <c r="C268" s="76" t="str">
        <f>IF('Pipe Insulation'!C289="", "", 'Pipe Insulation'!C289)</f>
        <v/>
      </c>
      <c r="D268" s="76" t="str">
        <f>IF('Pipe Insulation'!D289="", "", 'Pipe Insulation'!D289)</f>
        <v/>
      </c>
      <c r="E268" s="69" t="str">
        <f>IF('Pipe Insulation'!E289="", "", 'Pipe Insulation'!E289)</f>
        <v/>
      </c>
      <c r="F268" s="76" t="str">
        <f>IFERROR(VLOOKUP('Pipe Insulation'!G289,'Pipe Insulation'!$AM$142:$AN$149,2,FALSE),"")</f>
        <v/>
      </c>
      <c r="G268" s="86" t="str">
        <f>IF('Pipe Insulation'!W289="", "", 'Pipe Insulation'!W289)</f>
        <v/>
      </c>
      <c r="H268" s="76" t="str">
        <f>IFERROR(VLOOKUP('Pipe Insulation'!Y289,'Pipe Insulation'!$AM$152:$AN$153,2,FALSE),"")</f>
        <v/>
      </c>
      <c r="I268" s="68" t="str">
        <f>IF('Pipe Insulation'!Z289="", "", 'Pipe Insulation'!Z289)</f>
        <v/>
      </c>
      <c r="J268" s="480"/>
    </row>
    <row r="269" spans="2:10" s="1" customFormat="1" x14ac:dyDescent="0.25">
      <c r="B269" s="76">
        <f>'Pipe Insulation'!B290</f>
        <v>257</v>
      </c>
      <c r="C269" s="76" t="str">
        <f>IF('Pipe Insulation'!C290="", "", 'Pipe Insulation'!C290)</f>
        <v/>
      </c>
      <c r="D269" s="76" t="str">
        <f>IF('Pipe Insulation'!D290="", "", 'Pipe Insulation'!D290)</f>
        <v/>
      </c>
      <c r="E269" s="69" t="str">
        <f>IF('Pipe Insulation'!E290="", "", 'Pipe Insulation'!E290)</f>
        <v/>
      </c>
      <c r="F269" s="76" t="str">
        <f>IFERROR(VLOOKUP('Pipe Insulation'!G290,'Pipe Insulation'!$AM$142:$AN$149,2,FALSE),"")</f>
        <v/>
      </c>
      <c r="G269" s="86" t="str">
        <f>IF('Pipe Insulation'!W290="", "", 'Pipe Insulation'!W290)</f>
        <v/>
      </c>
      <c r="H269" s="76" t="str">
        <f>IFERROR(VLOOKUP('Pipe Insulation'!Y290,'Pipe Insulation'!$AM$152:$AN$153,2,FALSE),"")</f>
        <v/>
      </c>
      <c r="I269" s="68" t="str">
        <f>IF('Pipe Insulation'!Z290="", "", 'Pipe Insulation'!Z290)</f>
        <v/>
      </c>
      <c r="J269" s="480"/>
    </row>
    <row r="270" spans="2:10" s="1" customFormat="1" x14ac:dyDescent="0.25">
      <c r="B270" s="76">
        <f>'Pipe Insulation'!B291</f>
        <v>258</v>
      </c>
      <c r="C270" s="76" t="str">
        <f>IF('Pipe Insulation'!C291="", "", 'Pipe Insulation'!C291)</f>
        <v/>
      </c>
      <c r="D270" s="76" t="str">
        <f>IF('Pipe Insulation'!D291="", "", 'Pipe Insulation'!D291)</f>
        <v/>
      </c>
      <c r="E270" s="69" t="str">
        <f>IF('Pipe Insulation'!E291="", "", 'Pipe Insulation'!E291)</f>
        <v/>
      </c>
      <c r="F270" s="76" t="str">
        <f>IFERROR(VLOOKUP('Pipe Insulation'!G291,'Pipe Insulation'!$AM$142:$AN$149,2,FALSE),"")</f>
        <v/>
      </c>
      <c r="G270" s="86" t="str">
        <f>IF('Pipe Insulation'!W291="", "", 'Pipe Insulation'!W291)</f>
        <v/>
      </c>
      <c r="H270" s="76" t="str">
        <f>IFERROR(VLOOKUP('Pipe Insulation'!Y291,'Pipe Insulation'!$AM$152:$AN$153,2,FALSE),"")</f>
        <v/>
      </c>
      <c r="I270" s="68" t="str">
        <f>IF('Pipe Insulation'!Z291="", "", 'Pipe Insulation'!Z291)</f>
        <v/>
      </c>
      <c r="J270" s="480"/>
    </row>
    <row r="271" spans="2:10" s="1" customFormat="1" x14ac:dyDescent="0.25">
      <c r="B271" s="76">
        <f>'Pipe Insulation'!B292</f>
        <v>259</v>
      </c>
      <c r="C271" s="76" t="str">
        <f>IF('Pipe Insulation'!C292="", "", 'Pipe Insulation'!C292)</f>
        <v/>
      </c>
      <c r="D271" s="76" t="str">
        <f>IF('Pipe Insulation'!D292="", "", 'Pipe Insulation'!D292)</f>
        <v/>
      </c>
      <c r="E271" s="69" t="str">
        <f>IF('Pipe Insulation'!E292="", "", 'Pipe Insulation'!E292)</f>
        <v/>
      </c>
      <c r="F271" s="76" t="str">
        <f>IFERROR(VLOOKUP('Pipe Insulation'!G292,'Pipe Insulation'!$AM$142:$AN$149,2,FALSE),"")</f>
        <v/>
      </c>
      <c r="G271" s="86" t="str">
        <f>IF('Pipe Insulation'!W292="", "", 'Pipe Insulation'!W292)</f>
        <v/>
      </c>
      <c r="H271" s="76" t="str">
        <f>IFERROR(VLOOKUP('Pipe Insulation'!Y292,'Pipe Insulation'!$AM$152:$AN$153,2,FALSE),"")</f>
        <v/>
      </c>
      <c r="I271" s="68" t="str">
        <f>IF('Pipe Insulation'!Z292="", "", 'Pipe Insulation'!Z292)</f>
        <v/>
      </c>
      <c r="J271" s="480"/>
    </row>
    <row r="272" spans="2:10" s="1" customFormat="1" x14ac:dyDescent="0.25">
      <c r="B272" s="76">
        <f>'Pipe Insulation'!B293</f>
        <v>260</v>
      </c>
      <c r="C272" s="76" t="str">
        <f>IF('Pipe Insulation'!C293="", "", 'Pipe Insulation'!C293)</f>
        <v/>
      </c>
      <c r="D272" s="76" t="str">
        <f>IF('Pipe Insulation'!D293="", "", 'Pipe Insulation'!D293)</f>
        <v/>
      </c>
      <c r="E272" s="69" t="str">
        <f>IF('Pipe Insulation'!E293="", "", 'Pipe Insulation'!E293)</f>
        <v/>
      </c>
      <c r="F272" s="76" t="str">
        <f>IFERROR(VLOOKUP('Pipe Insulation'!G293,'Pipe Insulation'!$AM$142:$AN$149,2,FALSE),"")</f>
        <v/>
      </c>
      <c r="G272" s="86" t="str">
        <f>IF('Pipe Insulation'!W293="", "", 'Pipe Insulation'!W293)</f>
        <v/>
      </c>
      <c r="H272" s="76" t="str">
        <f>IFERROR(VLOOKUP('Pipe Insulation'!Y293,'Pipe Insulation'!$AM$152:$AN$153,2,FALSE),"")</f>
        <v/>
      </c>
      <c r="I272" s="68" t="str">
        <f>IF('Pipe Insulation'!Z293="", "", 'Pipe Insulation'!Z293)</f>
        <v/>
      </c>
      <c r="J272" s="480"/>
    </row>
    <row r="273" spans="2:10" s="1" customFormat="1" x14ac:dyDescent="0.25">
      <c r="B273" s="76">
        <f>'Pipe Insulation'!B294</f>
        <v>261</v>
      </c>
      <c r="C273" s="76" t="str">
        <f>IF('Pipe Insulation'!C294="", "", 'Pipe Insulation'!C294)</f>
        <v/>
      </c>
      <c r="D273" s="76" t="str">
        <f>IF('Pipe Insulation'!D294="", "", 'Pipe Insulation'!D294)</f>
        <v/>
      </c>
      <c r="E273" s="69" t="str">
        <f>IF('Pipe Insulation'!E294="", "", 'Pipe Insulation'!E294)</f>
        <v/>
      </c>
      <c r="F273" s="76" t="str">
        <f>IFERROR(VLOOKUP('Pipe Insulation'!G294,'Pipe Insulation'!$AM$142:$AN$149,2,FALSE),"")</f>
        <v/>
      </c>
      <c r="G273" s="86" t="str">
        <f>IF('Pipe Insulation'!W294="", "", 'Pipe Insulation'!W294)</f>
        <v/>
      </c>
      <c r="H273" s="76" t="str">
        <f>IFERROR(VLOOKUP('Pipe Insulation'!Y294,'Pipe Insulation'!$AM$152:$AN$153,2,FALSE),"")</f>
        <v/>
      </c>
      <c r="I273" s="68" t="str">
        <f>IF('Pipe Insulation'!Z294="", "", 'Pipe Insulation'!Z294)</f>
        <v/>
      </c>
      <c r="J273" s="480"/>
    </row>
    <row r="274" spans="2:10" s="1" customFormat="1" x14ac:dyDescent="0.25">
      <c r="B274" s="76">
        <f>'Pipe Insulation'!B295</f>
        <v>262</v>
      </c>
      <c r="C274" s="76" t="str">
        <f>IF('Pipe Insulation'!C295="", "", 'Pipe Insulation'!C295)</f>
        <v/>
      </c>
      <c r="D274" s="76" t="str">
        <f>IF('Pipe Insulation'!D295="", "", 'Pipe Insulation'!D295)</f>
        <v/>
      </c>
      <c r="E274" s="69" t="str">
        <f>IF('Pipe Insulation'!E295="", "", 'Pipe Insulation'!E295)</f>
        <v/>
      </c>
      <c r="F274" s="76" t="str">
        <f>IFERROR(VLOOKUP('Pipe Insulation'!G295,'Pipe Insulation'!$AM$142:$AN$149,2,FALSE),"")</f>
        <v/>
      </c>
      <c r="G274" s="86" t="str">
        <f>IF('Pipe Insulation'!W295="", "", 'Pipe Insulation'!W295)</f>
        <v/>
      </c>
      <c r="H274" s="76" t="str">
        <f>IFERROR(VLOOKUP('Pipe Insulation'!Y295,'Pipe Insulation'!$AM$152:$AN$153,2,FALSE),"")</f>
        <v/>
      </c>
      <c r="I274" s="68" t="str">
        <f>IF('Pipe Insulation'!Z295="", "", 'Pipe Insulation'!Z295)</f>
        <v/>
      </c>
      <c r="J274" s="480"/>
    </row>
    <row r="275" spans="2:10" s="1" customFormat="1" x14ac:dyDescent="0.25">
      <c r="B275" s="76">
        <f>'Pipe Insulation'!B296</f>
        <v>263</v>
      </c>
      <c r="C275" s="76" t="str">
        <f>IF('Pipe Insulation'!C296="", "", 'Pipe Insulation'!C296)</f>
        <v/>
      </c>
      <c r="D275" s="76" t="str">
        <f>IF('Pipe Insulation'!D296="", "", 'Pipe Insulation'!D296)</f>
        <v/>
      </c>
      <c r="E275" s="69" t="str">
        <f>IF('Pipe Insulation'!E296="", "", 'Pipe Insulation'!E296)</f>
        <v/>
      </c>
      <c r="F275" s="76" t="str">
        <f>IFERROR(VLOOKUP('Pipe Insulation'!G296,'Pipe Insulation'!$AM$142:$AN$149,2,FALSE),"")</f>
        <v/>
      </c>
      <c r="G275" s="86" t="str">
        <f>IF('Pipe Insulation'!W296="", "", 'Pipe Insulation'!W296)</f>
        <v/>
      </c>
      <c r="H275" s="76" t="str">
        <f>IFERROR(VLOOKUP('Pipe Insulation'!Y296,'Pipe Insulation'!$AM$152:$AN$153,2,FALSE),"")</f>
        <v/>
      </c>
      <c r="I275" s="68" t="str">
        <f>IF('Pipe Insulation'!Z296="", "", 'Pipe Insulation'!Z296)</f>
        <v/>
      </c>
      <c r="J275" s="480"/>
    </row>
    <row r="276" spans="2:10" s="1" customFormat="1" x14ac:dyDescent="0.25">
      <c r="B276" s="76">
        <f>'Pipe Insulation'!B297</f>
        <v>264</v>
      </c>
      <c r="C276" s="76" t="str">
        <f>IF('Pipe Insulation'!C297="", "", 'Pipe Insulation'!C297)</f>
        <v/>
      </c>
      <c r="D276" s="76" t="str">
        <f>IF('Pipe Insulation'!D297="", "", 'Pipe Insulation'!D297)</f>
        <v/>
      </c>
      <c r="E276" s="69" t="str">
        <f>IF('Pipe Insulation'!E297="", "", 'Pipe Insulation'!E297)</f>
        <v/>
      </c>
      <c r="F276" s="76" t="str">
        <f>IFERROR(VLOOKUP('Pipe Insulation'!G297,'Pipe Insulation'!$AM$142:$AN$149,2,FALSE),"")</f>
        <v/>
      </c>
      <c r="G276" s="86" t="str">
        <f>IF('Pipe Insulation'!W297="", "", 'Pipe Insulation'!W297)</f>
        <v/>
      </c>
      <c r="H276" s="76" t="str">
        <f>IFERROR(VLOOKUP('Pipe Insulation'!Y297,'Pipe Insulation'!$AM$152:$AN$153,2,FALSE),"")</f>
        <v/>
      </c>
      <c r="I276" s="68" t="str">
        <f>IF('Pipe Insulation'!Z297="", "", 'Pipe Insulation'!Z297)</f>
        <v/>
      </c>
      <c r="J276" s="480"/>
    </row>
    <row r="277" spans="2:10" s="1" customFormat="1" x14ac:dyDescent="0.25">
      <c r="B277" s="76">
        <f>'Pipe Insulation'!B298</f>
        <v>265</v>
      </c>
      <c r="C277" s="76" t="str">
        <f>IF('Pipe Insulation'!C298="", "", 'Pipe Insulation'!C298)</f>
        <v/>
      </c>
      <c r="D277" s="76" t="str">
        <f>IF('Pipe Insulation'!D298="", "", 'Pipe Insulation'!D298)</f>
        <v/>
      </c>
      <c r="E277" s="69" t="str">
        <f>IF('Pipe Insulation'!E298="", "", 'Pipe Insulation'!E298)</f>
        <v/>
      </c>
      <c r="F277" s="76" t="str">
        <f>IFERROR(VLOOKUP('Pipe Insulation'!G298,'Pipe Insulation'!$AM$142:$AN$149,2,FALSE),"")</f>
        <v/>
      </c>
      <c r="G277" s="86" t="str">
        <f>IF('Pipe Insulation'!W298="", "", 'Pipe Insulation'!W298)</f>
        <v/>
      </c>
      <c r="H277" s="76" t="str">
        <f>IFERROR(VLOOKUP('Pipe Insulation'!Y298,'Pipe Insulation'!$AM$152:$AN$153,2,FALSE),"")</f>
        <v/>
      </c>
      <c r="I277" s="68" t="str">
        <f>IF('Pipe Insulation'!Z298="", "", 'Pipe Insulation'!Z298)</f>
        <v/>
      </c>
      <c r="J277" s="480"/>
    </row>
    <row r="278" spans="2:10" s="1" customFormat="1" x14ac:dyDescent="0.25">
      <c r="B278" s="76">
        <f>'Pipe Insulation'!B299</f>
        <v>266</v>
      </c>
      <c r="C278" s="76" t="str">
        <f>IF('Pipe Insulation'!C299="", "", 'Pipe Insulation'!C299)</f>
        <v/>
      </c>
      <c r="D278" s="76" t="str">
        <f>IF('Pipe Insulation'!D299="", "", 'Pipe Insulation'!D299)</f>
        <v/>
      </c>
      <c r="E278" s="69" t="str">
        <f>IF('Pipe Insulation'!E299="", "", 'Pipe Insulation'!E299)</f>
        <v/>
      </c>
      <c r="F278" s="76" t="str">
        <f>IFERROR(VLOOKUP('Pipe Insulation'!G299,'Pipe Insulation'!$AM$142:$AN$149,2,FALSE),"")</f>
        <v/>
      </c>
      <c r="G278" s="86" t="str">
        <f>IF('Pipe Insulation'!W299="", "", 'Pipe Insulation'!W299)</f>
        <v/>
      </c>
      <c r="H278" s="76" t="str">
        <f>IFERROR(VLOOKUP('Pipe Insulation'!Y299,'Pipe Insulation'!$AM$152:$AN$153,2,FALSE),"")</f>
        <v/>
      </c>
      <c r="I278" s="68" t="str">
        <f>IF('Pipe Insulation'!Z299="", "", 'Pipe Insulation'!Z299)</f>
        <v/>
      </c>
      <c r="J278" s="480"/>
    </row>
    <row r="279" spans="2:10" s="1" customFormat="1" x14ac:dyDescent="0.25">
      <c r="B279" s="76">
        <f>'Pipe Insulation'!B300</f>
        <v>267</v>
      </c>
      <c r="C279" s="76" t="str">
        <f>IF('Pipe Insulation'!C300="", "", 'Pipe Insulation'!C300)</f>
        <v/>
      </c>
      <c r="D279" s="76" t="str">
        <f>IF('Pipe Insulation'!D300="", "", 'Pipe Insulation'!D300)</f>
        <v/>
      </c>
      <c r="E279" s="69" t="str">
        <f>IF('Pipe Insulation'!E300="", "", 'Pipe Insulation'!E300)</f>
        <v/>
      </c>
      <c r="F279" s="76" t="str">
        <f>IFERROR(VLOOKUP('Pipe Insulation'!G300,'Pipe Insulation'!$AM$142:$AN$149,2,FALSE),"")</f>
        <v/>
      </c>
      <c r="G279" s="86" t="str">
        <f>IF('Pipe Insulation'!W300="", "", 'Pipe Insulation'!W300)</f>
        <v/>
      </c>
      <c r="H279" s="76" t="str">
        <f>IFERROR(VLOOKUP('Pipe Insulation'!Y300,'Pipe Insulation'!$AM$152:$AN$153,2,FALSE),"")</f>
        <v/>
      </c>
      <c r="I279" s="68" t="str">
        <f>IF('Pipe Insulation'!Z300="", "", 'Pipe Insulation'!Z300)</f>
        <v/>
      </c>
      <c r="J279" s="480"/>
    </row>
    <row r="280" spans="2:10" s="1" customFormat="1" x14ac:dyDescent="0.25">
      <c r="B280" s="76">
        <f>'Pipe Insulation'!B301</f>
        <v>268</v>
      </c>
      <c r="C280" s="76" t="str">
        <f>IF('Pipe Insulation'!C301="", "", 'Pipe Insulation'!C301)</f>
        <v/>
      </c>
      <c r="D280" s="76" t="str">
        <f>IF('Pipe Insulation'!D301="", "", 'Pipe Insulation'!D301)</f>
        <v/>
      </c>
      <c r="E280" s="69" t="str">
        <f>IF('Pipe Insulation'!E301="", "", 'Pipe Insulation'!E301)</f>
        <v/>
      </c>
      <c r="F280" s="76" t="str">
        <f>IFERROR(VLOOKUP('Pipe Insulation'!G301,'Pipe Insulation'!$AM$142:$AN$149,2,FALSE),"")</f>
        <v/>
      </c>
      <c r="G280" s="86" t="str">
        <f>IF('Pipe Insulation'!W301="", "", 'Pipe Insulation'!W301)</f>
        <v/>
      </c>
      <c r="H280" s="76" t="str">
        <f>IFERROR(VLOOKUP('Pipe Insulation'!Y301,'Pipe Insulation'!$AM$152:$AN$153,2,FALSE),"")</f>
        <v/>
      </c>
      <c r="I280" s="68" t="str">
        <f>IF('Pipe Insulation'!Z301="", "", 'Pipe Insulation'!Z301)</f>
        <v/>
      </c>
      <c r="J280" s="480"/>
    </row>
    <row r="281" spans="2:10" s="1" customFormat="1" x14ac:dyDescent="0.25">
      <c r="B281" s="76">
        <f>'Pipe Insulation'!B302</f>
        <v>269</v>
      </c>
      <c r="C281" s="76" t="str">
        <f>IF('Pipe Insulation'!C302="", "", 'Pipe Insulation'!C302)</f>
        <v/>
      </c>
      <c r="D281" s="76" t="str">
        <f>IF('Pipe Insulation'!D302="", "", 'Pipe Insulation'!D302)</f>
        <v/>
      </c>
      <c r="E281" s="69" t="str">
        <f>IF('Pipe Insulation'!E302="", "", 'Pipe Insulation'!E302)</f>
        <v/>
      </c>
      <c r="F281" s="76" t="str">
        <f>IFERROR(VLOOKUP('Pipe Insulation'!G302,'Pipe Insulation'!$AM$142:$AN$149,2,FALSE),"")</f>
        <v/>
      </c>
      <c r="G281" s="86" t="str">
        <f>IF('Pipe Insulation'!W302="", "", 'Pipe Insulation'!W302)</f>
        <v/>
      </c>
      <c r="H281" s="76" t="str">
        <f>IFERROR(VLOOKUP('Pipe Insulation'!Y302,'Pipe Insulation'!$AM$152:$AN$153,2,FALSE),"")</f>
        <v/>
      </c>
      <c r="I281" s="68" t="str">
        <f>IF('Pipe Insulation'!Z302="", "", 'Pipe Insulation'!Z302)</f>
        <v/>
      </c>
      <c r="J281" s="480"/>
    </row>
    <row r="282" spans="2:10" s="1" customFormat="1" x14ac:dyDescent="0.25">
      <c r="B282" s="76">
        <f>'Pipe Insulation'!B303</f>
        <v>270</v>
      </c>
      <c r="C282" s="76" t="str">
        <f>IF('Pipe Insulation'!C303="", "", 'Pipe Insulation'!C303)</f>
        <v/>
      </c>
      <c r="D282" s="76" t="str">
        <f>IF('Pipe Insulation'!D303="", "", 'Pipe Insulation'!D303)</f>
        <v/>
      </c>
      <c r="E282" s="69" t="str">
        <f>IF('Pipe Insulation'!E303="", "", 'Pipe Insulation'!E303)</f>
        <v/>
      </c>
      <c r="F282" s="76" t="str">
        <f>IFERROR(VLOOKUP('Pipe Insulation'!G303,'Pipe Insulation'!$AM$142:$AN$149,2,FALSE),"")</f>
        <v/>
      </c>
      <c r="G282" s="86" t="str">
        <f>IF('Pipe Insulation'!W303="", "", 'Pipe Insulation'!W303)</f>
        <v/>
      </c>
      <c r="H282" s="76" t="str">
        <f>IFERROR(VLOOKUP('Pipe Insulation'!Y303,'Pipe Insulation'!$AM$152:$AN$153,2,FALSE),"")</f>
        <v/>
      </c>
      <c r="I282" s="68" t="str">
        <f>IF('Pipe Insulation'!Z303="", "", 'Pipe Insulation'!Z303)</f>
        <v/>
      </c>
      <c r="J282" s="480"/>
    </row>
    <row r="283" spans="2:10" s="1" customFormat="1" x14ac:dyDescent="0.25">
      <c r="B283" s="76">
        <f>'Pipe Insulation'!B304</f>
        <v>271</v>
      </c>
      <c r="C283" s="76" t="str">
        <f>IF('Pipe Insulation'!C304="", "", 'Pipe Insulation'!C304)</f>
        <v/>
      </c>
      <c r="D283" s="76" t="str">
        <f>IF('Pipe Insulation'!D304="", "", 'Pipe Insulation'!D304)</f>
        <v/>
      </c>
      <c r="E283" s="69" t="str">
        <f>IF('Pipe Insulation'!E304="", "", 'Pipe Insulation'!E304)</f>
        <v/>
      </c>
      <c r="F283" s="76" t="str">
        <f>IFERROR(VLOOKUP('Pipe Insulation'!G304,'Pipe Insulation'!$AM$142:$AN$149,2,FALSE),"")</f>
        <v/>
      </c>
      <c r="G283" s="86" t="str">
        <f>IF('Pipe Insulation'!W304="", "", 'Pipe Insulation'!W304)</f>
        <v/>
      </c>
      <c r="H283" s="76" t="str">
        <f>IFERROR(VLOOKUP('Pipe Insulation'!Y304,'Pipe Insulation'!$AM$152:$AN$153,2,FALSE),"")</f>
        <v/>
      </c>
      <c r="I283" s="68" t="str">
        <f>IF('Pipe Insulation'!Z304="", "", 'Pipe Insulation'!Z304)</f>
        <v/>
      </c>
      <c r="J283" s="480"/>
    </row>
    <row r="284" spans="2:10" s="1" customFormat="1" x14ac:dyDescent="0.25">
      <c r="B284" s="76">
        <f>'Pipe Insulation'!B305</f>
        <v>272</v>
      </c>
      <c r="C284" s="76" t="str">
        <f>IF('Pipe Insulation'!C305="", "", 'Pipe Insulation'!C305)</f>
        <v/>
      </c>
      <c r="D284" s="76" t="str">
        <f>IF('Pipe Insulation'!D305="", "", 'Pipe Insulation'!D305)</f>
        <v/>
      </c>
      <c r="E284" s="69" t="str">
        <f>IF('Pipe Insulation'!E305="", "", 'Pipe Insulation'!E305)</f>
        <v/>
      </c>
      <c r="F284" s="76" t="str">
        <f>IFERROR(VLOOKUP('Pipe Insulation'!G305,'Pipe Insulation'!$AM$142:$AN$149,2,FALSE),"")</f>
        <v/>
      </c>
      <c r="G284" s="86" t="str">
        <f>IF('Pipe Insulation'!W305="", "", 'Pipe Insulation'!W305)</f>
        <v/>
      </c>
      <c r="H284" s="76" t="str">
        <f>IFERROR(VLOOKUP('Pipe Insulation'!Y305,'Pipe Insulation'!$AM$152:$AN$153,2,FALSE),"")</f>
        <v/>
      </c>
      <c r="I284" s="68" t="str">
        <f>IF('Pipe Insulation'!Z305="", "", 'Pipe Insulation'!Z305)</f>
        <v/>
      </c>
      <c r="J284" s="480"/>
    </row>
    <row r="285" spans="2:10" s="1" customFormat="1" x14ac:dyDescent="0.25">
      <c r="B285" s="76">
        <f>'Pipe Insulation'!B306</f>
        <v>273</v>
      </c>
      <c r="C285" s="76" t="str">
        <f>IF('Pipe Insulation'!C306="", "", 'Pipe Insulation'!C306)</f>
        <v/>
      </c>
      <c r="D285" s="76" t="str">
        <f>IF('Pipe Insulation'!D306="", "", 'Pipe Insulation'!D306)</f>
        <v/>
      </c>
      <c r="E285" s="69" t="str">
        <f>IF('Pipe Insulation'!E306="", "", 'Pipe Insulation'!E306)</f>
        <v/>
      </c>
      <c r="F285" s="76" t="str">
        <f>IFERROR(VLOOKUP('Pipe Insulation'!G306,'Pipe Insulation'!$AM$142:$AN$149,2,FALSE),"")</f>
        <v/>
      </c>
      <c r="G285" s="86" t="str">
        <f>IF('Pipe Insulation'!W306="", "", 'Pipe Insulation'!W306)</f>
        <v/>
      </c>
      <c r="H285" s="76" t="str">
        <f>IFERROR(VLOOKUP('Pipe Insulation'!Y306,'Pipe Insulation'!$AM$152:$AN$153,2,FALSE),"")</f>
        <v/>
      </c>
      <c r="I285" s="68" t="str">
        <f>IF('Pipe Insulation'!Z306="", "", 'Pipe Insulation'!Z306)</f>
        <v/>
      </c>
      <c r="J285" s="480"/>
    </row>
    <row r="286" spans="2:10" s="1" customFormat="1" x14ac:dyDescent="0.25">
      <c r="B286" s="76">
        <f>'Pipe Insulation'!B307</f>
        <v>274</v>
      </c>
      <c r="C286" s="76" t="str">
        <f>IF('Pipe Insulation'!C307="", "", 'Pipe Insulation'!C307)</f>
        <v/>
      </c>
      <c r="D286" s="76" t="str">
        <f>IF('Pipe Insulation'!D307="", "", 'Pipe Insulation'!D307)</f>
        <v/>
      </c>
      <c r="E286" s="69" t="str">
        <f>IF('Pipe Insulation'!E307="", "", 'Pipe Insulation'!E307)</f>
        <v/>
      </c>
      <c r="F286" s="76" t="str">
        <f>IFERROR(VLOOKUP('Pipe Insulation'!G307,'Pipe Insulation'!$AM$142:$AN$149,2,FALSE),"")</f>
        <v/>
      </c>
      <c r="G286" s="86" t="str">
        <f>IF('Pipe Insulation'!W307="", "", 'Pipe Insulation'!W307)</f>
        <v/>
      </c>
      <c r="H286" s="76" t="str">
        <f>IFERROR(VLOOKUP('Pipe Insulation'!Y307,'Pipe Insulation'!$AM$152:$AN$153,2,FALSE),"")</f>
        <v/>
      </c>
      <c r="I286" s="68" t="str">
        <f>IF('Pipe Insulation'!Z307="", "", 'Pipe Insulation'!Z307)</f>
        <v/>
      </c>
      <c r="J286" s="480"/>
    </row>
    <row r="287" spans="2:10" s="1" customFormat="1" x14ac:dyDescent="0.25">
      <c r="B287" s="76">
        <f>'Pipe Insulation'!B308</f>
        <v>275</v>
      </c>
      <c r="C287" s="76" t="str">
        <f>IF('Pipe Insulation'!C308="", "", 'Pipe Insulation'!C308)</f>
        <v/>
      </c>
      <c r="D287" s="76" t="str">
        <f>IF('Pipe Insulation'!D308="", "", 'Pipe Insulation'!D308)</f>
        <v/>
      </c>
      <c r="E287" s="69" t="str">
        <f>IF('Pipe Insulation'!E308="", "", 'Pipe Insulation'!E308)</f>
        <v/>
      </c>
      <c r="F287" s="76" t="str">
        <f>IFERROR(VLOOKUP('Pipe Insulation'!G308,'Pipe Insulation'!$AM$142:$AN$149,2,FALSE),"")</f>
        <v/>
      </c>
      <c r="G287" s="86" t="str">
        <f>IF('Pipe Insulation'!W308="", "", 'Pipe Insulation'!W308)</f>
        <v/>
      </c>
      <c r="H287" s="76" t="str">
        <f>IFERROR(VLOOKUP('Pipe Insulation'!Y308,'Pipe Insulation'!$AM$152:$AN$153,2,FALSE),"")</f>
        <v/>
      </c>
      <c r="I287" s="68" t="str">
        <f>IF('Pipe Insulation'!Z308="", "", 'Pipe Insulation'!Z308)</f>
        <v/>
      </c>
      <c r="J287" s="480"/>
    </row>
    <row r="288" spans="2:10" s="1" customFormat="1" x14ac:dyDescent="0.25">
      <c r="B288" s="76">
        <f>'Pipe Insulation'!B309</f>
        <v>276</v>
      </c>
      <c r="C288" s="76" t="str">
        <f>IF('Pipe Insulation'!C309="", "", 'Pipe Insulation'!C309)</f>
        <v/>
      </c>
      <c r="D288" s="76" t="str">
        <f>IF('Pipe Insulation'!D309="", "", 'Pipe Insulation'!D309)</f>
        <v/>
      </c>
      <c r="E288" s="69" t="str">
        <f>IF('Pipe Insulation'!E309="", "", 'Pipe Insulation'!E309)</f>
        <v/>
      </c>
      <c r="F288" s="76" t="str">
        <f>IFERROR(VLOOKUP('Pipe Insulation'!G309,'Pipe Insulation'!$AM$142:$AN$149,2,FALSE),"")</f>
        <v/>
      </c>
      <c r="G288" s="86" t="str">
        <f>IF('Pipe Insulation'!W309="", "", 'Pipe Insulation'!W309)</f>
        <v/>
      </c>
      <c r="H288" s="76" t="str">
        <f>IFERROR(VLOOKUP('Pipe Insulation'!Y309,'Pipe Insulation'!$AM$152:$AN$153,2,FALSE),"")</f>
        <v/>
      </c>
      <c r="I288" s="68" t="str">
        <f>IF('Pipe Insulation'!Z309="", "", 'Pipe Insulation'!Z309)</f>
        <v/>
      </c>
      <c r="J288" s="480"/>
    </row>
    <row r="289" spans="2:10" s="1" customFormat="1" x14ac:dyDescent="0.25">
      <c r="B289" s="76">
        <f>'Pipe Insulation'!B310</f>
        <v>277</v>
      </c>
      <c r="C289" s="76" t="str">
        <f>IF('Pipe Insulation'!C310="", "", 'Pipe Insulation'!C310)</f>
        <v/>
      </c>
      <c r="D289" s="76" t="str">
        <f>IF('Pipe Insulation'!D310="", "", 'Pipe Insulation'!D310)</f>
        <v/>
      </c>
      <c r="E289" s="69" t="str">
        <f>IF('Pipe Insulation'!E310="", "", 'Pipe Insulation'!E310)</f>
        <v/>
      </c>
      <c r="F289" s="76" t="str">
        <f>IFERROR(VLOOKUP('Pipe Insulation'!G310,'Pipe Insulation'!$AM$142:$AN$149,2,FALSE),"")</f>
        <v/>
      </c>
      <c r="G289" s="86" t="str">
        <f>IF('Pipe Insulation'!W310="", "", 'Pipe Insulation'!W310)</f>
        <v/>
      </c>
      <c r="H289" s="76" t="str">
        <f>IFERROR(VLOOKUP('Pipe Insulation'!Y310,'Pipe Insulation'!$AM$152:$AN$153,2,FALSE),"")</f>
        <v/>
      </c>
      <c r="I289" s="68" t="str">
        <f>IF('Pipe Insulation'!Z310="", "", 'Pipe Insulation'!Z310)</f>
        <v/>
      </c>
      <c r="J289" s="480"/>
    </row>
    <row r="290" spans="2:10" s="1" customFormat="1" x14ac:dyDescent="0.25">
      <c r="B290" s="76">
        <f>'Pipe Insulation'!B311</f>
        <v>278</v>
      </c>
      <c r="C290" s="76" t="str">
        <f>IF('Pipe Insulation'!C311="", "", 'Pipe Insulation'!C311)</f>
        <v/>
      </c>
      <c r="D290" s="76" t="str">
        <f>IF('Pipe Insulation'!D311="", "", 'Pipe Insulation'!D311)</f>
        <v/>
      </c>
      <c r="E290" s="69" t="str">
        <f>IF('Pipe Insulation'!E311="", "", 'Pipe Insulation'!E311)</f>
        <v/>
      </c>
      <c r="F290" s="76" t="str">
        <f>IFERROR(VLOOKUP('Pipe Insulation'!G311,'Pipe Insulation'!$AM$142:$AN$149,2,FALSE),"")</f>
        <v/>
      </c>
      <c r="G290" s="86" t="str">
        <f>IF('Pipe Insulation'!W311="", "", 'Pipe Insulation'!W311)</f>
        <v/>
      </c>
      <c r="H290" s="76" t="str">
        <f>IFERROR(VLOOKUP('Pipe Insulation'!Y311,'Pipe Insulation'!$AM$152:$AN$153,2,FALSE),"")</f>
        <v/>
      </c>
      <c r="I290" s="68" t="str">
        <f>IF('Pipe Insulation'!Z311="", "", 'Pipe Insulation'!Z311)</f>
        <v/>
      </c>
      <c r="J290" s="480"/>
    </row>
    <row r="291" spans="2:10" s="1" customFormat="1" x14ac:dyDescent="0.25">
      <c r="B291" s="76">
        <f>'Pipe Insulation'!B312</f>
        <v>279</v>
      </c>
      <c r="C291" s="76" t="str">
        <f>IF('Pipe Insulation'!C312="", "", 'Pipe Insulation'!C312)</f>
        <v/>
      </c>
      <c r="D291" s="76" t="str">
        <f>IF('Pipe Insulation'!D312="", "", 'Pipe Insulation'!D312)</f>
        <v/>
      </c>
      <c r="E291" s="69" t="str">
        <f>IF('Pipe Insulation'!E312="", "", 'Pipe Insulation'!E312)</f>
        <v/>
      </c>
      <c r="F291" s="76" t="str">
        <f>IFERROR(VLOOKUP('Pipe Insulation'!G312,'Pipe Insulation'!$AM$142:$AN$149,2,FALSE),"")</f>
        <v/>
      </c>
      <c r="G291" s="86" t="str">
        <f>IF('Pipe Insulation'!W312="", "", 'Pipe Insulation'!W312)</f>
        <v/>
      </c>
      <c r="H291" s="76" t="str">
        <f>IFERROR(VLOOKUP('Pipe Insulation'!Y312,'Pipe Insulation'!$AM$152:$AN$153,2,FALSE),"")</f>
        <v/>
      </c>
      <c r="I291" s="68" t="str">
        <f>IF('Pipe Insulation'!Z312="", "", 'Pipe Insulation'!Z312)</f>
        <v/>
      </c>
      <c r="J291" s="480"/>
    </row>
    <row r="292" spans="2:10" s="1" customFormat="1" x14ac:dyDescent="0.25">
      <c r="B292" s="76">
        <f>'Pipe Insulation'!B313</f>
        <v>280</v>
      </c>
      <c r="C292" s="76" t="str">
        <f>IF('Pipe Insulation'!C313="", "", 'Pipe Insulation'!C313)</f>
        <v/>
      </c>
      <c r="D292" s="76" t="str">
        <f>IF('Pipe Insulation'!D313="", "", 'Pipe Insulation'!D313)</f>
        <v/>
      </c>
      <c r="E292" s="69" t="str">
        <f>IF('Pipe Insulation'!E313="", "", 'Pipe Insulation'!E313)</f>
        <v/>
      </c>
      <c r="F292" s="76" t="str">
        <f>IFERROR(VLOOKUP('Pipe Insulation'!G313,'Pipe Insulation'!$AM$142:$AN$149,2,FALSE),"")</f>
        <v/>
      </c>
      <c r="G292" s="86" t="str">
        <f>IF('Pipe Insulation'!W313="", "", 'Pipe Insulation'!W313)</f>
        <v/>
      </c>
      <c r="H292" s="76" t="str">
        <f>IFERROR(VLOOKUP('Pipe Insulation'!Y313,'Pipe Insulation'!$AM$152:$AN$153,2,FALSE),"")</f>
        <v/>
      </c>
      <c r="I292" s="68" t="str">
        <f>IF('Pipe Insulation'!Z313="", "", 'Pipe Insulation'!Z313)</f>
        <v/>
      </c>
      <c r="J292" s="480"/>
    </row>
    <row r="293" spans="2:10" s="1" customFormat="1" x14ac:dyDescent="0.25">
      <c r="B293" s="76">
        <f>'Pipe Insulation'!B314</f>
        <v>281</v>
      </c>
      <c r="C293" s="76" t="str">
        <f>IF('Pipe Insulation'!C314="", "", 'Pipe Insulation'!C314)</f>
        <v/>
      </c>
      <c r="D293" s="76" t="str">
        <f>IF('Pipe Insulation'!D314="", "", 'Pipe Insulation'!D314)</f>
        <v/>
      </c>
      <c r="E293" s="69" t="str">
        <f>IF('Pipe Insulation'!E314="", "", 'Pipe Insulation'!E314)</f>
        <v/>
      </c>
      <c r="F293" s="76" t="str">
        <f>IFERROR(VLOOKUP('Pipe Insulation'!G314,'Pipe Insulation'!$AM$142:$AN$149,2,FALSE),"")</f>
        <v/>
      </c>
      <c r="G293" s="86" t="str">
        <f>IF('Pipe Insulation'!W314="", "", 'Pipe Insulation'!W314)</f>
        <v/>
      </c>
      <c r="H293" s="76" t="str">
        <f>IFERROR(VLOOKUP('Pipe Insulation'!Y314,'Pipe Insulation'!$AM$152:$AN$153,2,FALSE),"")</f>
        <v/>
      </c>
      <c r="I293" s="68" t="str">
        <f>IF('Pipe Insulation'!Z314="", "", 'Pipe Insulation'!Z314)</f>
        <v/>
      </c>
      <c r="J293" s="480"/>
    </row>
    <row r="294" spans="2:10" s="1" customFormat="1" x14ac:dyDescent="0.25">
      <c r="B294" s="76">
        <f>'Pipe Insulation'!B315</f>
        <v>282</v>
      </c>
      <c r="C294" s="76" t="str">
        <f>IF('Pipe Insulation'!C315="", "", 'Pipe Insulation'!C315)</f>
        <v/>
      </c>
      <c r="D294" s="76" t="str">
        <f>IF('Pipe Insulation'!D315="", "", 'Pipe Insulation'!D315)</f>
        <v/>
      </c>
      <c r="E294" s="69" t="str">
        <f>IF('Pipe Insulation'!E315="", "", 'Pipe Insulation'!E315)</f>
        <v/>
      </c>
      <c r="F294" s="76" t="str">
        <f>IFERROR(VLOOKUP('Pipe Insulation'!G315,'Pipe Insulation'!$AM$142:$AN$149,2,FALSE),"")</f>
        <v/>
      </c>
      <c r="G294" s="86" t="str">
        <f>IF('Pipe Insulation'!W315="", "", 'Pipe Insulation'!W315)</f>
        <v/>
      </c>
      <c r="H294" s="76" t="str">
        <f>IFERROR(VLOOKUP('Pipe Insulation'!Y315,'Pipe Insulation'!$AM$152:$AN$153,2,FALSE),"")</f>
        <v/>
      </c>
      <c r="I294" s="68" t="str">
        <f>IF('Pipe Insulation'!Z315="", "", 'Pipe Insulation'!Z315)</f>
        <v/>
      </c>
      <c r="J294" s="480"/>
    </row>
    <row r="295" spans="2:10" s="1" customFormat="1" x14ac:dyDescent="0.25">
      <c r="B295" s="76">
        <f>'Pipe Insulation'!B316</f>
        <v>283</v>
      </c>
      <c r="C295" s="76" t="str">
        <f>IF('Pipe Insulation'!C316="", "", 'Pipe Insulation'!C316)</f>
        <v/>
      </c>
      <c r="D295" s="76" t="str">
        <f>IF('Pipe Insulation'!D316="", "", 'Pipe Insulation'!D316)</f>
        <v/>
      </c>
      <c r="E295" s="69" t="str">
        <f>IF('Pipe Insulation'!E316="", "", 'Pipe Insulation'!E316)</f>
        <v/>
      </c>
      <c r="F295" s="76" t="str">
        <f>IFERROR(VLOOKUP('Pipe Insulation'!G316,'Pipe Insulation'!$AM$142:$AN$149,2,FALSE),"")</f>
        <v/>
      </c>
      <c r="G295" s="86" t="str">
        <f>IF('Pipe Insulation'!W316="", "", 'Pipe Insulation'!W316)</f>
        <v/>
      </c>
      <c r="H295" s="76" t="str">
        <f>IFERROR(VLOOKUP('Pipe Insulation'!Y316,'Pipe Insulation'!$AM$152:$AN$153,2,FALSE),"")</f>
        <v/>
      </c>
      <c r="I295" s="68" t="str">
        <f>IF('Pipe Insulation'!Z316="", "", 'Pipe Insulation'!Z316)</f>
        <v/>
      </c>
      <c r="J295" s="480"/>
    </row>
    <row r="296" spans="2:10" s="1" customFormat="1" x14ac:dyDescent="0.25">
      <c r="B296" s="76">
        <f>'Pipe Insulation'!B317</f>
        <v>284</v>
      </c>
      <c r="C296" s="76" t="str">
        <f>IF('Pipe Insulation'!C317="", "", 'Pipe Insulation'!C317)</f>
        <v/>
      </c>
      <c r="D296" s="76" t="str">
        <f>IF('Pipe Insulation'!D317="", "", 'Pipe Insulation'!D317)</f>
        <v/>
      </c>
      <c r="E296" s="69" t="str">
        <f>IF('Pipe Insulation'!E317="", "", 'Pipe Insulation'!E317)</f>
        <v/>
      </c>
      <c r="F296" s="76" t="str">
        <f>IFERROR(VLOOKUP('Pipe Insulation'!G317,'Pipe Insulation'!$AM$142:$AN$149,2,FALSE),"")</f>
        <v/>
      </c>
      <c r="G296" s="86" t="str">
        <f>IF('Pipe Insulation'!W317="", "", 'Pipe Insulation'!W317)</f>
        <v/>
      </c>
      <c r="H296" s="76" t="str">
        <f>IFERROR(VLOOKUP('Pipe Insulation'!Y317,'Pipe Insulation'!$AM$152:$AN$153,2,FALSE),"")</f>
        <v/>
      </c>
      <c r="I296" s="68" t="str">
        <f>IF('Pipe Insulation'!Z317="", "", 'Pipe Insulation'!Z317)</f>
        <v/>
      </c>
      <c r="J296" s="480"/>
    </row>
    <row r="297" spans="2:10" s="1" customFormat="1" x14ac:dyDescent="0.25">
      <c r="B297" s="76">
        <f>'Pipe Insulation'!B318</f>
        <v>285</v>
      </c>
      <c r="C297" s="76" t="str">
        <f>IF('Pipe Insulation'!C318="", "", 'Pipe Insulation'!C318)</f>
        <v/>
      </c>
      <c r="D297" s="76" t="str">
        <f>IF('Pipe Insulation'!D318="", "", 'Pipe Insulation'!D318)</f>
        <v/>
      </c>
      <c r="E297" s="69" t="str">
        <f>IF('Pipe Insulation'!E318="", "", 'Pipe Insulation'!E318)</f>
        <v/>
      </c>
      <c r="F297" s="76" t="str">
        <f>IFERROR(VLOOKUP('Pipe Insulation'!G318,'Pipe Insulation'!$AM$142:$AN$149,2,FALSE),"")</f>
        <v/>
      </c>
      <c r="G297" s="86" t="str">
        <f>IF('Pipe Insulation'!W318="", "", 'Pipe Insulation'!W318)</f>
        <v/>
      </c>
      <c r="H297" s="76" t="str">
        <f>IFERROR(VLOOKUP('Pipe Insulation'!Y318,'Pipe Insulation'!$AM$152:$AN$153,2,FALSE),"")</f>
        <v/>
      </c>
      <c r="I297" s="68" t="str">
        <f>IF('Pipe Insulation'!Z318="", "", 'Pipe Insulation'!Z318)</f>
        <v/>
      </c>
      <c r="J297" s="480"/>
    </row>
    <row r="298" spans="2:10" s="1" customFormat="1" x14ac:dyDescent="0.25">
      <c r="B298" s="76">
        <f>'Pipe Insulation'!B319</f>
        <v>286</v>
      </c>
      <c r="C298" s="76" t="str">
        <f>IF('Pipe Insulation'!C319="", "", 'Pipe Insulation'!C319)</f>
        <v/>
      </c>
      <c r="D298" s="76" t="str">
        <f>IF('Pipe Insulation'!D319="", "", 'Pipe Insulation'!D319)</f>
        <v/>
      </c>
      <c r="E298" s="69" t="str">
        <f>IF('Pipe Insulation'!E319="", "", 'Pipe Insulation'!E319)</f>
        <v/>
      </c>
      <c r="F298" s="76" t="str">
        <f>IFERROR(VLOOKUP('Pipe Insulation'!G319,'Pipe Insulation'!$AM$142:$AN$149,2,FALSE),"")</f>
        <v/>
      </c>
      <c r="G298" s="86" t="str">
        <f>IF('Pipe Insulation'!W319="", "", 'Pipe Insulation'!W319)</f>
        <v/>
      </c>
      <c r="H298" s="76" t="str">
        <f>IFERROR(VLOOKUP('Pipe Insulation'!Y319,'Pipe Insulation'!$AM$152:$AN$153,2,FALSE),"")</f>
        <v/>
      </c>
      <c r="I298" s="68" t="str">
        <f>IF('Pipe Insulation'!Z319="", "", 'Pipe Insulation'!Z319)</f>
        <v/>
      </c>
      <c r="J298" s="480"/>
    </row>
    <row r="299" spans="2:10" s="1" customFormat="1" x14ac:dyDescent="0.25">
      <c r="B299" s="76">
        <f>'Pipe Insulation'!B320</f>
        <v>287</v>
      </c>
      <c r="C299" s="76" t="str">
        <f>IF('Pipe Insulation'!C320="", "", 'Pipe Insulation'!C320)</f>
        <v/>
      </c>
      <c r="D299" s="76" t="str">
        <f>IF('Pipe Insulation'!D320="", "", 'Pipe Insulation'!D320)</f>
        <v/>
      </c>
      <c r="E299" s="69" t="str">
        <f>IF('Pipe Insulation'!E320="", "", 'Pipe Insulation'!E320)</f>
        <v/>
      </c>
      <c r="F299" s="76" t="str">
        <f>IFERROR(VLOOKUP('Pipe Insulation'!G320,'Pipe Insulation'!$AM$142:$AN$149,2,FALSE),"")</f>
        <v/>
      </c>
      <c r="G299" s="86" t="str">
        <f>IF('Pipe Insulation'!W320="", "", 'Pipe Insulation'!W320)</f>
        <v/>
      </c>
      <c r="H299" s="76" t="str">
        <f>IFERROR(VLOOKUP('Pipe Insulation'!Y320,'Pipe Insulation'!$AM$152:$AN$153,2,FALSE),"")</f>
        <v/>
      </c>
      <c r="I299" s="68" t="str">
        <f>IF('Pipe Insulation'!Z320="", "", 'Pipe Insulation'!Z320)</f>
        <v/>
      </c>
      <c r="J299" s="480"/>
    </row>
    <row r="300" spans="2:10" s="1" customFormat="1" x14ac:dyDescent="0.25">
      <c r="B300" s="76">
        <f>'Pipe Insulation'!B321</f>
        <v>288</v>
      </c>
      <c r="C300" s="76" t="str">
        <f>IF('Pipe Insulation'!C321="", "", 'Pipe Insulation'!C321)</f>
        <v/>
      </c>
      <c r="D300" s="76" t="str">
        <f>IF('Pipe Insulation'!D321="", "", 'Pipe Insulation'!D321)</f>
        <v/>
      </c>
      <c r="E300" s="69" t="str">
        <f>IF('Pipe Insulation'!E321="", "", 'Pipe Insulation'!E321)</f>
        <v/>
      </c>
      <c r="F300" s="76" t="str">
        <f>IFERROR(VLOOKUP('Pipe Insulation'!G321,'Pipe Insulation'!$AM$142:$AN$149,2,FALSE),"")</f>
        <v/>
      </c>
      <c r="G300" s="86" t="str">
        <f>IF('Pipe Insulation'!W321="", "", 'Pipe Insulation'!W321)</f>
        <v/>
      </c>
      <c r="H300" s="76" t="str">
        <f>IFERROR(VLOOKUP('Pipe Insulation'!Y321,'Pipe Insulation'!$AM$152:$AN$153,2,FALSE),"")</f>
        <v/>
      </c>
      <c r="I300" s="68" t="str">
        <f>IF('Pipe Insulation'!Z321="", "", 'Pipe Insulation'!Z321)</f>
        <v/>
      </c>
      <c r="J300" s="480"/>
    </row>
    <row r="301" spans="2:10" s="1" customFormat="1" x14ac:dyDescent="0.25">
      <c r="B301" s="76">
        <f>'Pipe Insulation'!B322</f>
        <v>289</v>
      </c>
      <c r="C301" s="76" t="str">
        <f>IF('Pipe Insulation'!C322="", "", 'Pipe Insulation'!C322)</f>
        <v/>
      </c>
      <c r="D301" s="76" t="str">
        <f>IF('Pipe Insulation'!D322="", "", 'Pipe Insulation'!D322)</f>
        <v/>
      </c>
      <c r="E301" s="69" t="str">
        <f>IF('Pipe Insulation'!E322="", "", 'Pipe Insulation'!E322)</f>
        <v/>
      </c>
      <c r="F301" s="76" t="str">
        <f>IFERROR(VLOOKUP('Pipe Insulation'!G322,'Pipe Insulation'!$AM$142:$AN$149,2,FALSE),"")</f>
        <v/>
      </c>
      <c r="G301" s="86" t="str">
        <f>IF('Pipe Insulation'!W322="", "", 'Pipe Insulation'!W322)</f>
        <v/>
      </c>
      <c r="H301" s="76" t="str">
        <f>IFERROR(VLOOKUP('Pipe Insulation'!Y322,'Pipe Insulation'!$AM$152:$AN$153,2,FALSE),"")</f>
        <v/>
      </c>
      <c r="I301" s="68" t="str">
        <f>IF('Pipe Insulation'!Z322="", "", 'Pipe Insulation'!Z322)</f>
        <v/>
      </c>
      <c r="J301" s="480"/>
    </row>
    <row r="302" spans="2:10" s="1" customFormat="1" x14ac:dyDescent="0.25">
      <c r="B302" s="76">
        <f>'Pipe Insulation'!B323</f>
        <v>290</v>
      </c>
      <c r="C302" s="76" t="str">
        <f>IF('Pipe Insulation'!C323="", "", 'Pipe Insulation'!C323)</f>
        <v/>
      </c>
      <c r="D302" s="76" t="str">
        <f>IF('Pipe Insulation'!D323="", "", 'Pipe Insulation'!D323)</f>
        <v/>
      </c>
      <c r="E302" s="69" t="str">
        <f>IF('Pipe Insulation'!E323="", "", 'Pipe Insulation'!E323)</f>
        <v/>
      </c>
      <c r="F302" s="76" t="str">
        <f>IFERROR(VLOOKUP('Pipe Insulation'!G323,'Pipe Insulation'!$AM$142:$AN$149,2,FALSE),"")</f>
        <v/>
      </c>
      <c r="G302" s="86" t="str">
        <f>IF('Pipe Insulation'!W323="", "", 'Pipe Insulation'!W323)</f>
        <v/>
      </c>
      <c r="H302" s="76" t="str">
        <f>IFERROR(VLOOKUP('Pipe Insulation'!Y323,'Pipe Insulation'!$AM$152:$AN$153,2,FALSE),"")</f>
        <v/>
      </c>
      <c r="I302" s="68" t="str">
        <f>IF('Pipe Insulation'!Z323="", "", 'Pipe Insulation'!Z323)</f>
        <v/>
      </c>
      <c r="J302" s="480"/>
    </row>
    <row r="303" spans="2:10" s="1" customFormat="1" x14ac:dyDescent="0.25">
      <c r="B303" s="76">
        <f>'Pipe Insulation'!B324</f>
        <v>291</v>
      </c>
      <c r="C303" s="76" t="str">
        <f>IF('Pipe Insulation'!C324="", "", 'Pipe Insulation'!C324)</f>
        <v/>
      </c>
      <c r="D303" s="76" t="str">
        <f>IF('Pipe Insulation'!D324="", "", 'Pipe Insulation'!D324)</f>
        <v/>
      </c>
      <c r="E303" s="69" t="str">
        <f>IF('Pipe Insulation'!E324="", "", 'Pipe Insulation'!E324)</f>
        <v/>
      </c>
      <c r="F303" s="76" t="str">
        <f>IFERROR(VLOOKUP('Pipe Insulation'!G324,'Pipe Insulation'!$AM$142:$AN$149,2,FALSE),"")</f>
        <v/>
      </c>
      <c r="G303" s="86" t="str">
        <f>IF('Pipe Insulation'!W324="", "", 'Pipe Insulation'!W324)</f>
        <v/>
      </c>
      <c r="H303" s="76" t="str">
        <f>IFERROR(VLOOKUP('Pipe Insulation'!Y324,'Pipe Insulation'!$AM$152:$AN$153,2,FALSE),"")</f>
        <v/>
      </c>
      <c r="I303" s="68" t="str">
        <f>IF('Pipe Insulation'!Z324="", "", 'Pipe Insulation'!Z324)</f>
        <v/>
      </c>
      <c r="J303" s="480"/>
    </row>
    <row r="304" spans="2:10" s="1" customFormat="1" x14ac:dyDescent="0.25">
      <c r="B304" s="76">
        <f>'Pipe Insulation'!B325</f>
        <v>292</v>
      </c>
      <c r="C304" s="76" t="str">
        <f>IF('Pipe Insulation'!C325="", "", 'Pipe Insulation'!C325)</f>
        <v/>
      </c>
      <c r="D304" s="76" t="str">
        <f>IF('Pipe Insulation'!D325="", "", 'Pipe Insulation'!D325)</f>
        <v/>
      </c>
      <c r="E304" s="69" t="str">
        <f>IF('Pipe Insulation'!E325="", "", 'Pipe Insulation'!E325)</f>
        <v/>
      </c>
      <c r="F304" s="76" t="str">
        <f>IFERROR(VLOOKUP('Pipe Insulation'!G325,'Pipe Insulation'!$AM$142:$AN$149,2,FALSE),"")</f>
        <v/>
      </c>
      <c r="G304" s="86" t="str">
        <f>IF('Pipe Insulation'!W325="", "", 'Pipe Insulation'!W325)</f>
        <v/>
      </c>
      <c r="H304" s="76" t="str">
        <f>IFERROR(VLOOKUP('Pipe Insulation'!Y325,'Pipe Insulation'!$AM$152:$AN$153,2,FALSE),"")</f>
        <v/>
      </c>
      <c r="I304" s="68" t="str">
        <f>IF('Pipe Insulation'!Z325="", "", 'Pipe Insulation'!Z325)</f>
        <v/>
      </c>
      <c r="J304" s="480"/>
    </row>
    <row r="305" spans="2:10" s="1" customFormat="1" x14ac:dyDescent="0.25">
      <c r="B305" s="76">
        <f>'Pipe Insulation'!B326</f>
        <v>293</v>
      </c>
      <c r="C305" s="76" t="str">
        <f>IF('Pipe Insulation'!C326="", "", 'Pipe Insulation'!C326)</f>
        <v/>
      </c>
      <c r="D305" s="76" t="str">
        <f>IF('Pipe Insulation'!D326="", "", 'Pipe Insulation'!D326)</f>
        <v/>
      </c>
      <c r="E305" s="69" t="str">
        <f>IF('Pipe Insulation'!E326="", "", 'Pipe Insulation'!E326)</f>
        <v/>
      </c>
      <c r="F305" s="76" t="str">
        <f>IFERROR(VLOOKUP('Pipe Insulation'!G326,'Pipe Insulation'!$AM$142:$AN$149,2,FALSE),"")</f>
        <v/>
      </c>
      <c r="G305" s="86" t="str">
        <f>IF('Pipe Insulation'!W326="", "", 'Pipe Insulation'!W326)</f>
        <v/>
      </c>
      <c r="H305" s="76" t="str">
        <f>IFERROR(VLOOKUP('Pipe Insulation'!Y326,'Pipe Insulation'!$AM$152:$AN$153,2,FALSE),"")</f>
        <v/>
      </c>
      <c r="I305" s="68" t="str">
        <f>IF('Pipe Insulation'!Z326="", "", 'Pipe Insulation'!Z326)</f>
        <v/>
      </c>
      <c r="J305" s="480"/>
    </row>
    <row r="306" spans="2:10" s="1" customFormat="1" x14ac:dyDescent="0.25">
      <c r="B306" s="76">
        <f>'Pipe Insulation'!B327</f>
        <v>294</v>
      </c>
      <c r="C306" s="76" t="str">
        <f>IF('Pipe Insulation'!C327="", "", 'Pipe Insulation'!C327)</f>
        <v/>
      </c>
      <c r="D306" s="76" t="str">
        <f>IF('Pipe Insulation'!D327="", "", 'Pipe Insulation'!D327)</f>
        <v/>
      </c>
      <c r="E306" s="69" t="str">
        <f>IF('Pipe Insulation'!E327="", "", 'Pipe Insulation'!E327)</f>
        <v/>
      </c>
      <c r="F306" s="76" t="str">
        <f>IFERROR(VLOOKUP('Pipe Insulation'!G327,'Pipe Insulation'!$AM$142:$AN$149,2,FALSE),"")</f>
        <v/>
      </c>
      <c r="G306" s="86" t="str">
        <f>IF('Pipe Insulation'!W327="", "", 'Pipe Insulation'!W327)</f>
        <v/>
      </c>
      <c r="H306" s="76" t="str">
        <f>IFERROR(VLOOKUP('Pipe Insulation'!Y327,'Pipe Insulation'!$AM$152:$AN$153,2,FALSE),"")</f>
        <v/>
      </c>
      <c r="I306" s="68" t="str">
        <f>IF('Pipe Insulation'!Z327="", "", 'Pipe Insulation'!Z327)</f>
        <v/>
      </c>
      <c r="J306" s="480"/>
    </row>
    <row r="307" spans="2:10" s="1" customFormat="1" x14ac:dyDescent="0.25">
      <c r="B307" s="76">
        <f>'Pipe Insulation'!B328</f>
        <v>295</v>
      </c>
      <c r="C307" s="76" t="str">
        <f>IF('Pipe Insulation'!C328="", "", 'Pipe Insulation'!C328)</f>
        <v/>
      </c>
      <c r="D307" s="76" t="str">
        <f>IF('Pipe Insulation'!D328="", "", 'Pipe Insulation'!D328)</f>
        <v/>
      </c>
      <c r="E307" s="69" t="str">
        <f>IF('Pipe Insulation'!E328="", "", 'Pipe Insulation'!E328)</f>
        <v/>
      </c>
      <c r="F307" s="76" t="str">
        <f>IFERROR(VLOOKUP('Pipe Insulation'!G328,'Pipe Insulation'!$AM$142:$AN$149,2,FALSE),"")</f>
        <v/>
      </c>
      <c r="G307" s="86" t="str">
        <f>IF('Pipe Insulation'!W328="", "", 'Pipe Insulation'!W328)</f>
        <v/>
      </c>
      <c r="H307" s="76" t="str">
        <f>IFERROR(VLOOKUP('Pipe Insulation'!Y328,'Pipe Insulation'!$AM$152:$AN$153,2,FALSE),"")</f>
        <v/>
      </c>
      <c r="I307" s="68" t="str">
        <f>IF('Pipe Insulation'!Z328="", "", 'Pipe Insulation'!Z328)</f>
        <v/>
      </c>
      <c r="J307" s="480"/>
    </row>
    <row r="308" spans="2:10" s="1" customFormat="1" x14ac:dyDescent="0.25">
      <c r="B308" s="76">
        <f>'Pipe Insulation'!B329</f>
        <v>296</v>
      </c>
      <c r="C308" s="76" t="str">
        <f>IF('Pipe Insulation'!C329="", "", 'Pipe Insulation'!C329)</f>
        <v/>
      </c>
      <c r="D308" s="76" t="str">
        <f>IF('Pipe Insulation'!D329="", "", 'Pipe Insulation'!D329)</f>
        <v/>
      </c>
      <c r="E308" s="69" t="str">
        <f>IF('Pipe Insulation'!E329="", "", 'Pipe Insulation'!E329)</f>
        <v/>
      </c>
      <c r="F308" s="76" t="str">
        <f>IFERROR(VLOOKUP('Pipe Insulation'!G329,'Pipe Insulation'!$AM$142:$AN$149,2,FALSE),"")</f>
        <v/>
      </c>
      <c r="G308" s="86" t="str">
        <f>IF('Pipe Insulation'!W329="", "", 'Pipe Insulation'!W329)</f>
        <v/>
      </c>
      <c r="H308" s="76" t="str">
        <f>IFERROR(VLOOKUP('Pipe Insulation'!Y329,'Pipe Insulation'!$AM$152:$AN$153,2,FALSE),"")</f>
        <v/>
      </c>
      <c r="I308" s="68" t="str">
        <f>IF('Pipe Insulation'!Z329="", "", 'Pipe Insulation'!Z329)</f>
        <v/>
      </c>
      <c r="J308" s="480"/>
    </row>
    <row r="309" spans="2:10" s="1" customFormat="1" x14ac:dyDescent="0.25">
      <c r="B309" s="76">
        <f>'Pipe Insulation'!B330</f>
        <v>297</v>
      </c>
      <c r="C309" s="76" t="str">
        <f>IF('Pipe Insulation'!C330="", "", 'Pipe Insulation'!C330)</f>
        <v/>
      </c>
      <c r="D309" s="76" t="str">
        <f>IF('Pipe Insulation'!D330="", "", 'Pipe Insulation'!D330)</f>
        <v/>
      </c>
      <c r="E309" s="69" t="str">
        <f>IF('Pipe Insulation'!E330="", "", 'Pipe Insulation'!E330)</f>
        <v/>
      </c>
      <c r="F309" s="76" t="str">
        <f>IFERROR(VLOOKUP('Pipe Insulation'!G330,'Pipe Insulation'!$AM$142:$AN$149,2,FALSE),"")</f>
        <v/>
      </c>
      <c r="G309" s="86" t="str">
        <f>IF('Pipe Insulation'!W330="", "", 'Pipe Insulation'!W330)</f>
        <v/>
      </c>
      <c r="H309" s="76" t="str">
        <f>IFERROR(VLOOKUP('Pipe Insulation'!Y330,'Pipe Insulation'!$AM$152:$AN$153,2,FALSE),"")</f>
        <v/>
      </c>
      <c r="I309" s="68" t="str">
        <f>IF('Pipe Insulation'!Z330="", "", 'Pipe Insulation'!Z330)</f>
        <v/>
      </c>
      <c r="J309" s="480"/>
    </row>
    <row r="310" spans="2:10" s="1" customFormat="1" x14ac:dyDescent="0.25">
      <c r="B310" s="76">
        <f>'Pipe Insulation'!B331</f>
        <v>298</v>
      </c>
      <c r="C310" s="76" t="str">
        <f>IF('Pipe Insulation'!C331="", "", 'Pipe Insulation'!C331)</f>
        <v/>
      </c>
      <c r="D310" s="76" t="str">
        <f>IF('Pipe Insulation'!D331="", "", 'Pipe Insulation'!D331)</f>
        <v/>
      </c>
      <c r="E310" s="69" t="str">
        <f>IF('Pipe Insulation'!E331="", "", 'Pipe Insulation'!E331)</f>
        <v/>
      </c>
      <c r="F310" s="76" t="str">
        <f>IFERROR(VLOOKUP('Pipe Insulation'!G331,'Pipe Insulation'!$AM$142:$AN$149,2,FALSE),"")</f>
        <v/>
      </c>
      <c r="G310" s="86" t="str">
        <f>IF('Pipe Insulation'!W331="", "", 'Pipe Insulation'!W331)</f>
        <v/>
      </c>
      <c r="H310" s="76" t="str">
        <f>IFERROR(VLOOKUP('Pipe Insulation'!Y331,'Pipe Insulation'!$AM$152:$AN$153,2,FALSE),"")</f>
        <v/>
      </c>
      <c r="I310" s="68" t="str">
        <f>IF('Pipe Insulation'!Z331="", "", 'Pipe Insulation'!Z331)</f>
        <v/>
      </c>
      <c r="J310" s="480"/>
    </row>
    <row r="311" spans="2:10" s="1" customFormat="1" x14ac:dyDescent="0.25">
      <c r="B311" s="76">
        <f>'Pipe Insulation'!B332</f>
        <v>299</v>
      </c>
      <c r="C311" s="76" t="str">
        <f>IF('Pipe Insulation'!C332="", "", 'Pipe Insulation'!C332)</f>
        <v/>
      </c>
      <c r="D311" s="76" t="str">
        <f>IF('Pipe Insulation'!D332="", "", 'Pipe Insulation'!D332)</f>
        <v/>
      </c>
      <c r="E311" s="69" t="str">
        <f>IF('Pipe Insulation'!E332="", "", 'Pipe Insulation'!E332)</f>
        <v/>
      </c>
      <c r="F311" s="76" t="str">
        <f>IFERROR(VLOOKUP('Pipe Insulation'!G332,'Pipe Insulation'!$AM$142:$AN$149,2,FALSE),"")</f>
        <v/>
      </c>
      <c r="G311" s="86" t="str">
        <f>IF('Pipe Insulation'!W332="", "", 'Pipe Insulation'!W332)</f>
        <v/>
      </c>
      <c r="H311" s="76" t="str">
        <f>IFERROR(VLOOKUP('Pipe Insulation'!Y332,'Pipe Insulation'!$AM$152:$AN$153,2,FALSE),"")</f>
        <v/>
      </c>
      <c r="I311" s="68" t="str">
        <f>IF('Pipe Insulation'!Z332="", "", 'Pipe Insulation'!Z332)</f>
        <v/>
      </c>
      <c r="J311" s="480"/>
    </row>
    <row r="312" spans="2:10" s="1" customFormat="1" x14ac:dyDescent="0.25">
      <c r="B312" s="76">
        <f>'Pipe Insulation'!B333</f>
        <v>300</v>
      </c>
      <c r="C312" s="76" t="str">
        <f>IF('Pipe Insulation'!C333="", "", 'Pipe Insulation'!C333)</f>
        <v/>
      </c>
      <c r="D312" s="76" t="str">
        <f>IF('Pipe Insulation'!D333="", "", 'Pipe Insulation'!D333)</f>
        <v/>
      </c>
      <c r="E312" s="69" t="str">
        <f>IF('Pipe Insulation'!E333="", "", 'Pipe Insulation'!E333)</f>
        <v/>
      </c>
      <c r="F312" s="76" t="str">
        <f>IFERROR(VLOOKUP('Pipe Insulation'!G333,'Pipe Insulation'!$AM$142:$AN$149,2,FALSE),"")</f>
        <v/>
      </c>
      <c r="G312" s="86" t="str">
        <f>IF('Pipe Insulation'!W333="", "", 'Pipe Insulation'!W333)</f>
        <v/>
      </c>
      <c r="H312" s="76" t="str">
        <f>IFERROR(VLOOKUP('Pipe Insulation'!Y333,'Pipe Insulation'!$AM$152:$AN$153,2,FALSE),"")</f>
        <v/>
      </c>
      <c r="I312" s="68" t="str">
        <f>IF('Pipe Insulation'!Z333="", "", 'Pipe Insulation'!Z333)</f>
        <v/>
      </c>
      <c r="J312" s="480"/>
    </row>
    <row r="313" spans="2:10" s="64" customFormat="1" ht="45" x14ac:dyDescent="0.25">
      <c r="B313" s="206" t="s">
        <v>133</v>
      </c>
      <c r="C313" s="206" t="s">
        <v>134</v>
      </c>
      <c r="D313" s="206" t="s">
        <v>135</v>
      </c>
      <c r="E313" s="206" t="s">
        <v>136</v>
      </c>
      <c r="F313" s="206" t="s">
        <v>138</v>
      </c>
      <c r="G313" s="206" t="s">
        <v>675</v>
      </c>
      <c r="H313" s="206" t="s">
        <v>676</v>
      </c>
      <c r="I313" s="206" t="s">
        <v>677</v>
      </c>
      <c r="J313" s="785" t="s">
        <v>678</v>
      </c>
    </row>
    <row r="314" spans="2:10" s="1" customFormat="1" x14ac:dyDescent="0.25">
      <c r="B314" s="76">
        <f>'Pipe Insulation'!B334</f>
        <v>301</v>
      </c>
      <c r="C314" s="76" t="str">
        <f>IF('Pipe Insulation'!C334="", "", 'Pipe Insulation'!C334)</f>
        <v/>
      </c>
      <c r="D314" s="76" t="str">
        <f>IF('Pipe Insulation'!D334="", "", 'Pipe Insulation'!D334)</f>
        <v/>
      </c>
      <c r="E314" s="69" t="str">
        <f>IF('Pipe Insulation'!E334="", "", 'Pipe Insulation'!E334)</f>
        <v/>
      </c>
      <c r="F314" s="76" t="str">
        <f>IFERROR(VLOOKUP('Pipe Insulation'!G334,'Pipe Insulation'!$AM$142:$AN$149,2,FALSE),"")</f>
        <v/>
      </c>
      <c r="G314" s="86" t="str">
        <f>IF('Pipe Insulation'!W334="", "", 'Pipe Insulation'!W334)</f>
        <v/>
      </c>
      <c r="H314" s="76" t="str">
        <f>IFERROR(VLOOKUP('Pipe Insulation'!Y334,'Pipe Insulation'!$AM$152:$AN$153,2,FALSE),"")</f>
        <v/>
      </c>
      <c r="I314" s="68" t="str">
        <f>IF('Pipe Insulation'!Z334="", "", 'Pipe Insulation'!Z334)</f>
        <v/>
      </c>
      <c r="J314" s="480"/>
    </row>
    <row r="315" spans="2:10" s="1" customFormat="1" x14ac:dyDescent="0.25">
      <c r="B315" s="76">
        <f>'Pipe Insulation'!B335</f>
        <v>302</v>
      </c>
      <c r="C315" s="76" t="str">
        <f>IF('Pipe Insulation'!C335="", "", 'Pipe Insulation'!C335)</f>
        <v/>
      </c>
      <c r="D315" s="76" t="str">
        <f>IF('Pipe Insulation'!D335="", "", 'Pipe Insulation'!D335)</f>
        <v/>
      </c>
      <c r="E315" s="69" t="str">
        <f>IF('Pipe Insulation'!E335="", "", 'Pipe Insulation'!E335)</f>
        <v/>
      </c>
      <c r="F315" s="76" t="str">
        <f>IFERROR(VLOOKUP('Pipe Insulation'!G335,'Pipe Insulation'!$AM$142:$AN$149,2,FALSE),"")</f>
        <v/>
      </c>
      <c r="G315" s="86" t="str">
        <f>IF('Pipe Insulation'!W335="", "", 'Pipe Insulation'!W335)</f>
        <v/>
      </c>
      <c r="H315" s="76" t="str">
        <f>IFERROR(VLOOKUP('Pipe Insulation'!Y335,'Pipe Insulation'!$AM$152:$AN$153,2,FALSE),"")</f>
        <v/>
      </c>
      <c r="I315" s="68" t="str">
        <f>IF('Pipe Insulation'!Z335="", "", 'Pipe Insulation'!Z335)</f>
        <v/>
      </c>
      <c r="J315" s="480"/>
    </row>
    <row r="316" spans="2:10" s="1" customFormat="1" x14ac:dyDescent="0.25">
      <c r="B316" s="76">
        <f>'Pipe Insulation'!B336</f>
        <v>303</v>
      </c>
      <c r="C316" s="76" t="str">
        <f>IF('Pipe Insulation'!C336="", "", 'Pipe Insulation'!C336)</f>
        <v/>
      </c>
      <c r="D316" s="76" t="str">
        <f>IF('Pipe Insulation'!D336="", "", 'Pipe Insulation'!D336)</f>
        <v/>
      </c>
      <c r="E316" s="69" t="str">
        <f>IF('Pipe Insulation'!E336="", "", 'Pipe Insulation'!E336)</f>
        <v/>
      </c>
      <c r="F316" s="76" t="str">
        <f>IFERROR(VLOOKUP('Pipe Insulation'!G336,'Pipe Insulation'!$AM$142:$AN$149,2,FALSE),"")</f>
        <v/>
      </c>
      <c r="G316" s="86" t="str">
        <f>IF('Pipe Insulation'!W336="", "", 'Pipe Insulation'!W336)</f>
        <v/>
      </c>
      <c r="H316" s="76" t="str">
        <f>IFERROR(VLOOKUP('Pipe Insulation'!Y336,'Pipe Insulation'!$AM$152:$AN$153,2,FALSE),"")</f>
        <v/>
      </c>
      <c r="I316" s="68" t="str">
        <f>IF('Pipe Insulation'!Z336="", "", 'Pipe Insulation'!Z336)</f>
        <v/>
      </c>
      <c r="J316" s="480"/>
    </row>
    <row r="317" spans="2:10" s="1" customFormat="1" x14ac:dyDescent="0.25">
      <c r="B317" s="76">
        <f>'Pipe Insulation'!B337</f>
        <v>304</v>
      </c>
      <c r="C317" s="76" t="str">
        <f>IF('Pipe Insulation'!C337="", "", 'Pipe Insulation'!C337)</f>
        <v/>
      </c>
      <c r="D317" s="76" t="str">
        <f>IF('Pipe Insulation'!D337="", "", 'Pipe Insulation'!D337)</f>
        <v/>
      </c>
      <c r="E317" s="69" t="str">
        <f>IF('Pipe Insulation'!E337="", "", 'Pipe Insulation'!E337)</f>
        <v/>
      </c>
      <c r="F317" s="76" t="str">
        <f>IFERROR(VLOOKUP('Pipe Insulation'!G337,'Pipe Insulation'!$AM$142:$AN$149,2,FALSE),"")</f>
        <v/>
      </c>
      <c r="G317" s="86" t="str">
        <f>IF('Pipe Insulation'!W337="", "", 'Pipe Insulation'!W337)</f>
        <v/>
      </c>
      <c r="H317" s="76" t="str">
        <f>IFERROR(VLOOKUP('Pipe Insulation'!Y337,'Pipe Insulation'!$AM$152:$AN$153,2,FALSE),"")</f>
        <v/>
      </c>
      <c r="I317" s="68" t="str">
        <f>IF('Pipe Insulation'!Z337="", "", 'Pipe Insulation'!Z337)</f>
        <v/>
      </c>
      <c r="J317" s="480"/>
    </row>
    <row r="318" spans="2:10" s="1" customFormat="1" x14ac:dyDescent="0.25">
      <c r="B318" s="76">
        <f>'Pipe Insulation'!B338</f>
        <v>305</v>
      </c>
      <c r="C318" s="76" t="str">
        <f>IF('Pipe Insulation'!C338="", "", 'Pipe Insulation'!C338)</f>
        <v/>
      </c>
      <c r="D318" s="76" t="str">
        <f>IF('Pipe Insulation'!D338="", "", 'Pipe Insulation'!D338)</f>
        <v/>
      </c>
      <c r="E318" s="69" t="str">
        <f>IF('Pipe Insulation'!E338="", "", 'Pipe Insulation'!E338)</f>
        <v/>
      </c>
      <c r="F318" s="76" t="str">
        <f>IFERROR(VLOOKUP('Pipe Insulation'!G338,'Pipe Insulation'!$AM$142:$AN$149,2,FALSE),"")</f>
        <v/>
      </c>
      <c r="G318" s="86" t="str">
        <f>IF('Pipe Insulation'!W338="", "", 'Pipe Insulation'!W338)</f>
        <v/>
      </c>
      <c r="H318" s="76" t="str">
        <f>IFERROR(VLOOKUP('Pipe Insulation'!Y338,'Pipe Insulation'!$AM$152:$AN$153,2,FALSE),"")</f>
        <v/>
      </c>
      <c r="I318" s="68" t="str">
        <f>IF('Pipe Insulation'!Z338="", "", 'Pipe Insulation'!Z338)</f>
        <v/>
      </c>
      <c r="J318" s="480"/>
    </row>
    <row r="319" spans="2:10" s="1" customFormat="1" x14ac:dyDescent="0.25">
      <c r="B319" s="76">
        <f>'Pipe Insulation'!B339</f>
        <v>306</v>
      </c>
      <c r="C319" s="76" t="str">
        <f>IF('Pipe Insulation'!C339="", "", 'Pipe Insulation'!C339)</f>
        <v/>
      </c>
      <c r="D319" s="76" t="str">
        <f>IF('Pipe Insulation'!D339="", "", 'Pipe Insulation'!D339)</f>
        <v/>
      </c>
      <c r="E319" s="69" t="str">
        <f>IF('Pipe Insulation'!E339="", "", 'Pipe Insulation'!E339)</f>
        <v/>
      </c>
      <c r="F319" s="76" t="str">
        <f>IFERROR(VLOOKUP('Pipe Insulation'!G339,'Pipe Insulation'!$AM$142:$AN$149,2,FALSE),"")</f>
        <v/>
      </c>
      <c r="G319" s="86" t="str">
        <f>IF('Pipe Insulation'!W339="", "", 'Pipe Insulation'!W339)</f>
        <v/>
      </c>
      <c r="H319" s="76" t="str">
        <f>IFERROR(VLOOKUP('Pipe Insulation'!Y339,'Pipe Insulation'!$AM$152:$AN$153,2,FALSE),"")</f>
        <v/>
      </c>
      <c r="I319" s="68" t="str">
        <f>IF('Pipe Insulation'!Z339="", "", 'Pipe Insulation'!Z339)</f>
        <v/>
      </c>
      <c r="J319" s="480"/>
    </row>
    <row r="320" spans="2:10" s="1" customFormat="1" x14ac:dyDescent="0.25">
      <c r="B320" s="76">
        <f>'Pipe Insulation'!B340</f>
        <v>307</v>
      </c>
      <c r="C320" s="76" t="str">
        <f>IF('Pipe Insulation'!C340="", "", 'Pipe Insulation'!C340)</f>
        <v/>
      </c>
      <c r="D320" s="76" t="str">
        <f>IF('Pipe Insulation'!D340="", "", 'Pipe Insulation'!D340)</f>
        <v/>
      </c>
      <c r="E320" s="69" t="str">
        <f>IF('Pipe Insulation'!E340="", "", 'Pipe Insulation'!E340)</f>
        <v/>
      </c>
      <c r="F320" s="76" t="str">
        <f>IFERROR(VLOOKUP('Pipe Insulation'!G340,'Pipe Insulation'!$AM$142:$AN$149,2,FALSE),"")</f>
        <v/>
      </c>
      <c r="G320" s="86" t="str">
        <f>IF('Pipe Insulation'!W340="", "", 'Pipe Insulation'!W340)</f>
        <v/>
      </c>
      <c r="H320" s="76" t="str">
        <f>IFERROR(VLOOKUP('Pipe Insulation'!Y340,'Pipe Insulation'!$AM$152:$AN$153,2,FALSE),"")</f>
        <v/>
      </c>
      <c r="I320" s="68" t="str">
        <f>IF('Pipe Insulation'!Z340="", "", 'Pipe Insulation'!Z340)</f>
        <v/>
      </c>
      <c r="J320" s="480"/>
    </row>
    <row r="321" spans="2:10" s="1" customFormat="1" x14ac:dyDescent="0.25">
      <c r="B321" s="76">
        <f>'Pipe Insulation'!B341</f>
        <v>308</v>
      </c>
      <c r="C321" s="76" t="str">
        <f>IF('Pipe Insulation'!C341="", "", 'Pipe Insulation'!C341)</f>
        <v/>
      </c>
      <c r="D321" s="76" t="str">
        <f>IF('Pipe Insulation'!D341="", "", 'Pipe Insulation'!D341)</f>
        <v/>
      </c>
      <c r="E321" s="69" t="str">
        <f>IF('Pipe Insulation'!E341="", "", 'Pipe Insulation'!E341)</f>
        <v/>
      </c>
      <c r="F321" s="76" t="str">
        <f>IFERROR(VLOOKUP('Pipe Insulation'!G341,'Pipe Insulation'!$AM$142:$AN$149,2,FALSE),"")</f>
        <v/>
      </c>
      <c r="G321" s="86" t="str">
        <f>IF('Pipe Insulation'!W341="", "", 'Pipe Insulation'!W341)</f>
        <v/>
      </c>
      <c r="H321" s="76" t="str">
        <f>IFERROR(VLOOKUP('Pipe Insulation'!Y341,'Pipe Insulation'!$AM$152:$AN$153,2,FALSE),"")</f>
        <v/>
      </c>
      <c r="I321" s="68" t="str">
        <f>IF('Pipe Insulation'!Z341="", "", 'Pipe Insulation'!Z341)</f>
        <v/>
      </c>
      <c r="J321" s="480"/>
    </row>
    <row r="322" spans="2:10" s="1" customFormat="1" x14ac:dyDescent="0.25">
      <c r="B322" s="76">
        <f>'Pipe Insulation'!B342</f>
        <v>309</v>
      </c>
      <c r="C322" s="76" t="str">
        <f>IF('Pipe Insulation'!C342="", "", 'Pipe Insulation'!C342)</f>
        <v/>
      </c>
      <c r="D322" s="76" t="str">
        <f>IF('Pipe Insulation'!D342="", "", 'Pipe Insulation'!D342)</f>
        <v/>
      </c>
      <c r="E322" s="69" t="str">
        <f>IF('Pipe Insulation'!E342="", "", 'Pipe Insulation'!E342)</f>
        <v/>
      </c>
      <c r="F322" s="76" t="str">
        <f>IFERROR(VLOOKUP('Pipe Insulation'!G342,'Pipe Insulation'!$AM$142:$AN$149,2,FALSE),"")</f>
        <v/>
      </c>
      <c r="G322" s="86" t="str">
        <f>IF('Pipe Insulation'!W342="", "", 'Pipe Insulation'!W342)</f>
        <v/>
      </c>
      <c r="H322" s="76" t="str">
        <f>IFERROR(VLOOKUP('Pipe Insulation'!Y342,'Pipe Insulation'!$AM$152:$AN$153,2,FALSE),"")</f>
        <v/>
      </c>
      <c r="I322" s="68" t="str">
        <f>IF('Pipe Insulation'!Z342="", "", 'Pipe Insulation'!Z342)</f>
        <v/>
      </c>
      <c r="J322" s="480"/>
    </row>
    <row r="323" spans="2:10" s="1" customFormat="1" x14ac:dyDescent="0.25">
      <c r="B323" s="76">
        <f>'Pipe Insulation'!B343</f>
        <v>310</v>
      </c>
      <c r="C323" s="76" t="str">
        <f>IF('Pipe Insulation'!C343="", "", 'Pipe Insulation'!C343)</f>
        <v/>
      </c>
      <c r="D323" s="76" t="str">
        <f>IF('Pipe Insulation'!D343="", "", 'Pipe Insulation'!D343)</f>
        <v/>
      </c>
      <c r="E323" s="69" t="str">
        <f>IF('Pipe Insulation'!E343="", "", 'Pipe Insulation'!E343)</f>
        <v/>
      </c>
      <c r="F323" s="76" t="str">
        <f>IFERROR(VLOOKUP('Pipe Insulation'!G343,'Pipe Insulation'!$AM$142:$AN$149,2,FALSE),"")</f>
        <v/>
      </c>
      <c r="G323" s="86" t="str">
        <f>IF('Pipe Insulation'!W343="", "", 'Pipe Insulation'!W343)</f>
        <v/>
      </c>
      <c r="H323" s="76" t="str">
        <f>IFERROR(VLOOKUP('Pipe Insulation'!Y343,'Pipe Insulation'!$AM$152:$AN$153,2,FALSE),"")</f>
        <v/>
      </c>
      <c r="I323" s="68" t="str">
        <f>IF('Pipe Insulation'!Z343="", "", 'Pipe Insulation'!Z343)</f>
        <v/>
      </c>
      <c r="J323" s="480"/>
    </row>
    <row r="324" spans="2:10" s="1" customFormat="1" x14ac:dyDescent="0.25">
      <c r="B324" s="76">
        <f>'Pipe Insulation'!B344</f>
        <v>311</v>
      </c>
      <c r="C324" s="76" t="str">
        <f>IF('Pipe Insulation'!C344="", "", 'Pipe Insulation'!C344)</f>
        <v/>
      </c>
      <c r="D324" s="76" t="str">
        <f>IF('Pipe Insulation'!D344="", "", 'Pipe Insulation'!D344)</f>
        <v/>
      </c>
      <c r="E324" s="69" t="str">
        <f>IF('Pipe Insulation'!E344="", "", 'Pipe Insulation'!E344)</f>
        <v/>
      </c>
      <c r="F324" s="76" t="str">
        <f>IFERROR(VLOOKUP('Pipe Insulation'!G344,'Pipe Insulation'!$AM$142:$AN$149,2,FALSE),"")</f>
        <v/>
      </c>
      <c r="G324" s="86" t="str">
        <f>IF('Pipe Insulation'!W344="", "", 'Pipe Insulation'!W344)</f>
        <v/>
      </c>
      <c r="H324" s="76" t="str">
        <f>IFERROR(VLOOKUP('Pipe Insulation'!Y344,'Pipe Insulation'!$AM$152:$AN$153,2,FALSE),"")</f>
        <v/>
      </c>
      <c r="I324" s="68" t="str">
        <f>IF('Pipe Insulation'!Z344="", "", 'Pipe Insulation'!Z344)</f>
        <v/>
      </c>
      <c r="J324" s="480"/>
    </row>
    <row r="325" spans="2:10" s="1" customFormat="1" x14ac:dyDescent="0.25">
      <c r="B325" s="76">
        <f>'Pipe Insulation'!B345</f>
        <v>312</v>
      </c>
      <c r="C325" s="76" t="str">
        <f>IF('Pipe Insulation'!C345="", "", 'Pipe Insulation'!C345)</f>
        <v/>
      </c>
      <c r="D325" s="76" t="str">
        <f>IF('Pipe Insulation'!D345="", "", 'Pipe Insulation'!D345)</f>
        <v/>
      </c>
      <c r="E325" s="69" t="str">
        <f>IF('Pipe Insulation'!E345="", "", 'Pipe Insulation'!E345)</f>
        <v/>
      </c>
      <c r="F325" s="76" t="str">
        <f>IFERROR(VLOOKUP('Pipe Insulation'!G345,'Pipe Insulation'!$AM$142:$AN$149,2,FALSE),"")</f>
        <v/>
      </c>
      <c r="G325" s="86" t="str">
        <f>IF('Pipe Insulation'!W345="", "", 'Pipe Insulation'!W345)</f>
        <v/>
      </c>
      <c r="H325" s="76" t="str">
        <f>IFERROR(VLOOKUP('Pipe Insulation'!Y345,'Pipe Insulation'!$AM$152:$AN$153,2,FALSE),"")</f>
        <v/>
      </c>
      <c r="I325" s="68" t="str">
        <f>IF('Pipe Insulation'!Z345="", "", 'Pipe Insulation'!Z345)</f>
        <v/>
      </c>
      <c r="J325" s="480"/>
    </row>
    <row r="326" spans="2:10" s="1" customFormat="1" x14ac:dyDescent="0.25">
      <c r="B326" s="76">
        <f>'Pipe Insulation'!B346</f>
        <v>313</v>
      </c>
      <c r="C326" s="76" t="str">
        <f>IF('Pipe Insulation'!C346="", "", 'Pipe Insulation'!C346)</f>
        <v/>
      </c>
      <c r="D326" s="76" t="str">
        <f>IF('Pipe Insulation'!D346="", "", 'Pipe Insulation'!D346)</f>
        <v/>
      </c>
      <c r="E326" s="69" t="str">
        <f>IF('Pipe Insulation'!E346="", "", 'Pipe Insulation'!E346)</f>
        <v/>
      </c>
      <c r="F326" s="76" t="str">
        <f>IFERROR(VLOOKUP('Pipe Insulation'!G346,'Pipe Insulation'!$AM$142:$AN$149,2,FALSE),"")</f>
        <v/>
      </c>
      <c r="G326" s="86" t="str">
        <f>IF('Pipe Insulation'!W346="", "", 'Pipe Insulation'!W346)</f>
        <v/>
      </c>
      <c r="H326" s="76" t="str">
        <f>IFERROR(VLOOKUP('Pipe Insulation'!Y346,'Pipe Insulation'!$AM$152:$AN$153,2,FALSE),"")</f>
        <v/>
      </c>
      <c r="I326" s="68" t="str">
        <f>IF('Pipe Insulation'!Z346="", "", 'Pipe Insulation'!Z346)</f>
        <v/>
      </c>
      <c r="J326" s="480"/>
    </row>
    <row r="327" spans="2:10" s="1" customFormat="1" x14ac:dyDescent="0.25">
      <c r="B327" s="76">
        <f>'Pipe Insulation'!B347</f>
        <v>314</v>
      </c>
      <c r="C327" s="76" t="str">
        <f>IF('Pipe Insulation'!C347="", "", 'Pipe Insulation'!C347)</f>
        <v/>
      </c>
      <c r="D327" s="76" t="str">
        <f>IF('Pipe Insulation'!D347="", "", 'Pipe Insulation'!D347)</f>
        <v/>
      </c>
      <c r="E327" s="69" t="str">
        <f>IF('Pipe Insulation'!E347="", "", 'Pipe Insulation'!E347)</f>
        <v/>
      </c>
      <c r="F327" s="76" t="str">
        <f>IFERROR(VLOOKUP('Pipe Insulation'!G347,'Pipe Insulation'!$AM$142:$AN$149,2,FALSE),"")</f>
        <v/>
      </c>
      <c r="G327" s="86" t="str">
        <f>IF('Pipe Insulation'!W347="", "", 'Pipe Insulation'!W347)</f>
        <v/>
      </c>
      <c r="H327" s="76" t="str">
        <f>IFERROR(VLOOKUP('Pipe Insulation'!Y347,'Pipe Insulation'!$AM$152:$AN$153,2,FALSE),"")</f>
        <v/>
      </c>
      <c r="I327" s="68" t="str">
        <f>IF('Pipe Insulation'!Z347="", "", 'Pipe Insulation'!Z347)</f>
        <v/>
      </c>
      <c r="J327" s="480"/>
    </row>
    <row r="328" spans="2:10" s="1" customFormat="1" x14ac:dyDescent="0.25">
      <c r="B328" s="76">
        <f>'Pipe Insulation'!B348</f>
        <v>315</v>
      </c>
      <c r="C328" s="76" t="str">
        <f>IF('Pipe Insulation'!C348="", "", 'Pipe Insulation'!C348)</f>
        <v/>
      </c>
      <c r="D328" s="76" t="str">
        <f>IF('Pipe Insulation'!D348="", "", 'Pipe Insulation'!D348)</f>
        <v/>
      </c>
      <c r="E328" s="69" t="str">
        <f>IF('Pipe Insulation'!E348="", "", 'Pipe Insulation'!E348)</f>
        <v/>
      </c>
      <c r="F328" s="76" t="str">
        <f>IFERROR(VLOOKUP('Pipe Insulation'!G348,'Pipe Insulation'!$AM$142:$AN$149,2,FALSE),"")</f>
        <v/>
      </c>
      <c r="G328" s="86" t="str">
        <f>IF('Pipe Insulation'!W348="", "", 'Pipe Insulation'!W348)</f>
        <v/>
      </c>
      <c r="H328" s="76" t="str">
        <f>IFERROR(VLOOKUP('Pipe Insulation'!Y348,'Pipe Insulation'!$AM$152:$AN$153,2,FALSE),"")</f>
        <v/>
      </c>
      <c r="I328" s="68" t="str">
        <f>IF('Pipe Insulation'!Z348="", "", 'Pipe Insulation'!Z348)</f>
        <v/>
      </c>
      <c r="J328" s="480"/>
    </row>
    <row r="329" spans="2:10" s="1" customFormat="1" x14ac:dyDescent="0.25">
      <c r="B329" s="76">
        <f>'Pipe Insulation'!B349</f>
        <v>316</v>
      </c>
      <c r="C329" s="76" t="str">
        <f>IF('Pipe Insulation'!C349="", "", 'Pipe Insulation'!C349)</f>
        <v/>
      </c>
      <c r="D329" s="76" t="str">
        <f>IF('Pipe Insulation'!D349="", "", 'Pipe Insulation'!D349)</f>
        <v/>
      </c>
      <c r="E329" s="69" t="str">
        <f>IF('Pipe Insulation'!E349="", "", 'Pipe Insulation'!E349)</f>
        <v/>
      </c>
      <c r="F329" s="76" t="str">
        <f>IFERROR(VLOOKUP('Pipe Insulation'!G349,'Pipe Insulation'!$AM$142:$AN$149,2,FALSE),"")</f>
        <v/>
      </c>
      <c r="G329" s="86" t="str">
        <f>IF('Pipe Insulation'!W349="", "", 'Pipe Insulation'!W349)</f>
        <v/>
      </c>
      <c r="H329" s="76" t="str">
        <f>IFERROR(VLOOKUP('Pipe Insulation'!Y349,'Pipe Insulation'!$AM$152:$AN$153,2,FALSE),"")</f>
        <v/>
      </c>
      <c r="I329" s="68" t="str">
        <f>IF('Pipe Insulation'!Z349="", "", 'Pipe Insulation'!Z349)</f>
        <v/>
      </c>
      <c r="J329" s="480"/>
    </row>
    <row r="330" spans="2:10" s="1" customFormat="1" x14ac:dyDescent="0.25">
      <c r="B330" s="76">
        <f>'Pipe Insulation'!B350</f>
        <v>317</v>
      </c>
      <c r="C330" s="76" t="str">
        <f>IF('Pipe Insulation'!C350="", "", 'Pipe Insulation'!C350)</f>
        <v/>
      </c>
      <c r="D330" s="76" t="str">
        <f>IF('Pipe Insulation'!D350="", "", 'Pipe Insulation'!D350)</f>
        <v/>
      </c>
      <c r="E330" s="69" t="str">
        <f>IF('Pipe Insulation'!E350="", "", 'Pipe Insulation'!E350)</f>
        <v/>
      </c>
      <c r="F330" s="76" t="str">
        <f>IFERROR(VLOOKUP('Pipe Insulation'!G350,'Pipe Insulation'!$AM$142:$AN$149,2,FALSE),"")</f>
        <v/>
      </c>
      <c r="G330" s="86" t="str">
        <f>IF('Pipe Insulation'!W350="", "", 'Pipe Insulation'!W350)</f>
        <v/>
      </c>
      <c r="H330" s="76" t="str">
        <f>IFERROR(VLOOKUP('Pipe Insulation'!Y350,'Pipe Insulation'!$AM$152:$AN$153,2,FALSE),"")</f>
        <v/>
      </c>
      <c r="I330" s="68" t="str">
        <f>IF('Pipe Insulation'!Z350="", "", 'Pipe Insulation'!Z350)</f>
        <v/>
      </c>
      <c r="J330" s="480"/>
    </row>
    <row r="331" spans="2:10" s="1" customFormat="1" x14ac:dyDescent="0.25">
      <c r="B331" s="76">
        <f>'Pipe Insulation'!B351</f>
        <v>318</v>
      </c>
      <c r="C331" s="76" t="str">
        <f>IF('Pipe Insulation'!C351="", "", 'Pipe Insulation'!C351)</f>
        <v/>
      </c>
      <c r="D331" s="76" t="str">
        <f>IF('Pipe Insulation'!D351="", "", 'Pipe Insulation'!D351)</f>
        <v/>
      </c>
      <c r="E331" s="69" t="str">
        <f>IF('Pipe Insulation'!E351="", "", 'Pipe Insulation'!E351)</f>
        <v/>
      </c>
      <c r="F331" s="76" t="str">
        <f>IFERROR(VLOOKUP('Pipe Insulation'!G351,'Pipe Insulation'!$AM$142:$AN$149,2,FALSE),"")</f>
        <v/>
      </c>
      <c r="G331" s="86" t="str">
        <f>IF('Pipe Insulation'!W351="", "", 'Pipe Insulation'!W351)</f>
        <v/>
      </c>
      <c r="H331" s="76" t="str">
        <f>IFERROR(VLOOKUP('Pipe Insulation'!Y351,'Pipe Insulation'!$AM$152:$AN$153,2,FALSE),"")</f>
        <v/>
      </c>
      <c r="I331" s="68" t="str">
        <f>IF('Pipe Insulation'!Z351="", "", 'Pipe Insulation'!Z351)</f>
        <v/>
      </c>
      <c r="J331" s="480"/>
    </row>
    <row r="332" spans="2:10" s="1" customFormat="1" x14ac:dyDescent="0.25">
      <c r="B332" s="76">
        <f>'Pipe Insulation'!B352</f>
        <v>319</v>
      </c>
      <c r="C332" s="76" t="str">
        <f>IF('Pipe Insulation'!C352="", "", 'Pipe Insulation'!C352)</f>
        <v/>
      </c>
      <c r="D332" s="76" t="str">
        <f>IF('Pipe Insulation'!D352="", "", 'Pipe Insulation'!D352)</f>
        <v/>
      </c>
      <c r="E332" s="69" t="str">
        <f>IF('Pipe Insulation'!E352="", "", 'Pipe Insulation'!E352)</f>
        <v/>
      </c>
      <c r="F332" s="76" t="str">
        <f>IFERROR(VLOOKUP('Pipe Insulation'!G352,'Pipe Insulation'!$AM$142:$AN$149,2,FALSE),"")</f>
        <v/>
      </c>
      <c r="G332" s="86" t="str">
        <f>IF('Pipe Insulation'!W352="", "", 'Pipe Insulation'!W352)</f>
        <v/>
      </c>
      <c r="H332" s="76" t="str">
        <f>IFERROR(VLOOKUP('Pipe Insulation'!Y352,'Pipe Insulation'!$AM$152:$AN$153,2,FALSE),"")</f>
        <v/>
      </c>
      <c r="I332" s="68" t="str">
        <f>IF('Pipe Insulation'!Z352="", "", 'Pipe Insulation'!Z352)</f>
        <v/>
      </c>
      <c r="J332" s="480"/>
    </row>
    <row r="333" spans="2:10" s="1" customFormat="1" x14ac:dyDescent="0.25">
      <c r="B333" s="76">
        <f>'Pipe Insulation'!B353</f>
        <v>320</v>
      </c>
      <c r="C333" s="76" t="str">
        <f>IF('Pipe Insulation'!C353="", "", 'Pipe Insulation'!C353)</f>
        <v/>
      </c>
      <c r="D333" s="76" t="str">
        <f>IF('Pipe Insulation'!D353="", "", 'Pipe Insulation'!D353)</f>
        <v/>
      </c>
      <c r="E333" s="69" t="str">
        <f>IF('Pipe Insulation'!E353="", "", 'Pipe Insulation'!E353)</f>
        <v/>
      </c>
      <c r="F333" s="76" t="str">
        <f>IFERROR(VLOOKUP('Pipe Insulation'!G353,'Pipe Insulation'!$AM$142:$AN$149,2,FALSE),"")</f>
        <v/>
      </c>
      <c r="G333" s="86" t="str">
        <f>IF('Pipe Insulation'!W353="", "", 'Pipe Insulation'!W353)</f>
        <v/>
      </c>
      <c r="H333" s="76" t="str">
        <f>IFERROR(VLOOKUP('Pipe Insulation'!Y353,'Pipe Insulation'!$AM$152:$AN$153,2,FALSE),"")</f>
        <v/>
      </c>
      <c r="I333" s="68" t="str">
        <f>IF('Pipe Insulation'!Z353="", "", 'Pipe Insulation'!Z353)</f>
        <v/>
      </c>
      <c r="J333" s="480"/>
    </row>
    <row r="334" spans="2:10" s="1" customFormat="1" x14ac:dyDescent="0.25">
      <c r="B334" s="76">
        <f>'Pipe Insulation'!B354</f>
        <v>321</v>
      </c>
      <c r="C334" s="76" t="str">
        <f>IF('Pipe Insulation'!C354="", "", 'Pipe Insulation'!C354)</f>
        <v/>
      </c>
      <c r="D334" s="76" t="str">
        <f>IF('Pipe Insulation'!D354="", "", 'Pipe Insulation'!D354)</f>
        <v/>
      </c>
      <c r="E334" s="69" t="str">
        <f>IF('Pipe Insulation'!E354="", "", 'Pipe Insulation'!E354)</f>
        <v/>
      </c>
      <c r="F334" s="76" t="str">
        <f>IFERROR(VLOOKUP('Pipe Insulation'!G354,'Pipe Insulation'!$AM$142:$AN$149,2,FALSE),"")</f>
        <v/>
      </c>
      <c r="G334" s="86" t="str">
        <f>IF('Pipe Insulation'!W354="", "", 'Pipe Insulation'!W354)</f>
        <v/>
      </c>
      <c r="H334" s="76" t="str">
        <f>IFERROR(VLOOKUP('Pipe Insulation'!Y354,'Pipe Insulation'!$AM$152:$AN$153,2,FALSE),"")</f>
        <v/>
      </c>
      <c r="I334" s="68" t="str">
        <f>IF('Pipe Insulation'!Z354="", "", 'Pipe Insulation'!Z354)</f>
        <v/>
      </c>
      <c r="J334" s="480"/>
    </row>
    <row r="335" spans="2:10" s="1" customFormat="1" x14ac:dyDescent="0.25">
      <c r="B335" s="76">
        <f>'Pipe Insulation'!B355</f>
        <v>322</v>
      </c>
      <c r="C335" s="76" t="str">
        <f>IF('Pipe Insulation'!C355="", "", 'Pipe Insulation'!C355)</f>
        <v/>
      </c>
      <c r="D335" s="76" t="str">
        <f>IF('Pipe Insulation'!D355="", "", 'Pipe Insulation'!D355)</f>
        <v/>
      </c>
      <c r="E335" s="69" t="str">
        <f>IF('Pipe Insulation'!E355="", "", 'Pipe Insulation'!E355)</f>
        <v/>
      </c>
      <c r="F335" s="76" t="str">
        <f>IFERROR(VLOOKUP('Pipe Insulation'!G355,'Pipe Insulation'!$AM$142:$AN$149,2,FALSE),"")</f>
        <v/>
      </c>
      <c r="G335" s="86" t="str">
        <f>IF('Pipe Insulation'!W355="", "", 'Pipe Insulation'!W355)</f>
        <v/>
      </c>
      <c r="H335" s="76" t="str">
        <f>IFERROR(VLOOKUP('Pipe Insulation'!Y355,'Pipe Insulation'!$AM$152:$AN$153,2,FALSE),"")</f>
        <v/>
      </c>
      <c r="I335" s="68" t="str">
        <f>IF('Pipe Insulation'!Z355="", "", 'Pipe Insulation'!Z355)</f>
        <v/>
      </c>
      <c r="J335" s="480"/>
    </row>
    <row r="336" spans="2:10" s="1" customFormat="1" x14ac:dyDescent="0.25">
      <c r="B336" s="76">
        <f>'Pipe Insulation'!B356</f>
        <v>323</v>
      </c>
      <c r="C336" s="76" t="str">
        <f>IF('Pipe Insulation'!C356="", "", 'Pipe Insulation'!C356)</f>
        <v/>
      </c>
      <c r="D336" s="76" t="str">
        <f>IF('Pipe Insulation'!D356="", "", 'Pipe Insulation'!D356)</f>
        <v/>
      </c>
      <c r="E336" s="69" t="str">
        <f>IF('Pipe Insulation'!E356="", "", 'Pipe Insulation'!E356)</f>
        <v/>
      </c>
      <c r="F336" s="76" t="str">
        <f>IFERROR(VLOOKUP('Pipe Insulation'!G356,'Pipe Insulation'!$AM$142:$AN$149,2,FALSE),"")</f>
        <v/>
      </c>
      <c r="G336" s="86" t="str">
        <f>IF('Pipe Insulation'!W356="", "", 'Pipe Insulation'!W356)</f>
        <v/>
      </c>
      <c r="H336" s="76" t="str">
        <f>IFERROR(VLOOKUP('Pipe Insulation'!Y356,'Pipe Insulation'!$AM$152:$AN$153,2,FALSE),"")</f>
        <v/>
      </c>
      <c r="I336" s="68" t="str">
        <f>IF('Pipe Insulation'!Z356="", "", 'Pipe Insulation'!Z356)</f>
        <v/>
      </c>
      <c r="J336" s="480"/>
    </row>
    <row r="337" spans="2:10" s="1" customFormat="1" x14ac:dyDescent="0.25">
      <c r="B337" s="76">
        <f>'Pipe Insulation'!B357</f>
        <v>324</v>
      </c>
      <c r="C337" s="76" t="str">
        <f>IF('Pipe Insulation'!C357="", "", 'Pipe Insulation'!C357)</f>
        <v/>
      </c>
      <c r="D337" s="76" t="str">
        <f>IF('Pipe Insulation'!D357="", "", 'Pipe Insulation'!D357)</f>
        <v/>
      </c>
      <c r="E337" s="69" t="str">
        <f>IF('Pipe Insulation'!E357="", "", 'Pipe Insulation'!E357)</f>
        <v/>
      </c>
      <c r="F337" s="76" t="str">
        <f>IFERROR(VLOOKUP('Pipe Insulation'!G357,'Pipe Insulation'!$AM$142:$AN$149,2,FALSE),"")</f>
        <v/>
      </c>
      <c r="G337" s="86" t="str">
        <f>IF('Pipe Insulation'!W357="", "", 'Pipe Insulation'!W357)</f>
        <v/>
      </c>
      <c r="H337" s="76" t="str">
        <f>IFERROR(VLOOKUP('Pipe Insulation'!Y357,'Pipe Insulation'!$AM$152:$AN$153,2,FALSE),"")</f>
        <v/>
      </c>
      <c r="I337" s="68" t="str">
        <f>IF('Pipe Insulation'!Z357="", "", 'Pipe Insulation'!Z357)</f>
        <v/>
      </c>
      <c r="J337" s="480"/>
    </row>
    <row r="338" spans="2:10" s="1" customFormat="1" x14ac:dyDescent="0.25">
      <c r="B338" s="76">
        <f>'Pipe Insulation'!B358</f>
        <v>325</v>
      </c>
      <c r="C338" s="76" t="str">
        <f>IF('Pipe Insulation'!C358="", "", 'Pipe Insulation'!C358)</f>
        <v/>
      </c>
      <c r="D338" s="76" t="str">
        <f>IF('Pipe Insulation'!D358="", "", 'Pipe Insulation'!D358)</f>
        <v/>
      </c>
      <c r="E338" s="69" t="str">
        <f>IF('Pipe Insulation'!E358="", "", 'Pipe Insulation'!E358)</f>
        <v/>
      </c>
      <c r="F338" s="76" t="str">
        <f>IFERROR(VLOOKUP('Pipe Insulation'!G358,'Pipe Insulation'!$AM$142:$AN$149,2,FALSE),"")</f>
        <v/>
      </c>
      <c r="G338" s="86" t="str">
        <f>IF('Pipe Insulation'!W358="", "", 'Pipe Insulation'!W358)</f>
        <v/>
      </c>
      <c r="H338" s="76" t="str">
        <f>IFERROR(VLOOKUP('Pipe Insulation'!Y358,'Pipe Insulation'!$AM$152:$AN$153,2,FALSE),"")</f>
        <v/>
      </c>
      <c r="I338" s="68" t="str">
        <f>IF('Pipe Insulation'!Z358="", "", 'Pipe Insulation'!Z358)</f>
        <v/>
      </c>
      <c r="J338" s="480"/>
    </row>
    <row r="339" spans="2:10" s="1" customFormat="1" x14ac:dyDescent="0.25">
      <c r="B339" s="76">
        <f>'Pipe Insulation'!B359</f>
        <v>326</v>
      </c>
      <c r="C339" s="76" t="str">
        <f>IF('Pipe Insulation'!C359="", "", 'Pipe Insulation'!C359)</f>
        <v/>
      </c>
      <c r="D339" s="76" t="str">
        <f>IF('Pipe Insulation'!D359="", "", 'Pipe Insulation'!D359)</f>
        <v/>
      </c>
      <c r="E339" s="69" t="str">
        <f>IF('Pipe Insulation'!E359="", "", 'Pipe Insulation'!E359)</f>
        <v/>
      </c>
      <c r="F339" s="76" t="str">
        <f>IFERROR(VLOOKUP('Pipe Insulation'!G359,'Pipe Insulation'!$AM$142:$AN$149,2,FALSE),"")</f>
        <v/>
      </c>
      <c r="G339" s="86" t="str">
        <f>IF('Pipe Insulation'!W359="", "", 'Pipe Insulation'!W359)</f>
        <v/>
      </c>
      <c r="H339" s="76" t="str">
        <f>IFERROR(VLOOKUP('Pipe Insulation'!Y359,'Pipe Insulation'!$AM$152:$AN$153,2,FALSE),"")</f>
        <v/>
      </c>
      <c r="I339" s="68" t="str">
        <f>IF('Pipe Insulation'!Z359="", "", 'Pipe Insulation'!Z359)</f>
        <v/>
      </c>
      <c r="J339" s="480"/>
    </row>
    <row r="340" spans="2:10" s="1" customFormat="1" x14ac:dyDescent="0.25">
      <c r="B340" s="76">
        <f>'Pipe Insulation'!B360</f>
        <v>327</v>
      </c>
      <c r="C340" s="76" t="str">
        <f>IF('Pipe Insulation'!C360="", "", 'Pipe Insulation'!C360)</f>
        <v/>
      </c>
      <c r="D340" s="76" t="str">
        <f>IF('Pipe Insulation'!D360="", "", 'Pipe Insulation'!D360)</f>
        <v/>
      </c>
      <c r="E340" s="69" t="str">
        <f>IF('Pipe Insulation'!E360="", "", 'Pipe Insulation'!E360)</f>
        <v/>
      </c>
      <c r="F340" s="76" t="str">
        <f>IFERROR(VLOOKUP('Pipe Insulation'!G360,'Pipe Insulation'!$AM$142:$AN$149,2,FALSE),"")</f>
        <v/>
      </c>
      <c r="G340" s="86" t="str">
        <f>IF('Pipe Insulation'!W360="", "", 'Pipe Insulation'!W360)</f>
        <v/>
      </c>
      <c r="H340" s="76" t="str">
        <f>IFERROR(VLOOKUP('Pipe Insulation'!Y360,'Pipe Insulation'!$AM$152:$AN$153,2,FALSE),"")</f>
        <v/>
      </c>
      <c r="I340" s="68" t="str">
        <f>IF('Pipe Insulation'!Z360="", "", 'Pipe Insulation'!Z360)</f>
        <v/>
      </c>
      <c r="J340" s="480"/>
    </row>
    <row r="341" spans="2:10" s="1" customFormat="1" x14ac:dyDescent="0.25">
      <c r="B341" s="76">
        <f>'Pipe Insulation'!B361</f>
        <v>328</v>
      </c>
      <c r="C341" s="76" t="str">
        <f>IF('Pipe Insulation'!C361="", "", 'Pipe Insulation'!C361)</f>
        <v/>
      </c>
      <c r="D341" s="76" t="str">
        <f>IF('Pipe Insulation'!D361="", "", 'Pipe Insulation'!D361)</f>
        <v/>
      </c>
      <c r="E341" s="69" t="str">
        <f>IF('Pipe Insulation'!E361="", "", 'Pipe Insulation'!E361)</f>
        <v/>
      </c>
      <c r="F341" s="76" t="str">
        <f>IFERROR(VLOOKUP('Pipe Insulation'!G361,'Pipe Insulation'!$AM$142:$AN$149,2,FALSE),"")</f>
        <v/>
      </c>
      <c r="G341" s="86" t="str">
        <f>IF('Pipe Insulation'!W361="", "", 'Pipe Insulation'!W361)</f>
        <v/>
      </c>
      <c r="H341" s="76" t="str">
        <f>IFERROR(VLOOKUP('Pipe Insulation'!Y361,'Pipe Insulation'!$AM$152:$AN$153,2,FALSE),"")</f>
        <v/>
      </c>
      <c r="I341" s="68" t="str">
        <f>IF('Pipe Insulation'!Z361="", "", 'Pipe Insulation'!Z361)</f>
        <v/>
      </c>
      <c r="J341" s="480"/>
    </row>
    <row r="342" spans="2:10" s="1" customFormat="1" x14ac:dyDescent="0.25">
      <c r="B342" s="76">
        <f>'Pipe Insulation'!B362</f>
        <v>329</v>
      </c>
      <c r="C342" s="76" t="str">
        <f>IF('Pipe Insulation'!C362="", "", 'Pipe Insulation'!C362)</f>
        <v/>
      </c>
      <c r="D342" s="76" t="str">
        <f>IF('Pipe Insulation'!D362="", "", 'Pipe Insulation'!D362)</f>
        <v/>
      </c>
      <c r="E342" s="69" t="str">
        <f>IF('Pipe Insulation'!E362="", "", 'Pipe Insulation'!E362)</f>
        <v/>
      </c>
      <c r="F342" s="76" t="str">
        <f>IFERROR(VLOOKUP('Pipe Insulation'!G362,'Pipe Insulation'!$AM$142:$AN$149,2,FALSE),"")</f>
        <v/>
      </c>
      <c r="G342" s="86" t="str">
        <f>IF('Pipe Insulation'!W362="", "", 'Pipe Insulation'!W362)</f>
        <v/>
      </c>
      <c r="H342" s="76" t="str">
        <f>IFERROR(VLOOKUP('Pipe Insulation'!Y362,'Pipe Insulation'!$AM$152:$AN$153,2,FALSE),"")</f>
        <v/>
      </c>
      <c r="I342" s="68" t="str">
        <f>IF('Pipe Insulation'!Z362="", "", 'Pipe Insulation'!Z362)</f>
        <v/>
      </c>
      <c r="J342" s="480"/>
    </row>
    <row r="343" spans="2:10" s="1" customFormat="1" x14ac:dyDescent="0.25">
      <c r="B343" s="76">
        <f>'Pipe Insulation'!B363</f>
        <v>330</v>
      </c>
      <c r="C343" s="76" t="str">
        <f>IF('Pipe Insulation'!C363="", "", 'Pipe Insulation'!C363)</f>
        <v/>
      </c>
      <c r="D343" s="76" t="str">
        <f>IF('Pipe Insulation'!D363="", "", 'Pipe Insulation'!D363)</f>
        <v/>
      </c>
      <c r="E343" s="69" t="str">
        <f>IF('Pipe Insulation'!E363="", "", 'Pipe Insulation'!E363)</f>
        <v/>
      </c>
      <c r="F343" s="76" t="str">
        <f>IFERROR(VLOOKUP('Pipe Insulation'!G363,'Pipe Insulation'!$AM$142:$AN$149,2,FALSE),"")</f>
        <v/>
      </c>
      <c r="G343" s="86" t="str">
        <f>IF('Pipe Insulation'!W363="", "", 'Pipe Insulation'!W363)</f>
        <v/>
      </c>
      <c r="H343" s="76" t="str">
        <f>IFERROR(VLOOKUP('Pipe Insulation'!Y363,'Pipe Insulation'!$AM$152:$AN$153,2,FALSE),"")</f>
        <v/>
      </c>
      <c r="I343" s="68" t="str">
        <f>IF('Pipe Insulation'!Z363="", "", 'Pipe Insulation'!Z363)</f>
        <v/>
      </c>
      <c r="J343" s="480"/>
    </row>
    <row r="344" spans="2:10" s="1" customFormat="1" x14ac:dyDescent="0.25">
      <c r="B344" s="76">
        <f>'Pipe Insulation'!B364</f>
        <v>331</v>
      </c>
      <c r="C344" s="76" t="str">
        <f>IF('Pipe Insulation'!C364="", "", 'Pipe Insulation'!C364)</f>
        <v/>
      </c>
      <c r="D344" s="76" t="str">
        <f>IF('Pipe Insulation'!D364="", "", 'Pipe Insulation'!D364)</f>
        <v/>
      </c>
      <c r="E344" s="69" t="str">
        <f>IF('Pipe Insulation'!E364="", "", 'Pipe Insulation'!E364)</f>
        <v/>
      </c>
      <c r="F344" s="76" t="str">
        <f>IFERROR(VLOOKUP('Pipe Insulation'!G364,'Pipe Insulation'!$AM$142:$AN$149,2,FALSE),"")</f>
        <v/>
      </c>
      <c r="G344" s="86" t="str">
        <f>IF('Pipe Insulation'!W364="", "", 'Pipe Insulation'!W364)</f>
        <v/>
      </c>
      <c r="H344" s="76" t="str">
        <f>IFERROR(VLOOKUP('Pipe Insulation'!Y364,'Pipe Insulation'!$AM$152:$AN$153,2,FALSE),"")</f>
        <v/>
      </c>
      <c r="I344" s="68" t="str">
        <f>IF('Pipe Insulation'!Z364="", "", 'Pipe Insulation'!Z364)</f>
        <v/>
      </c>
      <c r="J344" s="480"/>
    </row>
    <row r="345" spans="2:10" s="1" customFormat="1" x14ac:dyDescent="0.25">
      <c r="B345" s="76">
        <f>'Pipe Insulation'!B365</f>
        <v>332</v>
      </c>
      <c r="C345" s="76" t="str">
        <f>IF('Pipe Insulation'!C365="", "", 'Pipe Insulation'!C365)</f>
        <v/>
      </c>
      <c r="D345" s="76" t="str">
        <f>IF('Pipe Insulation'!D365="", "", 'Pipe Insulation'!D365)</f>
        <v/>
      </c>
      <c r="E345" s="69" t="str">
        <f>IF('Pipe Insulation'!E365="", "", 'Pipe Insulation'!E365)</f>
        <v/>
      </c>
      <c r="F345" s="76" t="str">
        <f>IFERROR(VLOOKUP('Pipe Insulation'!G365,'Pipe Insulation'!$AM$142:$AN$149,2,FALSE),"")</f>
        <v/>
      </c>
      <c r="G345" s="86" t="str">
        <f>IF('Pipe Insulation'!W365="", "", 'Pipe Insulation'!W365)</f>
        <v/>
      </c>
      <c r="H345" s="76" t="str">
        <f>IFERROR(VLOOKUP('Pipe Insulation'!Y365,'Pipe Insulation'!$AM$152:$AN$153,2,FALSE),"")</f>
        <v/>
      </c>
      <c r="I345" s="68" t="str">
        <f>IF('Pipe Insulation'!Z365="", "", 'Pipe Insulation'!Z365)</f>
        <v/>
      </c>
      <c r="J345" s="480"/>
    </row>
    <row r="346" spans="2:10" s="1" customFormat="1" x14ac:dyDescent="0.25">
      <c r="B346" s="76">
        <f>'Pipe Insulation'!B366</f>
        <v>333</v>
      </c>
      <c r="C346" s="76" t="str">
        <f>IF('Pipe Insulation'!C366="", "", 'Pipe Insulation'!C366)</f>
        <v/>
      </c>
      <c r="D346" s="76" t="str">
        <f>IF('Pipe Insulation'!D366="", "", 'Pipe Insulation'!D366)</f>
        <v/>
      </c>
      <c r="E346" s="69" t="str">
        <f>IF('Pipe Insulation'!E366="", "", 'Pipe Insulation'!E366)</f>
        <v/>
      </c>
      <c r="F346" s="76" t="str">
        <f>IFERROR(VLOOKUP('Pipe Insulation'!G366,'Pipe Insulation'!$AM$142:$AN$149,2,FALSE),"")</f>
        <v/>
      </c>
      <c r="G346" s="86" t="str">
        <f>IF('Pipe Insulation'!W366="", "", 'Pipe Insulation'!W366)</f>
        <v/>
      </c>
      <c r="H346" s="76" t="str">
        <f>IFERROR(VLOOKUP('Pipe Insulation'!Y366,'Pipe Insulation'!$AM$152:$AN$153,2,FALSE),"")</f>
        <v/>
      </c>
      <c r="I346" s="68" t="str">
        <f>IF('Pipe Insulation'!Z366="", "", 'Pipe Insulation'!Z366)</f>
        <v/>
      </c>
      <c r="J346" s="480"/>
    </row>
    <row r="347" spans="2:10" s="1" customFormat="1" x14ac:dyDescent="0.25">
      <c r="B347" s="76">
        <f>'Pipe Insulation'!B367</f>
        <v>334</v>
      </c>
      <c r="C347" s="76" t="str">
        <f>IF('Pipe Insulation'!C367="", "", 'Pipe Insulation'!C367)</f>
        <v/>
      </c>
      <c r="D347" s="76" t="str">
        <f>IF('Pipe Insulation'!D367="", "", 'Pipe Insulation'!D367)</f>
        <v/>
      </c>
      <c r="E347" s="69" t="str">
        <f>IF('Pipe Insulation'!E367="", "", 'Pipe Insulation'!E367)</f>
        <v/>
      </c>
      <c r="F347" s="76" t="str">
        <f>IFERROR(VLOOKUP('Pipe Insulation'!G367,'Pipe Insulation'!$AM$142:$AN$149,2,FALSE),"")</f>
        <v/>
      </c>
      <c r="G347" s="86" t="str">
        <f>IF('Pipe Insulation'!W367="", "", 'Pipe Insulation'!W367)</f>
        <v/>
      </c>
      <c r="H347" s="76" t="str">
        <f>IFERROR(VLOOKUP('Pipe Insulation'!Y367,'Pipe Insulation'!$AM$152:$AN$153,2,FALSE),"")</f>
        <v/>
      </c>
      <c r="I347" s="68" t="str">
        <f>IF('Pipe Insulation'!Z367="", "", 'Pipe Insulation'!Z367)</f>
        <v/>
      </c>
      <c r="J347" s="480"/>
    </row>
    <row r="348" spans="2:10" s="1" customFormat="1" x14ac:dyDescent="0.25">
      <c r="B348" s="76">
        <f>'Pipe Insulation'!B368</f>
        <v>335</v>
      </c>
      <c r="C348" s="76" t="str">
        <f>IF('Pipe Insulation'!C368="", "", 'Pipe Insulation'!C368)</f>
        <v/>
      </c>
      <c r="D348" s="76" t="str">
        <f>IF('Pipe Insulation'!D368="", "", 'Pipe Insulation'!D368)</f>
        <v/>
      </c>
      <c r="E348" s="69" t="str">
        <f>IF('Pipe Insulation'!E368="", "", 'Pipe Insulation'!E368)</f>
        <v/>
      </c>
      <c r="F348" s="76" t="str">
        <f>IFERROR(VLOOKUP('Pipe Insulation'!G368,'Pipe Insulation'!$AM$142:$AN$149,2,FALSE),"")</f>
        <v/>
      </c>
      <c r="G348" s="86" t="str">
        <f>IF('Pipe Insulation'!W368="", "", 'Pipe Insulation'!W368)</f>
        <v/>
      </c>
      <c r="H348" s="76" t="str">
        <f>IFERROR(VLOOKUP('Pipe Insulation'!Y368,'Pipe Insulation'!$AM$152:$AN$153,2,FALSE),"")</f>
        <v/>
      </c>
      <c r="I348" s="68" t="str">
        <f>IF('Pipe Insulation'!Z368="", "", 'Pipe Insulation'!Z368)</f>
        <v/>
      </c>
      <c r="J348" s="480"/>
    </row>
    <row r="349" spans="2:10" s="1" customFormat="1" x14ac:dyDescent="0.25">
      <c r="B349" s="76">
        <f>'Pipe Insulation'!B369</f>
        <v>336</v>
      </c>
      <c r="C349" s="76" t="str">
        <f>IF('Pipe Insulation'!C369="", "", 'Pipe Insulation'!C369)</f>
        <v/>
      </c>
      <c r="D349" s="76" t="str">
        <f>IF('Pipe Insulation'!D369="", "", 'Pipe Insulation'!D369)</f>
        <v/>
      </c>
      <c r="E349" s="69" t="str">
        <f>IF('Pipe Insulation'!E369="", "", 'Pipe Insulation'!E369)</f>
        <v/>
      </c>
      <c r="F349" s="76" t="str">
        <f>IFERROR(VLOOKUP('Pipe Insulation'!G369,'Pipe Insulation'!$AM$142:$AN$149,2,FALSE),"")</f>
        <v/>
      </c>
      <c r="G349" s="86" t="str">
        <f>IF('Pipe Insulation'!W369="", "", 'Pipe Insulation'!W369)</f>
        <v/>
      </c>
      <c r="H349" s="76" t="str">
        <f>IFERROR(VLOOKUP('Pipe Insulation'!Y369,'Pipe Insulation'!$AM$152:$AN$153,2,FALSE),"")</f>
        <v/>
      </c>
      <c r="I349" s="68" t="str">
        <f>IF('Pipe Insulation'!Z369="", "", 'Pipe Insulation'!Z369)</f>
        <v/>
      </c>
      <c r="J349" s="480"/>
    </row>
    <row r="350" spans="2:10" s="1" customFormat="1" x14ac:dyDescent="0.25">
      <c r="B350" s="76">
        <f>'Pipe Insulation'!B370</f>
        <v>337</v>
      </c>
      <c r="C350" s="76" t="str">
        <f>IF('Pipe Insulation'!C370="", "", 'Pipe Insulation'!C370)</f>
        <v/>
      </c>
      <c r="D350" s="76" t="str">
        <f>IF('Pipe Insulation'!D370="", "", 'Pipe Insulation'!D370)</f>
        <v/>
      </c>
      <c r="E350" s="69" t="str">
        <f>IF('Pipe Insulation'!E370="", "", 'Pipe Insulation'!E370)</f>
        <v/>
      </c>
      <c r="F350" s="76" t="str">
        <f>IFERROR(VLOOKUP('Pipe Insulation'!G370,'Pipe Insulation'!$AM$142:$AN$149,2,FALSE),"")</f>
        <v/>
      </c>
      <c r="G350" s="86" t="str">
        <f>IF('Pipe Insulation'!W370="", "", 'Pipe Insulation'!W370)</f>
        <v/>
      </c>
      <c r="H350" s="76" t="str">
        <f>IFERROR(VLOOKUP('Pipe Insulation'!Y370,'Pipe Insulation'!$AM$152:$AN$153,2,FALSE),"")</f>
        <v/>
      </c>
      <c r="I350" s="68" t="str">
        <f>IF('Pipe Insulation'!Z370="", "", 'Pipe Insulation'!Z370)</f>
        <v/>
      </c>
      <c r="J350" s="480"/>
    </row>
    <row r="351" spans="2:10" s="1" customFormat="1" x14ac:dyDescent="0.25">
      <c r="B351" s="76">
        <f>'Pipe Insulation'!B371</f>
        <v>338</v>
      </c>
      <c r="C351" s="76" t="str">
        <f>IF('Pipe Insulation'!C371="", "", 'Pipe Insulation'!C371)</f>
        <v/>
      </c>
      <c r="D351" s="76" t="str">
        <f>IF('Pipe Insulation'!D371="", "", 'Pipe Insulation'!D371)</f>
        <v/>
      </c>
      <c r="E351" s="69" t="str">
        <f>IF('Pipe Insulation'!E371="", "", 'Pipe Insulation'!E371)</f>
        <v/>
      </c>
      <c r="F351" s="76" t="str">
        <f>IFERROR(VLOOKUP('Pipe Insulation'!G371,'Pipe Insulation'!$AM$142:$AN$149,2,FALSE),"")</f>
        <v/>
      </c>
      <c r="G351" s="86" t="str">
        <f>IF('Pipe Insulation'!W371="", "", 'Pipe Insulation'!W371)</f>
        <v/>
      </c>
      <c r="H351" s="76" t="str">
        <f>IFERROR(VLOOKUP('Pipe Insulation'!Y371,'Pipe Insulation'!$AM$152:$AN$153,2,FALSE),"")</f>
        <v/>
      </c>
      <c r="I351" s="68" t="str">
        <f>IF('Pipe Insulation'!Z371="", "", 'Pipe Insulation'!Z371)</f>
        <v/>
      </c>
      <c r="J351" s="480"/>
    </row>
    <row r="352" spans="2:10" s="1" customFormat="1" x14ac:dyDescent="0.25">
      <c r="B352" s="76">
        <f>'Pipe Insulation'!B372</f>
        <v>339</v>
      </c>
      <c r="C352" s="76" t="str">
        <f>IF('Pipe Insulation'!C372="", "", 'Pipe Insulation'!C372)</f>
        <v/>
      </c>
      <c r="D352" s="76" t="str">
        <f>IF('Pipe Insulation'!D372="", "", 'Pipe Insulation'!D372)</f>
        <v/>
      </c>
      <c r="E352" s="69" t="str">
        <f>IF('Pipe Insulation'!E372="", "", 'Pipe Insulation'!E372)</f>
        <v/>
      </c>
      <c r="F352" s="76" t="str">
        <f>IFERROR(VLOOKUP('Pipe Insulation'!G372,'Pipe Insulation'!$AM$142:$AN$149,2,FALSE),"")</f>
        <v/>
      </c>
      <c r="G352" s="86" t="str">
        <f>IF('Pipe Insulation'!W372="", "", 'Pipe Insulation'!W372)</f>
        <v/>
      </c>
      <c r="H352" s="76" t="str">
        <f>IFERROR(VLOOKUP('Pipe Insulation'!Y372,'Pipe Insulation'!$AM$152:$AN$153,2,FALSE),"")</f>
        <v/>
      </c>
      <c r="I352" s="68" t="str">
        <f>IF('Pipe Insulation'!Z372="", "", 'Pipe Insulation'!Z372)</f>
        <v/>
      </c>
      <c r="J352" s="480"/>
    </row>
    <row r="353" spans="2:10" s="1" customFormat="1" x14ac:dyDescent="0.25">
      <c r="B353" s="76">
        <f>'Pipe Insulation'!B373</f>
        <v>340</v>
      </c>
      <c r="C353" s="76" t="str">
        <f>IF('Pipe Insulation'!C373="", "", 'Pipe Insulation'!C373)</f>
        <v/>
      </c>
      <c r="D353" s="76" t="str">
        <f>IF('Pipe Insulation'!D373="", "", 'Pipe Insulation'!D373)</f>
        <v/>
      </c>
      <c r="E353" s="69" t="str">
        <f>IF('Pipe Insulation'!E373="", "", 'Pipe Insulation'!E373)</f>
        <v/>
      </c>
      <c r="F353" s="76" t="str">
        <f>IFERROR(VLOOKUP('Pipe Insulation'!G373,'Pipe Insulation'!$AM$142:$AN$149,2,FALSE),"")</f>
        <v/>
      </c>
      <c r="G353" s="86" t="str">
        <f>IF('Pipe Insulation'!W373="", "", 'Pipe Insulation'!W373)</f>
        <v/>
      </c>
      <c r="H353" s="76" t="str">
        <f>IFERROR(VLOOKUP('Pipe Insulation'!Y373,'Pipe Insulation'!$AM$152:$AN$153,2,FALSE),"")</f>
        <v/>
      </c>
      <c r="I353" s="68" t="str">
        <f>IF('Pipe Insulation'!Z373="", "", 'Pipe Insulation'!Z373)</f>
        <v/>
      </c>
      <c r="J353" s="480"/>
    </row>
    <row r="354" spans="2:10" s="1" customFormat="1" x14ac:dyDescent="0.25">
      <c r="B354" s="76">
        <f>'Pipe Insulation'!B374</f>
        <v>341</v>
      </c>
      <c r="C354" s="76" t="str">
        <f>IF('Pipe Insulation'!C374="", "", 'Pipe Insulation'!C374)</f>
        <v/>
      </c>
      <c r="D354" s="76" t="str">
        <f>IF('Pipe Insulation'!D374="", "", 'Pipe Insulation'!D374)</f>
        <v/>
      </c>
      <c r="E354" s="69" t="str">
        <f>IF('Pipe Insulation'!E374="", "", 'Pipe Insulation'!E374)</f>
        <v/>
      </c>
      <c r="F354" s="76" t="str">
        <f>IFERROR(VLOOKUP('Pipe Insulation'!G374,'Pipe Insulation'!$AM$142:$AN$149,2,FALSE),"")</f>
        <v/>
      </c>
      <c r="G354" s="86" t="str">
        <f>IF('Pipe Insulation'!W374="", "", 'Pipe Insulation'!W374)</f>
        <v/>
      </c>
      <c r="H354" s="76" t="str">
        <f>IFERROR(VLOOKUP('Pipe Insulation'!Y374,'Pipe Insulation'!$AM$152:$AN$153,2,FALSE),"")</f>
        <v/>
      </c>
      <c r="I354" s="68" t="str">
        <f>IF('Pipe Insulation'!Z374="", "", 'Pipe Insulation'!Z374)</f>
        <v/>
      </c>
      <c r="J354" s="480"/>
    </row>
    <row r="355" spans="2:10" s="1" customFormat="1" x14ac:dyDescent="0.25">
      <c r="B355" s="76">
        <f>'Pipe Insulation'!B375</f>
        <v>342</v>
      </c>
      <c r="C355" s="76" t="str">
        <f>IF('Pipe Insulation'!C375="", "", 'Pipe Insulation'!C375)</f>
        <v/>
      </c>
      <c r="D355" s="76" t="str">
        <f>IF('Pipe Insulation'!D375="", "", 'Pipe Insulation'!D375)</f>
        <v/>
      </c>
      <c r="E355" s="69" t="str">
        <f>IF('Pipe Insulation'!E375="", "", 'Pipe Insulation'!E375)</f>
        <v/>
      </c>
      <c r="F355" s="76" t="str">
        <f>IFERROR(VLOOKUP('Pipe Insulation'!G375,'Pipe Insulation'!$AM$142:$AN$149,2,FALSE),"")</f>
        <v/>
      </c>
      <c r="G355" s="86" t="str">
        <f>IF('Pipe Insulation'!W375="", "", 'Pipe Insulation'!W375)</f>
        <v/>
      </c>
      <c r="H355" s="76" t="str">
        <f>IFERROR(VLOOKUP('Pipe Insulation'!Y375,'Pipe Insulation'!$AM$152:$AN$153,2,FALSE),"")</f>
        <v/>
      </c>
      <c r="I355" s="68" t="str">
        <f>IF('Pipe Insulation'!Z375="", "", 'Pipe Insulation'!Z375)</f>
        <v/>
      </c>
      <c r="J355" s="480"/>
    </row>
    <row r="356" spans="2:10" s="1" customFormat="1" x14ac:dyDescent="0.25">
      <c r="B356" s="76">
        <f>'Pipe Insulation'!B376</f>
        <v>343</v>
      </c>
      <c r="C356" s="76" t="str">
        <f>IF('Pipe Insulation'!C376="", "", 'Pipe Insulation'!C376)</f>
        <v/>
      </c>
      <c r="D356" s="76" t="str">
        <f>IF('Pipe Insulation'!D376="", "", 'Pipe Insulation'!D376)</f>
        <v/>
      </c>
      <c r="E356" s="69" t="str">
        <f>IF('Pipe Insulation'!E376="", "", 'Pipe Insulation'!E376)</f>
        <v/>
      </c>
      <c r="F356" s="76" t="str">
        <f>IFERROR(VLOOKUP('Pipe Insulation'!G376,'Pipe Insulation'!$AM$142:$AN$149,2,FALSE),"")</f>
        <v/>
      </c>
      <c r="G356" s="86" t="str">
        <f>IF('Pipe Insulation'!W376="", "", 'Pipe Insulation'!W376)</f>
        <v/>
      </c>
      <c r="H356" s="76" t="str">
        <f>IFERROR(VLOOKUP('Pipe Insulation'!Y376,'Pipe Insulation'!$AM$152:$AN$153,2,FALSE),"")</f>
        <v/>
      </c>
      <c r="I356" s="68" t="str">
        <f>IF('Pipe Insulation'!Z376="", "", 'Pipe Insulation'!Z376)</f>
        <v/>
      </c>
      <c r="J356" s="480"/>
    </row>
    <row r="357" spans="2:10" s="1" customFormat="1" x14ac:dyDescent="0.25">
      <c r="B357" s="76">
        <f>'Pipe Insulation'!B377</f>
        <v>344</v>
      </c>
      <c r="C357" s="76" t="str">
        <f>IF('Pipe Insulation'!C377="", "", 'Pipe Insulation'!C377)</f>
        <v/>
      </c>
      <c r="D357" s="76" t="str">
        <f>IF('Pipe Insulation'!D377="", "", 'Pipe Insulation'!D377)</f>
        <v/>
      </c>
      <c r="E357" s="69" t="str">
        <f>IF('Pipe Insulation'!E377="", "", 'Pipe Insulation'!E377)</f>
        <v/>
      </c>
      <c r="F357" s="76" t="str">
        <f>IFERROR(VLOOKUP('Pipe Insulation'!G377,'Pipe Insulation'!$AM$142:$AN$149,2,FALSE),"")</f>
        <v/>
      </c>
      <c r="G357" s="86" t="str">
        <f>IF('Pipe Insulation'!W377="", "", 'Pipe Insulation'!W377)</f>
        <v/>
      </c>
      <c r="H357" s="76" t="str">
        <f>IFERROR(VLOOKUP('Pipe Insulation'!Y377,'Pipe Insulation'!$AM$152:$AN$153,2,FALSE),"")</f>
        <v/>
      </c>
      <c r="I357" s="68" t="str">
        <f>IF('Pipe Insulation'!Z377="", "", 'Pipe Insulation'!Z377)</f>
        <v/>
      </c>
      <c r="J357" s="480"/>
    </row>
    <row r="358" spans="2:10" s="1" customFormat="1" x14ac:dyDescent="0.25">
      <c r="B358" s="76">
        <f>'Pipe Insulation'!B378</f>
        <v>345</v>
      </c>
      <c r="C358" s="76" t="str">
        <f>IF('Pipe Insulation'!C378="", "", 'Pipe Insulation'!C378)</f>
        <v/>
      </c>
      <c r="D358" s="76" t="str">
        <f>IF('Pipe Insulation'!D378="", "", 'Pipe Insulation'!D378)</f>
        <v/>
      </c>
      <c r="E358" s="69" t="str">
        <f>IF('Pipe Insulation'!E378="", "", 'Pipe Insulation'!E378)</f>
        <v/>
      </c>
      <c r="F358" s="76" t="str">
        <f>IFERROR(VLOOKUP('Pipe Insulation'!G378,'Pipe Insulation'!$AM$142:$AN$149,2,FALSE),"")</f>
        <v/>
      </c>
      <c r="G358" s="86" t="str">
        <f>IF('Pipe Insulation'!W378="", "", 'Pipe Insulation'!W378)</f>
        <v/>
      </c>
      <c r="H358" s="76" t="str">
        <f>IFERROR(VLOOKUP('Pipe Insulation'!Y378,'Pipe Insulation'!$AM$152:$AN$153,2,FALSE),"")</f>
        <v/>
      </c>
      <c r="I358" s="68" t="str">
        <f>IF('Pipe Insulation'!Z378="", "", 'Pipe Insulation'!Z378)</f>
        <v/>
      </c>
      <c r="J358" s="480"/>
    </row>
    <row r="359" spans="2:10" s="1" customFormat="1" x14ac:dyDescent="0.25">
      <c r="B359" s="76">
        <f>'Pipe Insulation'!B379</f>
        <v>346</v>
      </c>
      <c r="C359" s="76" t="str">
        <f>IF('Pipe Insulation'!C379="", "", 'Pipe Insulation'!C379)</f>
        <v/>
      </c>
      <c r="D359" s="76" t="str">
        <f>IF('Pipe Insulation'!D379="", "", 'Pipe Insulation'!D379)</f>
        <v/>
      </c>
      <c r="E359" s="69" t="str">
        <f>IF('Pipe Insulation'!E379="", "", 'Pipe Insulation'!E379)</f>
        <v/>
      </c>
      <c r="F359" s="76" t="str">
        <f>IFERROR(VLOOKUP('Pipe Insulation'!G379,'Pipe Insulation'!$AM$142:$AN$149,2,FALSE),"")</f>
        <v/>
      </c>
      <c r="G359" s="86" t="str">
        <f>IF('Pipe Insulation'!W379="", "", 'Pipe Insulation'!W379)</f>
        <v/>
      </c>
      <c r="H359" s="76" t="str">
        <f>IFERROR(VLOOKUP('Pipe Insulation'!Y379,'Pipe Insulation'!$AM$152:$AN$153,2,FALSE),"")</f>
        <v/>
      </c>
      <c r="I359" s="68" t="str">
        <f>IF('Pipe Insulation'!Z379="", "", 'Pipe Insulation'!Z379)</f>
        <v/>
      </c>
      <c r="J359" s="480"/>
    </row>
    <row r="360" spans="2:10" s="1" customFormat="1" x14ac:dyDescent="0.25">
      <c r="B360" s="76">
        <f>'Pipe Insulation'!B380</f>
        <v>347</v>
      </c>
      <c r="C360" s="76" t="str">
        <f>IF('Pipe Insulation'!C380="", "", 'Pipe Insulation'!C380)</f>
        <v/>
      </c>
      <c r="D360" s="76" t="str">
        <f>IF('Pipe Insulation'!D380="", "", 'Pipe Insulation'!D380)</f>
        <v/>
      </c>
      <c r="E360" s="69" t="str">
        <f>IF('Pipe Insulation'!E380="", "", 'Pipe Insulation'!E380)</f>
        <v/>
      </c>
      <c r="F360" s="76" t="str">
        <f>IFERROR(VLOOKUP('Pipe Insulation'!G380,'Pipe Insulation'!$AM$142:$AN$149,2,FALSE),"")</f>
        <v/>
      </c>
      <c r="G360" s="86" t="str">
        <f>IF('Pipe Insulation'!W380="", "", 'Pipe Insulation'!W380)</f>
        <v/>
      </c>
      <c r="H360" s="76" t="str">
        <f>IFERROR(VLOOKUP('Pipe Insulation'!Y380,'Pipe Insulation'!$AM$152:$AN$153,2,FALSE),"")</f>
        <v/>
      </c>
      <c r="I360" s="68" t="str">
        <f>IF('Pipe Insulation'!Z380="", "", 'Pipe Insulation'!Z380)</f>
        <v/>
      </c>
      <c r="J360" s="480"/>
    </row>
    <row r="361" spans="2:10" s="1" customFormat="1" x14ac:dyDescent="0.25">
      <c r="B361" s="76">
        <f>'Pipe Insulation'!B381</f>
        <v>348</v>
      </c>
      <c r="C361" s="76" t="str">
        <f>IF('Pipe Insulation'!C381="", "", 'Pipe Insulation'!C381)</f>
        <v/>
      </c>
      <c r="D361" s="76" t="str">
        <f>IF('Pipe Insulation'!D381="", "", 'Pipe Insulation'!D381)</f>
        <v/>
      </c>
      <c r="E361" s="69" t="str">
        <f>IF('Pipe Insulation'!E381="", "", 'Pipe Insulation'!E381)</f>
        <v/>
      </c>
      <c r="F361" s="76" t="str">
        <f>IFERROR(VLOOKUP('Pipe Insulation'!G381,'Pipe Insulation'!$AM$142:$AN$149,2,FALSE),"")</f>
        <v/>
      </c>
      <c r="G361" s="86" t="str">
        <f>IF('Pipe Insulation'!W381="", "", 'Pipe Insulation'!W381)</f>
        <v/>
      </c>
      <c r="H361" s="76" t="str">
        <f>IFERROR(VLOOKUP('Pipe Insulation'!Y381,'Pipe Insulation'!$AM$152:$AN$153,2,FALSE),"")</f>
        <v/>
      </c>
      <c r="I361" s="68" t="str">
        <f>IF('Pipe Insulation'!Z381="", "", 'Pipe Insulation'!Z381)</f>
        <v/>
      </c>
      <c r="J361" s="480"/>
    </row>
    <row r="362" spans="2:10" s="1" customFormat="1" x14ac:dyDescent="0.25">
      <c r="B362" s="76">
        <f>'Pipe Insulation'!B382</f>
        <v>349</v>
      </c>
      <c r="C362" s="76" t="str">
        <f>IF('Pipe Insulation'!C382="", "", 'Pipe Insulation'!C382)</f>
        <v/>
      </c>
      <c r="D362" s="76" t="str">
        <f>IF('Pipe Insulation'!D382="", "", 'Pipe Insulation'!D382)</f>
        <v/>
      </c>
      <c r="E362" s="69" t="str">
        <f>IF('Pipe Insulation'!E382="", "", 'Pipe Insulation'!E382)</f>
        <v/>
      </c>
      <c r="F362" s="76" t="str">
        <f>IFERROR(VLOOKUP('Pipe Insulation'!G382,'Pipe Insulation'!$AM$142:$AN$149,2,FALSE),"")</f>
        <v/>
      </c>
      <c r="G362" s="86" t="str">
        <f>IF('Pipe Insulation'!W382="", "", 'Pipe Insulation'!W382)</f>
        <v/>
      </c>
      <c r="H362" s="76" t="str">
        <f>IFERROR(VLOOKUP('Pipe Insulation'!Y382,'Pipe Insulation'!$AM$152:$AN$153,2,FALSE),"")</f>
        <v/>
      </c>
      <c r="I362" s="68" t="str">
        <f>IF('Pipe Insulation'!Z382="", "", 'Pipe Insulation'!Z382)</f>
        <v/>
      </c>
      <c r="J362" s="480"/>
    </row>
    <row r="363" spans="2:10" s="1" customFormat="1" x14ac:dyDescent="0.25">
      <c r="B363" s="76">
        <f>'Pipe Insulation'!B383</f>
        <v>350</v>
      </c>
      <c r="C363" s="76" t="str">
        <f>IF('Pipe Insulation'!C383="", "", 'Pipe Insulation'!C383)</f>
        <v/>
      </c>
      <c r="D363" s="76" t="str">
        <f>IF('Pipe Insulation'!D383="", "", 'Pipe Insulation'!D383)</f>
        <v/>
      </c>
      <c r="E363" s="69" t="str">
        <f>IF('Pipe Insulation'!E383="", "", 'Pipe Insulation'!E383)</f>
        <v/>
      </c>
      <c r="F363" s="76" t="str">
        <f>IFERROR(VLOOKUP('Pipe Insulation'!G383,'Pipe Insulation'!$AM$142:$AN$149,2,FALSE),"")</f>
        <v/>
      </c>
      <c r="G363" s="86" t="str">
        <f>IF('Pipe Insulation'!W383="", "", 'Pipe Insulation'!W383)</f>
        <v/>
      </c>
      <c r="H363" s="76" t="str">
        <f>IFERROR(VLOOKUP('Pipe Insulation'!Y383,'Pipe Insulation'!$AM$152:$AN$153,2,FALSE),"")</f>
        <v/>
      </c>
      <c r="I363" s="68" t="str">
        <f>IF('Pipe Insulation'!Z383="", "", 'Pipe Insulation'!Z383)</f>
        <v/>
      </c>
      <c r="J363" s="480"/>
    </row>
    <row r="364" spans="2:10" s="1" customFormat="1" x14ac:dyDescent="0.25">
      <c r="B364" s="76">
        <f>'Pipe Insulation'!B384</f>
        <v>351</v>
      </c>
      <c r="C364" s="76" t="str">
        <f>IF('Pipe Insulation'!C384="", "", 'Pipe Insulation'!C384)</f>
        <v/>
      </c>
      <c r="D364" s="76" t="str">
        <f>IF('Pipe Insulation'!D384="", "", 'Pipe Insulation'!D384)</f>
        <v/>
      </c>
      <c r="E364" s="69" t="str">
        <f>IF('Pipe Insulation'!E384="", "", 'Pipe Insulation'!E384)</f>
        <v/>
      </c>
      <c r="F364" s="76" t="str">
        <f>IFERROR(VLOOKUP('Pipe Insulation'!G384,'Pipe Insulation'!$AM$142:$AN$149,2,FALSE),"")</f>
        <v/>
      </c>
      <c r="G364" s="86" t="str">
        <f>IF('Pipe Insulation'!W384="", "", 'Pipe Insulation'!W384)</f>
        <v/>
      </c>
      <c r="H364" s="76" t="str">
        <f>IFERROR(VLOOKUP('Pipe Insulation'!Y384,'Pipe Insulation'!$AM$152:$AN$153,2,FALSE),"")</f>
        <v/>
      </c>
      <c r="I364" s="68" t="str">
        <f>IF('Pipe Insulation'!Z384="", "", 'Pipe Insulation'!Z384)</f>
        <v/>
      </c>
      <c r="J364" s="480"/>
    </row>
    <row r="365" spans="2:10" s="1" customFormat="1" x14ac:dyDescent="0.25">
      <c r="B365" s="76">
        <f>'Pipe Insulation'!B385</f>
        <v>352</v>
      </c>
      <c r="C365" s="76" t="str">
        <f>IF('Pipe Insulation'!C385="", "", 'Pipe Insulation'!C385)</f>
        <v/>
      </c>
      <c r="D365" s="76" t="str">
        <f>IF('Pipe Insulation'!D385="", "", 'Pipe Insulation'!D385)</f>
        <v/>
      </c>
      <c r="E365" s="69" t="str">
        <f>IF('Pipe Insulation'!E385="", "", 'Pipe Insulation'!E385)</f>
        <v/>
      </c>
      <c r="F365" s="76" t="str">
        <f>IFERROR(VLOOKUP('Pipe Insulation'!G385,'Pipe Insulation'!$AM$142:$AN$149,2,FALSE),"")</f>
        <v/>
      </c>
      <c r="G365" s="86" t="str">
        <f>IF('Pipe Insulation'!W385="", "", 'Pipe Insulation'!W385)</f>
        <v/>
      </c>
      <c r="H365" s="76" t="str">
        <f>IFERROR(VLOOKUP('Pipe Insulation'!Y385,'Pipe Insulation'!$AM$152:$AN$153,2,FALSE),"")</f>
        <v/>
      </c>
      <c r="I365" s="68" t="str">
        <f>IF('Pipe Insulation'!Z385="", "", 'Pipe Insulation'!Z385)</f>
        <v/>
      </c>
      <c r="J365" s="480"/>
    </row>
    <row r="366" spans="2:10" s="1" customFormat="1" x14ac:dyDescent="0.25">
      <c r="B366" s="76">
        <f>'Pipe Insulation'!B386</f>
        <v>353</v>
      </c>
      <c r="C366" s="76" t="str">
        <f>IF('Pipe Insulation'!C386="", "", 'Pipe Insulation'!C386)</f>
        <v/>
      </c>
      <c r="D366" s="76" t="str">
        <f>IF('Pipe Insulation'!D386="", "", 'Pipe Insulation'!D386)</f>
        <v/>
      </c>
      <c r="E366" s="69" t="str">
        <f>IF('Pipe Insulation'!E386="", "", 'Pipe Insulation'!E386)</f>
        <v/>
      </c>
      <c r="F366" s="76" t="str">
        <f>IFERROR(VLOOKUP('Pipe Insulation'!G386,'Pipe Insulation'!$AM$142:$AN$149,2,FALSE),"")</f>
        <v/>
      </c>
      <c r="G366" s="86" t="str">
        <f>IF('Pipe Insulation'!W386="", "", 'Pipe Insulation'!W386)</f>
        <v/>
      </c>
      <c r="H366" s="76" t="str">
        <f>IFERROR(VLOOKUP('Pipe Insulation'!Y386,'Pipe Insulation'!$AM$152:$AN$153,2,FALSE),"")</f>
        <v/>
      </c>
      <c r="I366" s="68" t="str">
        <f>IF('Pipe Insulation'!Z386="", "", 'Pipe Insulation'!Z386)</f>
        <v/>
      </c>
      <c r="J366" s="480"/>
    </row>
    <row r="367" spans="2:10" s="1" customFormat="1" x14ac:dyDescent="0.25">
      <c r="B367" s="76">
        <f>'Pipe Insulation'!B387</f>
        <v>354</v>
      </c>
      <c r="C367" s="76" t="str">
        <f>IF('Pipe Insulation'!C387="", "", 'Pipe Insulation'!C387)</f>
        <v/>
      </c>
      <c r="D367" s="76" t="str">
        <f>IF('Pipe Insulation'!D387="", "", 'Pipe Insulation'!D387)</f>
        <v/>
      </c>
      <c r="E367" s="69" t="str">
        <f>IF('Pipe Insulation'!E387="", "", 'Pipe Insulation'!E387)</f>
        <v/>
      </c>
      <c r="F367" s="76" t="str">
        <f>IFERROR(VLOOKUP('Pipe Insulation'!G387,'Pipe Insulation'!$AM$142:$AN$149,2,FALSE),"")</f>
        <v/>
      </c>
      <c r="G367" s="86" t="str">
        <f>IF('Pipe Insulation'!W387="", "", 'Pipe Insulation'!W387)</f>
        <v/>
      </c>
      <c r="H367" s="76" t="str">
        <f>IFERROR(VLOOKUP('Pipe Insulation'!Y387,'Pipe Insulation'!$AM$152:$AN$153,2,FALSE),"")</f>
        <v/>
      </c>
      <c r="I367" s="68" t="str">
        <f>IF('Pipe Insulation'!Z387="", "", 'Pipe Insulation'!Z387)</f>
        <v/>
      </c>
      <c r="J367" s="480"/>
    </row>
    <row r="368" spans="2:10" s="1" customFormat="1" x14ac:dyDescent="0.25">
      <c r="B368" s="76">
        <f>'Pipe Insulation'!B388</f>
        <v>355</v>
      </c>
      <c r="C368" s="76" t="str">
        <f>IF('Pipe Insulation'!C388="", "", 'Pipe Insulation'!C388)</f>
        <v/>
      </c>
      <c r="D368" s="76" t="str">
        <f>IF('Pipe Insulation'!D388="", "", 'Pipe Insulation'!D388)</f>
        <v/>
      </c>
      <c r="E368" s="69" t="str">
        <f>IF('Pipe Insulation'!E388="", "", 'Pipe Insulation'!E388)</f>
        <v/>
      </c>
      <c r="F368" s="76" t="str">
        <f>IFERROR(VLOOKUP('Pipe Insulation'!G388,'Pipe Insulation'!$AM$142:$AN$149,2,FALSE),"")</f>
        <v/>
      </c>
      <c r="G368" s="86" t="str">
        <f>IF('Pipe Insulation'!W388="", "", 'Pipe Insulation'!W388)</f>
        <v/>
      </c>
      <c r="H368" s="76" t="str">
        <f>IFERROR(VLOOKUP('Pipe Insulation'!Y388,'Pipe Insulation'!$AM$152:$AN$153,2,FALSE),"")</f>
        <v/>
      </c>
      <c r="I368" s="68" t="str">
        <f>IF('Pipe Insulation'!Z388="", "", 'Pipe Insulation'!Z388)</f>
        <v/>
      </c>
      <c r="J368" s="480"/>
    </row>
    <row r="369" spans="2:10" s="1" customFormat="1" x14ac:dyDescent="0.25">
      <c r="B369" s="76">
        <f>'Pipe Insulation'!B389</f>
        <v>356</v>
      </c>
      <c r="C369" s="76" t="str">
        <f>IF('Pipe Insulation'!C389="", "", 'Pipe Insulation'!C389)</f>
        <v/>
      </c>
      <c r="D369" s="76" t="str">
        <f>IF('Pipe Insulation'!D389="", "", 'Pipe Insulation'!D389)</f>
        <v/>
      </c>
      <c r="E369" s="69" t="str">
        <f>IF('Pipe Insulation'!E389="", "", 'Pipe Insulation'!E389)</f>
        <v/>
      </c>
      <c r="F369" s="76" t="str">
        <f>IFERROR(VLOOKUP('Pipe Insulation'!G389,'Pipe Insulation'!$AM$142:$AN$149,2,FALSE),"")</f>
        <v/>
      </c>
      <c r="G369" s="86" t="str">
        <f>IF('Pipe Insulation'!W389="", "", 'Pipe Insulation'!W389)</f>
        <v/>
      </c>
      <c r="H369" s="76" t="str">
        <f>IFERROR(VLOOKUP('Pipe Insulation'!Y389,'Pipe Insulation'!$AM$152:$AN$153,2,FALSE),"")</f>
        <v/>
      </c>
      <c r="I369" s="68" t="str">
        <f>IF('Pipe Insulation'!Z389="", "", 'Pipe Insulation'!Z389)</f>
        <v/>
      </c>
      <c r="J369" s="480"/>
    </row>
    <row r="370" spans="2:10" s="1" customFormat="1" x14ac:dyDescent="0.25">
      <c r="B370" s="76">
        <f>'Pipe Insulation'!B390</f>
        <v>357</v>
      </c>
      <c r="C370" s="76" t="str">
        <f>IF('Pipe Insulation'!C390="", "", 'Pipe Insulation'!C390)</f>
        <v/>
      </c>
      <c r="D370" s="76" t="str">
        <f>IF('Pipe Insulation'!D390="", "", 'Pipe Insulation'!D390)</f>
        <v/>
      </c>
      <c r="E370" s="69" t="str">
        <f>IF('Pipe Insulation'!E390="", "", 'Pipe Insulation'!E390)</f>
        <v/>
      </c>
      <c r="F370" s="76" t="str">
        <f>IFERROR(VLOOKUP('Pipe Insulation'!G390,'Pipe Insulation'!$AM$142:$AN$149,2,FALSE),"")</f>
        <v/>
      </c>
      <c r="G370" s="86" t="str">
        <f>IF('Pipe Insulation'!W390="", "", 'Pipe Insulation'!W390)</f>
        <v/>
      </c>
      <c r="H370" s="76" t="str">
        <f>IFERROR(VLOOKUP('Pipe Insulation'!Y390,'Pipe Insulation'!$AM$152:$AN$153,2,FALSE),"")</f>
        <v/>
      </c>
      <c r="I370" s="68" t="str">
        <f>IF('Pipe Insulation'!Z390="", "", 'Pipe Insulation'!Z390)</f>
        <v/>
      </c>
      <c r="J370" s="480"/>
    </row>
    <row r="371" spans="2:10" s="1" customFormat="1" x14ac:dyDescent="0.25">
      <c r="B371" s="76">
        <f>'Pipe Insulation'!B391</f>
        <v>358</v>
      </c>
      <c r="C371" s="76" t="str">
        <f>IF('Pipe Insulation'!C391="", "", 'Pipe Insulation'!C391)</f>
        <v/>
      </c>
      <c r="D371" s="76" t="str">
        <f>IF('Pipe Insulation'!D391="", "", 'Pipe Insulation'!D391)</f>
        <v/>
      </c>
      <c r="E371" s="69" t="str">
        <f>IF('Pipe Insulation'!E391="", "", 'Pipe Insulation'!E391)</f>
        <v/>
      </c>
      <c r="F371" s="76" t="str">
        <f>IFERROR(VLOOKUP('Pipe Insulation'!G391,'Pipe Insulation'!$AM$142:$AN$149,2,FALSE),"")</f>
        <v/>
      </c>
      <c r="G371" s="86" t="str">
        <f>IF('Pipe Insulation'!W391="", "", 'Pipe Insulation'!W391)</f>
        <v/>
      </c>
      <c r="H371" s="76" t="str">
        <f>IFERROR(VLOOKUP('Pipe Insulation'!Y391,'Pipe Insulation'!$AM$152:$AN$153,2,FALSE),"")</f>
        <v/>
      </c>
      <c r="I371" s="68" t="str">
        <f>IF('Pipe Insulation'!Z391="", "", 'Pipe Insulation'!Z391)</f>
        <v/>
      </c>
      <c r="J371" s="480"/>
    </row>
    <row r="372" spans="2:10" s="1" customFormat="1" x14ac:dyDescent="0.25">
      <c r="B372" s="76">
        <f>'Pipe Insulation'!B392</f>
        <v>359</v>
      </c>
      <c r="C372" s="76" t="str">
        <f>IF('Pipe Insulation'!C392="", "", 'Pipe Insulation'!C392)</f>
        <v/>
      </c>
      <c r="D372" s="76" t="str">
        <f>IF('Pipe Insulation'!D392="", "", 'Pipe Insulation'!D392)</f>
        <v/>
      </c>
      <c r="E372" s="69" t="str">
        <f>IF('Pipe Insulation'!E392="", "", 'Pipe Insulation'!E392)</f>
        <v/>
      </c>
      <c r="F372" s="76" t="str">
        <f>IFERROR(VLOOKUP('Pipe Insulation'!G392,'Pipe Insulation'!$AM$142:$AN$149,2,FALSE),"")</f>
        <v/>
      </c>
      <c r="G372" s="86" t="str">
        <f>IF('Pipe Insulation'!W392="", "", 'Pipe Insulation'!W392)</f>
        <v/>
      </c>
      <c r="H372" s="76" t="str">
        <f>IFERROR(VLOOKUP('Pipe Insulation'!Y392,'Pipe Insulation'!$AM$152:$AN$153,2,FALSE),"")</f>
        <v/>
      </c>
      <c r="I372" s="68" t="str">
        <f>IF('Pipe Insulation'!Z392="", "", 'Pipe Insulation'!Z392)</f>
        <v/>
      </c>
      <c r="J372" s="480"/>
    </row>
    <row r="373" spans="2:10" s="1" customFormat="1" x14ac:dyDescent="0.25">
      <c r="B373" s="76">
        <f>'Pipe Insulation'!B393</f>
        <v>360</v>
      </c>
      <c r="C373" s="76" t="str">
        <f>IF('Pipe Insulation'!C393="", "", 'Pipe Insulation'!C393)</f>
        <v/>
      </c>
      <c r="D373" s="76" t="str">
        <f>IF('Pipe Insulation'!D393="", "", 'Pipe Insulation'!D393)</f>
        <v/>
      </c>
      <c r="E373" s="69" t="str">
        <f>IF('Pipe Insulation'!E393="", "", 'Pipe Insulation'!E393)</f>
        <v/>
      </c>
      <c r="F373" s="76" t="str">
        <f>IFERROR(VLOOKUP('Pipe Insulation'!G393,'Pipe Insulation'!$AM$142:$AN$149,2,FALSE),"")</f>
        <v/>
      </c>
      <c r="G373" s="86" t="str">
        <f>IF('Pipe Insulation'!W393="", "", 'Pipe Insulation'!W393)</f>
        <v/>
      </c>
      <c r="H373" s="76" t="str">
        <f>IFERROR(VLOOKUP('Pipe Insulation'!Y393,'Pipe Insulation'!$AM$152:$AN$153,2,FALSE),"")</f>
        <v/>
      </c>
      <c r="I373" s="68" t="str">
        <f>IF('Pipe Insulation'!Z393="", "", 'Pipe Insulation'!Z393)</f>
        <v/>
      </c>
      <c r="J373" s="480"/>
    </row>
    <row r="374" spans="2:10" s="1" customFormat="1" x14ac:dyDescent="0.25">
      <c r="B374" s="76">
        <f>'Pipe Insulation'!B394</f>
        <v>361</v>
      </c>
      <c r="C374" s="76" t="str">
        <f>IF('Pipe Insulation'!C394="", "", 'Pipe Insulation'!C394)</f>
        <v/>
      </c>
      <c r="D374" s="76" t="str">
        <f>IF('Pipe Insulation'!D394="", "", 'Pipe Insulation'!D394)</f>
        <v/>
      </c>
      <c r="E374" s="69" t="str">
        <f>IF('Pipe Insulation'!E394="", "", 'Pipe Insulation'!E394)</f>
        <v/>
      </c>
      <c r="F374" s="76" t="str">
        <f>IFERROR(VLOOKUP('Pipe Insulation'!G394,'Pipe Insulation'!$AM$142:$AN$149,2,FALSE),"")</f>
        <v/>
      </c>
      <c r="G374" s="86" t="str">
        <f>IF('Pipe Insulation'!W394="", "", 'Pipe Insulation'!W394)</f>
        <v/>
      </c>
      <c r="H374" s="76" t="str">
        <f>IFERROR(VLOOKUP('Pipe Insulation'!Y394,'Pipe Insulation'!$AM$152:$AN$153,2,FALSE),"")</f>
        <v/>
      </c>
      <c r="I374" s="68" t="str">
        <f>IF('Pipe Insulation'!Z394="", "", 'Pipe Insulation'!Z394)</f>
        <v/>
      </c>
      <c r="J374" s="480"/>
    </row>
    <row r="375" spans="2:10" s="1" customFormat="1" x14ac:dyDescent="0.25">
      <c r="B375" s="76">
        <f>'Pipe Insulation'!B395</f>
        <v>362</v>
      </c>
      <c r="C375" s="76" t="str">
        <f>IF('Pipe Insulation'!C395="", "", 'Pipe Insulation'!C395)</f>
        <v/>
      </c>
      <c r="D375" s="76" t="str">
        <f>IF('Pipe Insulation'!D395="", "", 'Pipe Insulation'!D395)</f>
        <v/>
      </c>
      <c r="E375" s="69" t="str">
        <f>IF('Pipe Insulation'!E395="", "", 'Pipe Insulation'!E395)</f>
        <v/>
      </c>
      <c r="F375" s="76" t="str">
        <f>IFERROR(VLOOKUP('Pipe Insulation'!G395,'Pipe Insulation'!$AM$142:$AN$149,2,FALSE),"")</f>
        <v/>
      </c>
      <c r="G375" s="86" t="str">
        <f>IF('Pipe Insulation'!W395="", "", 'Pipe Insulation'!W395)</f>
        <v/>
      </c>
      <c r="H375" s="76" t="str">
        <f>IFERROR(VLOOKUP('Pipe Insulation'!Y395,'Pipe Insulation'!$AM$152:$AN$153,2,FALSE),"")</f>
        <v/>
      </c>
      <c r="I375" s="68" t="str">
        <f>IF('Pipe Insulation'!Z395="", "", 'Pipe Insulation'!Z395)</f>
        <v/>
      </c>
      <c r="J375" s="480"/>
    </row>
    <row r="376" spans="2:10" s="1" customFormat="1" x14ac:dyDescent="0.25">
      <c r="B376" s="76">
        <f>'Pipe Insulation'!B396</f>
        <v>363</v>
      </c>
      <c r="C376" s="76" t="str">
        <f>IF('Pipe Insulation'!C396="", "", 'Pipe Insulation'!C396)</f>
        <v/>
      </c>
      <c r="D376" s="76" t="str">
        <f>IF('Pipe Insulation'!D396="", "", 'Pipe Insulation'!D396)</f>
        <v/>
      </c>
      <c r="E376" s="69" t="str">
        <f>IF('Pipe Insulation'!E396="", "", 'Pipe Insulation'!E396)</f>
        <v/>
      </c>
      <c r="F376" s="76" t="str">
        <f>IFERROR(VLOOKUP('Pipe Insulation'!G396,'Pipe Insulation'!$AM$142:$AN$149,2,FALSE),"")</f>
        <v/>
      </c>
      <c r="G376" s="86" t="str">
        <f>IF('Pipe Insulation'!W396="", "", 'Pipe Insulation'!W396)</f>
        <v/>
      </c>
      <c r="H376" s="76" t="str">
        <f>IFERROR(VLOOKUP('Pipe Insulation'!Y396,'Pipe Insulation'!$AM$152:$AN$153,2,FALSE),"")</f>
        <v/>
      </c>
      <c r="I376" s="68" t="str">
        <f>IF('Pipe Insulation'!Z396="", "", 'Pipe Insulation'!Z396)</f>
        <v/>
      </c>
      <c r="J376" s="480"/>
    </row>
    <row r="377" spans="2:10" s="1" customFormat="1" x14ac:dyDescent="0.25">
      <c r="B377" s="76">
        <f>'Pipe Insulation'!B397</f>
        <v>364</v>
      </c>
      <c r="C377" s="76" t="str">
        <f>IF('Pipe Insulation'!C397="", "", 'Pipe Insulation'!C397)</f>
        <v/>
      </c>
      <c r="D377" s="76" t="str">
        <f>IF('Pipe Insulation'!D397="", "", 'Pipe Insulation'!D397)</f>
        <v/>
      </c>
      <c r="E377" s="69" t="str">
        <f>IF('Pipe Insulation'!E397="", "", 'Pipe Insulation'!E397)</f>
        <v/>
      </c>
      <c r="F377" s="76" t="str">
        <f>IFERROR(VLOOKUP('Pipe Insulation'!G397,'Pipe Insulation'!$AM$142:$AN$149,2,FALSE),"")</f>
        <v/>
      </c>
      <c r="G377" s="86" t="str">
        <f>IF('Pipe Insulation'!W397="", "", 'Pipe Insulation'!W397)</f>
        <v/>
      </c>
      <c r="H377" s="76" t="str">
        <f>IFERROR(VLOOKUP('Pipe Insulation'!Y397,'Pipe Insulation'!$AM$152:$AN$153,2,FALSE),"")</f>
        <v/>
      </c>
      <c r="I377" s="68" t="str">
        <f>IF('Pipe Insulation'!Z397="", "", 'Pipe Insulation'!Z397)</f>
        <v/>
      </c>
      <c r="J377" s="480"/>
    </row>
    <row r="378" spans="2:10" s="1" customFormat="1" x14ac:dyDescent="0.25">
      <c r="B378" s="76">
        <f>'Pipe Insulation'!B398</f>
        <v>365</v>
      </c>
      <c r="C378" s="76" t="str">
        <f>IF('Pipe Insulation'!C398="", "", 'Pipe Insulation'!C398)</f>
        <v/>
      </c>
      <c r="D378" s="76" t="str">
        <f>IF('Pipe Insulation'!D398="", "", 'Pipe Insulation'!D398)</f>
        <v/>
      </c>
      <c r="E378" s="69" t="str">
        <f>IF('Pipe Insulation'!E398="", "", 'Pipe Insulation'!E398)</f>
        <v/>
      </c>
      <c r="F378" s="76" t="str">
        <f>IFERROR(VLOOKUP('Pipe Insulation'!G398,'Pipe Insulation'!$AM$142:$AN$149,2,FALSE),"")</f>
        <v/>
      </c>
      <c r="G378" s="86" t="str">
        <f>IF('Pipe Insulation'!W398="", "", 'Pipe Insulation'!W398)</f>
        <v/>
      </c>
      <c r="H378" s="76" t="str">
        <f>IFERROR(VLOOKUP('Pipe Insulation'!Y398,'Pipe Insulation'!$AM$152:$AN$153,2,FALSE),"")</f>
        <v/>
      </c>
      <c r="I378" s="68" t="str">
        <f>IF('Pipe Insulation'!Z398="", "", 'Pipe Insulation'!Z398)</f>
        <v/>
      </c>
      <c r="J378" s="480"/>
    </row>
    <row r="379" spans="2:10" s="1" customFormat="1" x14ac:dyDescent="0.25">
      <c r="B379" s="76">
        <f>'Pipe Insulation'!B399</f>
        <v>366</v>
      </c>
      <c r="C379" s="76" t="str">
        <f>IF('Pipe Insulation'!C399="", "", 'Pipe Insulation'!C399)</f>
        <v/>
      </c>
      <c r="D379" s="76" t="str">
        <f>IF('Pipe Insulation'!D399="", "", 'Pipe Insulation'!D399)</f>
        <v/>
      </c>
      <c r="E379" s="69" t="str">
        <f>IF('Pipe Insulation'!E399="", "", 'Pipe Insulation'!E399)</f>
        <v/>
      </c>
      <c r="F379" s="76" t="str">
        <f>IFERROR(VLOOKUP('Pipe Insulation'!G399,'Pipe Insulation'!$AM$142:$AN$149,2,FALSE),"")</f>
        <v/>
      </c>
      <c r="G379" s="86" t="str">
        <f>IF('Pipe Insulation'!W399="", "", 'Pipe Insulation'!W399)</f>
        <v/>
      </c>
      <c r="H379" s="76" t="str">
        <f>IFERROR(VLOOKUP('Pipe Insulation'!Y399,'Pipe Insulation'!$AM$152:$AN$153,2,FALSE),"")</f>
        <v/>
      </c>
      <c r="I379" s="68" t="str">
        <f>IF('Pipe Insulation'!Z399="", "", 'Pipe Insulation'!Z399)</f>
        <v/>
      </c>
      <c r="J379" s="480"/>
    </row>
    <row r="380" spans="2:10" s="1" customFormat="1" x14ac:dyDescent="0.25">
      <c r="B380" s="76">
        <f>'Pipe Insulation'!B400</f>
        <v>367</v>
      </c>
      <c r="C380" s="76" t="str">
        <f>IF('Pipe Insulation'!C400="", "", 'Pipe Insulation'!C400)</f>
        <v/>
      </c>
      <c r="D380" s="76" t="str">
        <f>IF('Pipe Insulation'!D400="", "", 'Pipe Insulation'!D400)</f>
        <v/>
      </c>
      <c r="E380" s="69" t="str">
        <f>IF('Pipe Insulation'!E400="", "", 'Pipe Insulation'!E400)</f>
        <v/>
      </c>
      <c r="F380" s="76" t="str">
        <f>IFERROR(VLOOKUP('Pipe Insulation'!G400,'Pipe Insulation'!$AM$142:$AN$149,2,FALSE),"")</f>
        <v/>
      </c>
      <c r="G380" s="86" t="str">
        <f>IF('Pipe Insulation'!W400="", "", 'Pipe Insulation'!W400)</f>
        <v/>
      </c>
      <c r="H380" s="76" t="str">
        <f>IFERROR(VLOOKUP('Pipe Insulation'!Y400,'Pipe Insulation'!$AM$152:$AN$153,2,FALSE),"")</f>
        <v/>
      </c>
      <c r="I380" s="68" t="str">
        <f>IF('Pipe Insulation'!Z400="", "", 'Pipe Insulation'!Z400)</f>
        <v/>
      </c>
      <c r="J380" s="480"/>
    </row>
    <row r="381" spans="2:10" s="1" customFormat="1" x14ac:dyDescent="0.25">
      <c r="B381" s="76">
        <f>'Pipe Insulation'!B401</f>
        <v>368</v>
      </c>
      <c r="C381" s="76" t="str">
        <f>IF('Pipe Insulation'!C401="", "", 'Pipe Insulation'!C401)</f>
        <v/>
      </c>
      <c r="D381" s="76" t="str">
        <f>IF('Pipe Insulation'!D401="", "", 'Pipe Insulation'!D401)</f>
        <v/>
      </c>
      <c r="E381" s="69" t="str">
        <f>IF('Pipe Insulation'!E401="", "", 'Pipe Insulation'!E401)</f>
        <v/>
      </c>
      <c r="F381" s="76" t="str">
        <f>IFERROR(VLOOKUP('Pipe Insulation'!G401,'Pipe Insulation'!$AM$142:$AN$149,2,FALSE),"")</f>
        <v/>
      </c>
      <c r="G381" s="86" t="str">
        <f>IF('Pipe Insulation'!W401="", "", 'Pipe Insulation'!W401)</f>
        <v/>
      </c>
      <c r="H381" s="76" t="str">
        <f>IFERROR(VLOOKUP('Pipe Insulation'!Y401,'Pipe Insulation'!$AM$152:$AN$153,2,FALSE),"")</f>
        <v/>
      </c>
      <c r="I381" s="68" t="str">
        <f>IF('Pipe Insulation'!Z401="", "", 'Pipe Insulation'!Z401)</f>
        <v/>
      </c>
      <c r="J381" s="480"/>
    </row>
    <row r="382" spans="2:10" s="1" customFormat="1" x14ac:dyDescent="0.25">
      <c r="B382" s="76">
        <f>'Pipe Insulation'!B402</f>
        <v>369</v>
      </c>
      <c r="C382" s="76" t="str">
        <f>IF('Pipe Insulation'!C402="", "", 'Pipe Insulation'!C402)</f>
        <v/>
      </c>
      <c r="D382" s="76" t="str">
        <f>IF('Pipe Insulation'!D402="", "", 'Pipe Insulation'!D402)</f>
        <v/>
      </c>
      <c r="E382" s="69" t="str">
        <f>IF('Pipe Insulation'!E402="", "", 'Pipe Insulation'!E402)</f>
        <v/>
      </c>
      <c r="F382" s="76" t="str">
        <f>IFERROR(VLOOKUP('Pipe Insulation'!G402,'Pipe Insulation'!$AM$142:$AN$149,2,FALSE),"")</f>
        <v/>
      </c>
      <c r="G382" s="86" t="str">
        <f>IF('Pipe Insulation'!W402="", "", 'Pipe Insulation'!W402)</f>
        <v/>
      </c>
      <c r="H382" s="76" t="str">
        <f>IFERROR(VLOOKUP('Pipe Insulation'!Y402,'Pipe Insulation'!$AM$152:$AN$153,2,FALSE),"")</f>
        <v/>
      </c>
      <c r="I382" s="68" t="str">
        <f>IF('Pipe Insulation'!Z402="", "", 'Pipe Insulation'!Z402)</f>
        <v/>
      </c>
      <c r="J382" s="480"/>
    </row>
    <row r="383" spans="2:10" s="1" customFormat="1" x14ac:dyDescent="0.25">
      <c r="B383" s="76">
        <f>'Pipe Insulation'!B403</f>
        <v>370</v>
      </c>
      <c r="C383" s="76" t="str">
        <f>IF('Pipe Insulation'!C403="", "", 'Pipe Insulation'!C403)</f>
        <v/>
      </c>
      <c r="D383" s="76" t="str">
        <f>IF('Pipe Insulation'!D403="", "", 'Pipe Insulation'!D403)</f>
        <v/>
      </c>
      <c r="E383" s="69" t="str">
        <f>IF('Pipe Insulation'!E403="", "", 'Pipe Insulation'!E403)</f>
        <v/>
      </c>
      <c r="F383" s="76" t="str">
        <f>IFERROR(VLOOKUP('Pipe Insulation'!G403,'Pipe Insulation'!$AM$142:$AN$149,2,FALSE),"")</f>
        <v/>
      </c>
      <c r="G383" s="86" t="str">
        <f>IF('Pipe Insulation'!W403="", "", 'Pipe Insulation'!W403)</f>
        <v/>
      </c>
      <c r="H383" s="76" t="str">
        <f>IFERROR(VLOOKUP('Pipe Insulation'!Y403,'Pipe Insulation'!$AM$152:$AN$153,2,FALSE),"")</f>
        <v/>
      </c>
      <c r="I383" s="68" t="str">
        <f>IF('Pipe Insulation'!Z403="", "", 'Pipe Insulation'!Z403)</f>
        <v/>
      </c>
      <c r="J383" s="480"/>
    </row>
    <row r="384" spans="2:10" s="1" customFormat="1" x14ac:dyDescent="0.25">
      <c r="B384" s="76">
        <f>'Pipe Insulation'!B404</f>
        <v>371</v>
      </c>
      <c r="C384" s="76" t="str">
        <f>IF('Pipe Insulation'!C404="", "", 'Pipe Insulation'!C404)</f>
        <v/>
      </c>
      <c r="D384" s="76" t="str">
        <f>IF('Pipe Insulation'!D404="", "", 'Pipe Insulation'!D404)</f>
        <v/>
      </c>
      <c r="E384" s="69" t="str">
        <f>IF('Pipe Insulation'!E404="", "", 'Pipe Insulation'!E404)</f>
        <v/>
      </c>
      <c r="F384" s="76" t="str">
        <f>IFERROR(VLOOKUP('Pipe Insulation'!G404,'Pipe Insulation'!$AM$142:$AN$149,2,FALSE),"")</f>
        <v/>
      </c>
      <c r="G384" s="86" t="str">
        <f>IF('Pipe Insulation'!W404="", "", 'Pipe Insulation'!W404)</f>
        <v/>
      </c>
      <c r="H384" s="76" t="str">
        <f>IFERROR(VLOOKUP('Pipe Insulation'!Y404,'Pipe Insulation'!$AM$152:$AN$153,2,FALSE),"")</f>
        <v/>
      </c>
      <c r="I384" s="68" t="str">
        <f>IF('Pipe Insulation'!Z404="", "", 'Pipe Insulation'!Z404)</f>
        <v/>
      </c>
      <c r="J384" s="480"/>
    </row>
    <row r="385" spans="2:10" s="1" customFormat="1" x14ac:dyDescent="0.25">
      <c r="B385" s="76">
        <f>'Pipe Insulation'!B405</f>
        <v>372</v>
      </c>
      <c r="C385" s="76" t="str">
        <f>IF('Pipe Insulation'!C405="", "", 'Pipe Insulation'!C405)</f>
        <v/>
      </c>
      <c r="D385" s="76" t="str">
        <f>IF('Pipe Insulation'!D405="", "", 'Pipe Insulation'!D405)</f>
        <v/>
      </c>
      <c r="E385" s="69" t="str">
        <f>IF('Pipe Insulation'!E405="", "", 'Pipe Insulation'!E405)</f>
        <v/>
      </c>
      <c r="F385" s="76" t="str">
        <f>IFERROR(VLOOKUP('Pipe Insulation'!G405,'Pipe Insulation'!$AM$142:$AN$149,2,FALSE),"")</f>
        <v/>
      </c>
      <c r="G385" s="86" t="str">
        <f>IF('Pipe Insulation'!W405="", "", 'Pipe Insulation'!W405)</f>
        <v/>
      </c>
      <c r="H385" s="76" t="str">
        <f>IFERROR(VLOOKUP('Pipe Insulation'!Y405,'Pipe Insulation'!$AM$152:$AN$153,2,FALSE),"")</f>
        <v/>
      </c>
      <c r="I385" s="68" t="str">
        <f>IF('Pipe Insulation'!Z405="", "", 'Pipe Insulation'!Z405)</f>
        <v/>
      </c>
      <c r="J385" s="480"/>
    </row>
    <row r="386" spans="2:10" s="1" customFormat="1" x14ac:dyDescent="0.25">
      <c r="B386" s="76">
        <f>'Pipe Insulation'!B406</f>
        <v>373</v>
      </c>
      <c r="C386" s="76" t="str">
        <f>IF('Pipe Insulation'!C406="", "", 'Pipe Insulation'!C406)</f>
        <v/>
      </c>
      <c r="D386" s="76" t="str">
        <f>IF('Pipe Insulation'!D406="", "", 'Pipe Insulation'!D406)</f>
        <v/>
      </c>
      <c r="E386" s="69" t="str">
        <f>IF('Pipe Insulation'!E406="", "", 'Pipe Insulation'!E406)</f>
        <v/>
      </c>
      <c r="F386" s="76" t="str">
        <f>IFERROR(VLOOKUP('Pipe Insulation'!G406,'Pipe Insulation'!$AM$142:$AN$149,2,FALSE),"")</f>
        <v/>
      </c>
      <c r="G386" s="86" t="str">
        <f>IF('Pipe Insulation'!W406="", "", 'Pipe Insulation'!W406)</f>
        <v/>
      </c>
      <c r="H386" s="76" t="str">
        <f>IFERROR(VLOOKUP('Pipe Insulation'!Y406,'Pipe Insulation'!$AM$152:$AN$153,2,FALSE),"")</f>
        <v/>
      </c>
      <c r="I386" s="68" t="str">
        <f>IF('Pipe Insulation'!Z406="", "", 'Pipe Insulation'!Z406)</f>
        <v/>
      </c>
      <c r="J386" s="480"/>
    </row>
    <row r="387" spans="2:10" s="1" customFormat="1" x14ac:dyDescent="0.25">
      <c r="B387" s="76">
        <f>'Pipe Insulation'!B407</f>
        <v>374</v>
      </c>
      <c r="C387" s="76" t="str">
        <f>IF('Pipe Insulation'!C407="", "", 'Pipe Insulation'!C407)</f>
        <v/>
      </c>
      <c r="D387" s="76" t="str">
        <f>IF('Pipe Insulation'!D407="", "", 'Pipe Insulation'!D407)</f>
        <v/>
      </c>
      <c r="E387" s="69" t="str">
        <f>IF('Pipe Insulation'!E407="", "", 'Pipe Insulation'!E407)</f>
        <v/>
      </c>
      <c r="F387" s="76" t="str">
        <f>IFERROR(VLOOKUP('Pipe Insulation'!G407,'Pipe Insulation'!$AM$142:$AN$149,2,FALSE),"")</f>
        <v/>
      </c>
      <c r="G387" s="86" t="str">
        <f>IF('Pipe Insulation'!W407="", "", 'Pipe Insulation'!W407)</f>
        <v/>
      </c>
      <c r="H387" s="76" t="str">
        <f>IFERROR(VLOOKUP('Pipe Insulation'!Y407,'Pipe Insulation'!$AM$152:$AN$153,2,FALSE),"")</f>
        <v/>
      </c>
      <c r="I387" s="68" t="str">
        <f>IF('Pipe Insulation'!Z407="", "", 'Pipe Insulation'!Z407)</f>
        <v/>
      </c>
      <c r="J387" s="480"/>
    </row>
    <row r="388" spans="2:10" s="1" customFormat="1" x14ac:dyDescent="0.25">
      <c r="B388" s="76">
        <f>'Pipe Insulation'!B408</f>
        <v>375</v>
      </c>
      <c r="C388" s="76" t="str">
        <f>IF('Pipe Insulation'!C408="", "", 'Pipe Insulation'!C408)</f>
        <v/>
      </c>
      <c r="D388" s="76" t="str">
        <f>IF('Pipe Insulation'!D408="", "", 'Pipe Insulation'!D408)</f>
        <v/>
      </c>
      <c r="E388" s="69" t="str">
        <f>IF('Pipe Insulation'!E408="", "", 'Pipe Insulation'!E408)</f>
        <v/>
      </c>
      <c r="F388" s="76" t="str">
        <f>IFERROR(VLOOKUP('Pipe Insulation'!G408,'Pipe Insulation'!$AM$142:$AN$149,2,FALSE),"")</f>
        <v/>
      </c>
      <c r="G388" s="86" t="str">
        <f>IF('Pipe Insulation'!W408="", "", 'Pipe Insulation'!W408)</f>
        <v/>
      </c>
      <c r="H388" s="76" t="str">
        <f>IFERROR(VLOOKUP('Pipe Insulation'!Y408,'Pipe Insulation'!$AM$152:$AN$153,2,FALSE),"")</f>
        <v/>
      </c>
      <c r="I388" s="68" t="str">
        <f>IF('Pipe Insulation'!Z408="", "", 'Pipe Insulation'!Z408)</f>
        <v/>
      </c>
      <c r="J388" s="480"/>
    </row>
    <row r="389" spans="2:10" s="64" customFormat="1" ht="45" x14ac:dyDescent="0.25">
      <c r="B389" s="206" t="s">
        <v>133</v>
      </c>
      <c r="C389" s="206" t="s">
        <v>134</v>
      </c>
      <c r="D389" s="206" t="s">
        <v>135</v>
      </c>
      <c r="E389" s="206" t="s">
        <v>136</v>
      </c>
      <c r="F389" s="206" t="s">
        <v>138</v>
      </c>
      <c r="G389" s="206" t="s">
        <v>675</v>
      </c>
      <c r="H389" s="206" t="s">
        <v>676</v>
      </c>
      <c r="I389" s="206" t="s">
        <v>677</v>
      </c>
      <c r="J389" s="785" t="s">
        <v>678</v>
      </c>
    </row>
    <row r="390" spans="2:10" s="1" customFormat="1" x14ac:dyDescent="0.25">
      <c r="B390" s="76">
        <f>'Pipe Insulation'!B409</f>
        <v>376</v>
      </c>
      <c r="C390" s="76" t="str">
        <f>IF('Pipe Insulation'!C409="", "", 'Pipe Insulation'!C409)</f>
        <v/>
      </c>
      <c r="D390" s="76" t="str">
        <f>IF('Pipe Insulation'!D409="", "", 'Pipe Insulation'!D409)</f>
        <v/>
      </c>
      <c r="E390" s="69" t="str">
        <f>IF('Pipe Insulation'!E409="", "", 'Pipe Insulation'!E409)</f>
        <v/>
      </c>
      <c r="F390" s="76" t="str">
        <f>IFERROR(VLOOKUP('Pipe Insulation'!G409,'Pipe Insulation'!$AM$142:$AN$149,2,FALSE),"")</f>
        <v/>
      </c>
      <c r="G390" s="86" t="str">
        <f>IF('Pipe Insulation'!W409="", "", 'Pipe Insulation'!W409)</f>
        <v/>
      </c>
      <c r="H390" s="76" t="str">
        <f>IFERROR(VLOOKUP('Pipe Insulation'!Y409,'Pipe Insulation'!$AM$152:$AN$153,2,FALSE),"")</f>
        <v/>
      </c>
      <c r="I390" s="68" t="str">
        <f>IF('Pipe Insulation'!Z409="", "", 'Pipe Insulation'!Z409)</f>
        <v/>
      </c>
      <c r="J390" s="480"/>
    </row>
    <row r="391" spans="2:10" s="1" customFormat="1" x14ac:dyDescent="0.25">
      <c r="B391" s="76">
        <f>'Pipe Insulation'!B410</f>
        <v>377</v>
      </c>
      <c r="C391" s="76" t="str">
        <f>IF('Pipe Insulation'!C410="", "", 'Pipe Insulation'!C410)</f>
        <v/>
      </c>
      <c r="D391" s="76" t="str">
        <f>IF('Pipe Insulation'!D410="", "", 'Pipe Insulation'!D410)</f>
        <v/>
      </c>
      <c r="E391" s="69" t="str">
        <f>IF('Pipe Insulation'!E410="", "", 'Pipe Insulation'!E410)</f>
        <v/>
      </c>
      <c r="F391" s="76" t="str">
        <f>IFERROR(VLOOKUP('Pipe Insulation'!G410,'Pipe Insulation'!$AM$142:$AN$149,2,FALSE),"")</f>
        <v/>
      </c>
      <c r="G391" s="86" t="str">
        <f>IF('Pipe Insulation'!W410="", "", 'Pipe Insulation'!W410)</f>
        <v/>
      </c>
      <c r="H391" s="76" t="str">
        <f>IFERROR(VLOOKUP('Pipe Insulation'!Y410,'Pipe Insulation'!$AM$152:$AN$153,2,FALSE),"")</f>
        <v/>
      </c>
      <c r="I391" s="68" t="str">
        <f>IF('Pipe Insulation'!Z410="", "", 'Pipe Insulation'!Z410)</f>
        <v/>
      </c>
      <c r="J391" s="480"/>
    </row>
    <row r="392" spans="2:10" s="1" customFormat="1" x14ac:dyDescent="0.25">
      <c r="B392" s="76">
        <f>'Pipe Insulation'!B411</f>
        <v>378</v>
      </c>
      <c r="C392" s="76" t="str">
        <f>IF('Pipe Insulation'!C411="", "", 'Pipe Insulation'!C411)</f>
        <v/>
      </c>
      <c r="D392" s="76" t="str">
        <f>IF('Pipe Insulation'!D411="", "", 'Pipe Insulation'!D411)</f>
        <v/>
      </c>
      <c r="E392" s="69" t="str">
        <f>IF('Pipe Insulation'!E411="", "", 'Pipe Insulation'!E411)</f>
        <v/>
      </c>
      <c r="F392" s="76" t="str">
        <f>IFERROR(VLOOKUP('Pipe Insulation'!G411,'Pipe Insulation'!$AM$142:$AN$149,2,FALSE),"")</f>
        <v/>
      </c>
      <c r="G392" s="86" t="str">
        <f>IF('Pipe Insulation'!W411="", "", 'Pipe Insulation'!W411)</f>
        <v/>
      </c>
      <c r="H392" s="76" t="str">
        <f>IFERROR(VLOOKUP('Pipe Insulation'!Y411,'Pipe Insulation'!$AM$152:$AN$153,2,FALSE),"")</f>
        <v/>
      </c>
      <c r="I392" s="68" t="str">
        <f>IF('Pipe Insulation'!Z411="", "", 'Pipe Insulation'!Z411)</f>
        <v/>
      </c>
      <c r="J392" s="480"/>
    </row>
    <row r="393" spans="2:10" s="1" customFormat="1" x14ac:dyDescent="0.25">
      <c r="B393" s="76">
        <f>'Pipe Insulation'!B412</f>
        <v>379</v>
      </c>
      <c r="C393" s="76" t="str">
        <f>IF('Pipe Insulation'!C412="", "", 'Pipe Insulation'!C412)</f>
        <v/>
      </c>
      <c r="D393" s="76" t="str">
        <f>IF('Pipe Insulation'!D412="", "", 'Pipe Insulation'!D412)</f>
        <v/>
      </c>
      <c r="E393" s="69" t="str">
        <f>IF('Pipe Insulation'!E412="", "", 'Pipe Insulation'!E412)</f>
        <v/>
      </c>
      <c r="F393" s="76" t="str">
        <f>IFERROR(VLOOKUP('Pipe Insulation'!G412,'Pipe Insulation'!$AM$142:$AN$149,2,FALSE),"")</f>
        <v/>
      </c>
      <c r="G393" s="86" t="str">
        <f>IF('Pipe Insulation'!W412="", "", 'Pipe Insulation'!W412)</f>
        <v/>
      </c>
      <c r="H393" s="76" t="str">
        <f>IFERROR(VLOOKUP('Pipe Insulation'!Y412,'Pipe Insulation'!$AM$152:$AN$153,2,FALSE),"")</f>
        <v/>
      </c>
      <c r="I393" s="68" t="str">
        <f>IF('Pipe Insulation'!Z412="", "", 'Pipe Insulation'!Z412)</f>
        <v/>
      </c>
      <c r="J393" s="480"/>
    </row>
    <row r="394" spans="2:10" s="1" customFormat="1" x14ac:dyDescent="0.25">
      <c r="B394" s="76">
        <f>'Pipe Insulation'!B413</f>
        <v>380</v>
      </c>
      <c r="C394" s="76" t="str">
        <f>IF('Pipe Insulation'!C413="", "", 'Pipe Insulation'!C413)</f>
        <v/>
      </c>
      <c r="D394" s="76" t="str">
        <f>IF('Pipe Insulation'!D413="", "", 'Pipe Insulation'!D413)</f>
        <v/>
      </c>
      <c r="E394" s="69" t="str">
        <f>IF('Pipe Insulation'!E413="", "", 'Pipe Insulation'!E413)</f>
        <v/>
      </c>
      <c r="F394" s="76" t="str">
        <f>IFERROR(VLOOKUP('Pipe Insulation'!G413,'Pipe Insulation'!$AM$142:$AN$149,2,FALSE),"")</f>
        <v/>
      </c>
      <c r="G394" s="86" t="str">
        <f>IF('Pipe Insulation'!W413="", "", 'Pipe Insulation'!W413)</f>
        <v/>
      </c>
      <c r="H394" s="76" t="str">
        <f>IFERROR(VLOOKUP('Pipe Insulation'!Y413,'Pipe Insulation'!$AM$152:$AN$153,2,FALSE),"")</f>
        <v/>
      </c>
      <c r="I394" s="68" t="str">
        <f>IF('Pipe Insulation'!Z413="", "", 'Pipe Insulation'!Z413)</f>
        <v/>
      </c>
      <c r="J394" s="480"/>
    </row>
    <row r="395" spans="2:10" s="1" customFormat="1" x14ac:dyDescent="0.25">
      <c r="B395" s="76">
        <f>'Pipe Insulation'!B414</f>
        <v>381</v>
      </c>
      <c r="C395" s="76" t="str">
        <f>IF('Pipe Insulation'!C414="", "", 'Pipe Insulation'!C414)</f>
        <v/>
      </c>
      <c r="D395" s="76" t="str">
        <f>IF('Pipe Insulation'!D414="", "", 'Pipe Insulation'!D414)</f>
        <v/>
      </c>
      <c r="E395" s="69" t="str">
        <f>IF('Pipe Insulation'!E414="", "", 'Pipe Insulation'!E414)</f>
        <v/>
      </c>
      <c r="F395" s="76" t="str">
        <f>IFERROR(VLOOKUP('Pipe Insulation'!G414,'Pipe Insulation'!$AM$142:$AN$149,2,FALSE),"")</f>
        <v/>
      </c>
      <c r="G395" s="86" t="str">
        <f>IF('Pipe Insulation'!W414="", "", 'Pipe Insulation'!W414)</f>
        <v/>
      </c>
      <c r="H395" s="76" t="str">
        <f>IFERROR(VLOOKUP('Pipe Insulation'!Y414,'Pipe Insulation'!$AM$152:$AN$153,2,FALSE),"")</f>
        <v/>
      </c>
      <c r="I395" s="68" t="str">
        <f>IF('Pipe Insulation'!Z414="", "", 'Pipe Insulation'!Z414)</f>
        <v/>
      </c>
      <c r="J395" s="480"/>
    </row>
    <row r="396" spans="2:10" s="1" customFormat="1" x14ac:dyDescent="0.25">
      <c r="B396" s="76">
        <f>'Pipe Insulation'!B415</f>
        <v>382</v>
      </c>
      <c r="C396" s="76" t="str">
        <f>IF('Pipe Insulation'!C415="", "", 'Pipe Insulation'!C415)</f>
        <v/>
      </c>
      <c r="D396" s="76" t="str">
        <f>IF('Pipe Insulation'!D415="", "", 'Pipe Insulation'!D415)</f>
        <v/>
      </c>
      <c r="E396" s="69" t="str">
        <f>IF('Pipe Insulation'!E415="", "", 'Pipe Insulation'!E415)</f>
        <v/>
      </c>
      <c r="F396" s="76" t="str">
        <f>IFERROR(VLOOKUP('Pipe Insulation'!G415,'Pipe Insulation'!$AM$142:$AN$149,2,FALSE),"")</f>
        <v/>
      </c>
      <c r="G396" s="86" t="str">
        <f>IF('Pipe Insulation'!W415="", "", 'Pipe Insulation'!W415)</f>
        <v/>
      </c>
      <c r="H396" s="76" t="str">
        <f>IFERROR(VLOOKUP('Pipe Insulation'!Y415,'Pipe Insulation'!$AM$152:$AN$153,2,FALSE),"")</f>
        <v/>
      </c>
      <c r="I396" s="68" t="str">
        <f>IF('Pipe Insulation'!Z415="", "", 'Pipe Insulation'!Z415)</f>
        <v/>
      </c>
      <c r="J396" s="480"/>
    </row>
    <row r="397" spans="2:10" s="1" customFormat="1" x14ac:dyDescent="0.25">
      <c r="B397" s="76">
        <f>'Pipe Insulation'!B416</f>
        <v>383</v>
      </c>
      <c r="C397" s="76" t="str">
        <f>IF('Pipe Insulation'!C416="", "", 'Pipe Insulation'!C416)</f>
        <v/>
      </c>
      <c r="D397" s="76" t="str">
        <f>IF('Pipe Insulation'!D416="", "", 'Pipe Insulation'!D416)</f>
        <v/>
      </c>
      <c r="E397" s="69" t="str">
        <f>IF('Pipe Insulation'!E416="", "", 'Pipe Insulation'!E416)</f>
        <v/>
      </c>
      <c r="F397" s="76" t="str">
        <f>IFERROR(VLOOKUP('Pipe Insulation'!G416,'Pipe Insulation'!$AM$142:$AN$149,2,FALSE),"")</f>
        <v/>
      </c>
      <c r="G397" s="86" t="str">
        <f>IF('Pipe Insulation'!W416="", "", 'Pipe Insulation'!W416)</f>
        <v/>
      </c>
      <c r="H397" s="76" t="str">
        <f>IFERROR(VLOOKUP('Pipe Insulation'!Y416,'Pipe Insulation'!$AM$152:$AN$153,2,FALSE),"")</f>
        <v/>
      </c>
      <c r="I397" s="68" t="str">
        <f>IF('Pipe Insulation'!Z416="", "", 'Pipe Insulation'!Z416)</f>
        <v/>
      </c>
      <c r="J397" s="480"/>
    </row>
    <row r="398" spans="2:10" s="1" customFormat="1" x14ac:dyDescent="0.25">
      <c r="B398" s="76">
        <f>'Pipe Insulation'!B417</f>
        <v>384</v>
      </c>
      <c r="C398" s="76" t="str">
        <f>IF('Pipe Insulation'!C417="", "", 'Pipe Insulation'!C417)</f>
        <v/>
      </c>
      <c r="D398" s="76" t="str">
        <f>IF('Pipe Insulation'!D417="", "", 'Pipe Insulation'!D417)</f>
        <v/>
      </c>
      <c r="E398" s="69" t="str">
        <f>IF('Pipe Insulation'!E417="", "", 'Pipe Insulation'!E417)</f>
        <v/>
      </c>
      <c r="F398" s="76" t="str">
        <f>IFERROR(VLOOKUP('Pipe Insulation'!G417,'Pipe Insulation'!$AM$142:$AN$149,2,FALSE),"")</f>
        <v/>
      </c>
      <c r="G398" s="86" t="str">
        <f>IF('Pipe Insulation'!W417="", "", 'Pipe Insulation'!W417)</f>
        <v/>
      </c>
      <c r="H398" s="76" t="str">
        <f>IFERROR(VLOOKUP('Pipe Insulation'!Y417,'Pipe Insulation'!$AM$152:$AN$153,2,FALSE),"")</f>
        <v/>
      </c>
      <c r="I398" s="68" t="str">
        <f>IF('Pipe Insulation'!Z417="", "", 'Pipe Insulation'!Z417)</f>
        <v/>
      </c>
      <c r="J398" s="480"/>
    </row>
    <row r="399" spans="2:10" s="1" customFormat="1" x14ac:dyDescent="0.25">
      <c r="B399" s="76">
        <f>'Pipe Insulation'!B418</f>
        <v>385</v>
      </c>
      <c r="C399" s="76" t="str">
        <f>IF('Pipe Insulation'!C418="", "", 'Pipe Insulation'!C418)</f>
        <v/>
      </c>
      <c r="D399" s="76" t="str">
        <f>IF('Pipe Insulation'!D418="", "", 'Pipe Insulation'!D418)</f>
        <v/>
      </c>
      <c r="E399" s="69" t="str">
        <f>IF('Pipe Insulation'!E418="", "", 'Pipe Insulation'!E418)</f>
        <v/>
      </c>
      <c r="F399" s="76" t="str">
        <f>IFERROR(VLOOKUP('Pipe Insulation'!G418,'Pipe Insulation'!$AM$142:$AN$149,2,FALSE),"")</f>
        <v/>
      </c>
      <c r="G399" s="86" t="str">
        <f>IF('Pipe Insulation'!W418="", "", 'Pipe Insulation'!W418)</f>
        <v/>
      </c>
      <c r="H399" s="76" t="str">
        <f>IFERROR(VLOOKUP('Pipe Insulation'!Y418,'Pipe Insulation'!$AM$152:$AN$153,2,FALSE),"")</f>
        <v/>
      </c>
      <c r="I399" s="68" t="str">
        <f>IF('Pipe Insulation'!Z418="", "", 'Pipe Insulation'!Z418)</f>
        <v/>
      </c>
      <c r="J399" s="480"/>
    </row>
    <row r="400" spans="2:10" s="1" customFormat="1" x14ac:dyDescent="0.25">
      <c r="B400" s="76">
        <f>'Pipe Insulation'!B419</f>
        <v>386</v>
      </c>
      <c r="C400" s="76" t="str">
        <f>IF('Pipe Insulation'!C419="", "", 'Pipe Insulation'!C419)</f>
        <v/>
      </c>
      <c r="D400" s="76" t="str">
        <f>IF('Pipe Insulation'!D419="", "", 'Pipe Insulation'!D419)</f>
        <v/>
      </c>
      <c r="E400" s="69" t="str">
        <f>IF('Pipe Insulation'!E419="", "", 'Pipe Insulation'!E419)</f>
        <v/>
      </c>
      <c r="F400" s="76" t="str">
        <f>IFERROR(VLOOKUP('Pipe Insulation'!G419,'Pipe Insulation'!$AM$142:$AN$149,2,FALSE),"")</f>
        <v/>
      </c>
      <c r="G400" s="86" t="str">
        <f>IF('Pipe Insulation'!W419="", "", 'Pipe Insulation'!W419)</f>
        <v/>
      </c>
      <c r="H400" s="76" t="str">
        <f>IFERROR(VLOOKUP('Pipe Insulation'!Y419,'Pipe Insulation'!$AM$152:$AN$153,2,FALSE),"")</f>
        <v/>
      </c>
      <c r="I400" s="68" t="str">
        <f>IF('Pipe Insulation'!Z419="", "", 'Pipe Insulation'!Z419)</f>
        <v/>
      </c>
      <c r="J400" s="480"/>
    </row>
    <row r="401" spans="2:10" s="1" customFormat="1" x14ac:dyDescent="0.25">
      <c r="B401" s="76">
        <f>'Pipe Insulation'!B420</f>
        <v>387</v>
      </c>
      <c r="C401" s="76" t="str">
        <f>IF('Pipe Insulation'!C420="", "", 'Pipe Insulation'!C420)</f>
        <v/>
      </c>
      <c r="D401" s="76" t="str">
        <f>IF('Pipe Insulation'!D420="", "", 'Pipe Insulation'!D420)</f>
        <v/>
      </c>
      <c r="E401" s="69" t="str">
        <f>IF('Pipe Insulation'!E420="", "", 'Pipe Insulation'!E420)</f>
        <v/>
      </c>
      <c r="F401" s="76" t="str">
        <f>IFERROR(VLOOKUP('Pipe Insulation'!G420,'Pipe Insulation'!$AM$142:$AN$149,2,FALSE),"")</f>
        <v/>
      </c>
      <c r="G401" s="86" t="str">
        <f>IF('Pipe Insulation'!W420="", "", 'Pipe Insulation'!W420)</f>
        <v/>
      </c>
      <c r="H401" s="76" t="str">
        <f>IFERROR(VLOOKUP('Pipe Insulation'!Y420,'Pipe Insulation'!$AM$152:$AN$153,2,FALSE),"")</f>
        <v/>
      </c>
      <c r="I401" s="68" t="str">
        <f>IF('Pipe Insulation'!Z420="", "", 'Pipe Insulation'!Z420)</f>
        <v/>
      </c>
      <c r="J401" s="480"/>
    </row>
    <row r="402" spans="2:10" s="1" customFormat="1" x14ac:dyDescent="0.25">
      <c r="B402" s="76">
        <f>'Pipe Insulation'!B421</f>
        <v>388</v>
      </c>
      <c r="C402" s="76" t="str">
        <f>IF('Pipe Insulation'!C421="", "", 'Pipe Insulation'!C421)</f>
        <v/>
      </c>
      <c r="D402" s="76" t="str">
        <f>IF('Pipe Insulation'!D421="", "", 'Pipe Insulation'!D421)</f>
        <v/>
      </c>
      <c r="E402" s="69" t="str">
        <f>IF('Pipe Insulation'!E421="", "", 'Pipe Insulation'!E421)</f>
        <v/>
      </c>
      <c r="F402" s="76" t="str">
        <f>IFERROR(VLOOKUP('Pipe Insulation'!G421,'Pipe Insulation'!$AM$142:$AN$149,2,FALSE),"")</f>
        <v/>
      </c>
      <c r="G402" s="86" t="str">
        <f>IF('Pipe Insulation'!W421="", "", 'Pipe Insulation'!W421)</f>
        <v/>
      </c>
      <c r="H402" s="76" t="str">
        <f>IFERROR(VLOOKUP('Pipe Insulation'!Y421,'Pipe Insulation'!$AM$152:$AN$153,2,FALSE),"")</f>
        <v/>
      </c>
      <c r="I402" s="68" t="str">
        <f>IF('Pipe Insulation'!Z421="", "", 'Pipe Insulation'!Z421)</f>
        <v/>
      </c>
      <c r="J402" s="480"/>
    </row>
    <row r="403" spans="2:10" s="1" customFormat="1" x14ac:dyDescent="0.25">
      <c r="B403" s="76">
        <f>'Pipe Insulation'!B422</f>
        <v>389</v>
      </c>
      <c r="C403" s="76" t="str">
        <f>IF('Pipe Insulation'!C422="", "", 'Pipe Insulation'!C422)</f>
        <v/>
      </c>
      <c r="D403" s="76" t="str">
        <f>IF('Pipe Insulation'!D422="", "", 'Pipe Insulation'!D422)</f>
        <v/>
      </c>
      <c r="E403" s="69" t="str">
        <f>IF('Pipe Insulation'!E422="", "", 'Pipe Insulation'!E422)</f>
        <v/>
      </c>
      <c r="F403" s="76" t="str">
        <f>IFERROR(VLOOKUP('Pipe Insulation'!G422,'Pipe Insulation'!$AM$142:$AN$149,2,FALSE),"")</f>
        <v/>
      </c>
      <c r="G403" s="86" t="str">
        <f>IF('Pipe Insulation'!W422="", "", 'Pipe Insulation'!W422)</f>
        <v/>
      </c>
      <c r="H403" s="76" t="str">
        <f>IFERROR(VLOOKUP('Pipe Insulation'!Y422,'Pipe Insulation'!$AM$152:$AN$153,2,FALSE),"")</f>
        <v/>
      </c>
      <c r="I403" s="68" t="str">
        <f>IF('Pipe Insulation'!Z422="", "", 'Pipe Insulation'!Z422)</f>
        <v/>
      </c>
      <c r="J403" s="480"/>
    </row>
    <row r="404" spans="2:10" s="1" customFormat="1" x14ac:dyDescent="0.25">
      <c r="B404" s="76">
        <f>'Pipe Insulation'!B423</f>
        <v>390</v>
      </c>
      <c r="C404" s="76" t="str">
        <f>IF('Pipe Insulation'!C423="", "", 'Pipe Insulation'!C423)</f>
        <v/>
      </c>
      <c r="D404" s="76" t="str">
        <f>IF('Pipe Insulation'!D423="", "", 'Pipe Insulation'!D423)</f>
        <v/>
      </c>
      <c r="E404" s="69" t="str">
        <f>IF('Pipe Insulation'!E423="", "", 'Pipe Insulation'!E423)</f>
        <v/>
      </c>
      <c r="F404" s="76" t="str">
        <f>IFERROR(VLOOKUP('Pipe Insulation'!G423,'Pipe Insulation'!$AM$142:$AN$149,2,FALSE),"")</f>
        <v/>
      </c>
      <c r="G404" s="86" t="str">
        <f>IF('Pipe Insulation'!W423="", "", 'Pipe Insulation'!W423)</f>
        <v/>
      </c>
      <c r="H404" s="76" t="str">
        <f>IFERROR(VLOOKUP('Pipe Insulation'!Y423,'Pipe Insulation'!$AM$152:$AN$153,2,FALSE),"")</f>
        <v/>
      </c>
      <c r="I404" s="68" t="str">
        <f>IF('Pipe Insulation'!Z423="", "", 'Pipe Insulation'!Z423)</f>
        <v/>
      </c>
      <c r="J404" s="480"/>
    </row>
    <row r="405" spans="2:10" s="1" customFormat="1" x14ac:dyDescent="0.25">
      <c r="B405" s="76">
        <f>'Pipe Insulation'!B424</f>
        <v>391</v>
      </c>
      <c r="C405" s="76" t="str">
        <f>IF('Pipe Insulation'!C424="", "", 'Pipe Insulation'!C424)</f>
        <v/>
      </c>
      <c r="D405" s="76" t="str">
        <f>IF('Pipe Insulation'!D424="", "", 'Pipe Insulation'!D424)</f>
        <v/>
      </c>
      <c r="E405" s="69" t="str">
        <f>IF('Pipe Insulation'!E424="", "", 'Pipe Insulation'!E424)</f>
        <v/>
      </c>
      <c r="F405" s="76" t="str">
        <f>IFERROR(VLOOKUP('Pipe Insulation'!G424,'Pipe Insulation'!$AM$142:$AN$149,2,FALSE),"")</f>
        <v/>
      </c>
      <c r="G405" s="86" t="str">
        <f>IF('Pipe Insulation'!W424="", "", 'Pipe Insulation'!W424)</f>
        <v/>
      </c>
      <c r="H405" s="76" t="str">
        <f>IFERROR(VLOOKUP('Pipe Insulation'!Y424,'Pipe Insulation'!$AM$152:$AN$153,2,FALSE),"")</f>
        <v/>
      </c>
      <c r="I405" s="68" t="str">
        <f>IF('Pipe Insulation'!Z424="", "", 'Pipe Insulation'!Z424)</f>
        <v/>
      </c>
      <c r="J405" s="480"/>
    </row>
    <row r="406" spans="2:10" s="1" customFormat="1" x14ac:dyDescent="0.25">
      <c r="B406" s="76">
        <f>'Pipe Insulation'!B425</f>
        <v>392</v>
      </c>
      <c r="C406" s="76" t="str">
        <f>IF('Pipe Insulation'!C425="", "", 'Pipe Insulation'!C425)</f>
        <v/>
      </c>
      <c r="D406" s="76" t="str">
        <f>IF('Pipe Insulation'!D425="", "", 'Pipe Insulation'!D425)</f>
        <v/>
      </c>
      <c r="E406" s="69" t="str">
        <f>IF('Pipe Insulation'!E425="", "", 'Pipe Insulation'!E425)</f>
        <v/>
      </c>
      <c r="F406" s="76" t="str">
        <f>IFERROR(VLOOKUP('Pipe Insulation'!G425,'Pipe Insulation'!$AM$142:$AN$149,2,FALSE),"")</f>
        <v/>
      </c>
      <c r="G406" s="86" t="str">
        <f>IF('Pipe Insulation'!W425="", "", 'Pipe Insulation'!W425)</f>
        <v/>
      </c>
      <c r="H406" s="76" t="str">
        <f>IFERROR(VLOOKUP('Pipe Insulation'!Y425,'Pipe Insulation'!$AM$152:$AN$153,2,FALSE),"")</f>
        <v/>
      </c>
      <c r="I406" s="68" t="str">
        <f>IF('Pipe Insulation'!Z425="", "", 'Pipe Insulation'!Z425)</f>
        <v/>
      </c>
      <c r="J406" s="480"/>
    </row>
    <row r="407" spans="2:10" s="1" customFormat="1" x14ac:dyDescent="0.25">
      <c r="B407" s="76">
        <f>'Pipe Insulation'!B426</f>
        <v>393</v>
      </c>
      <c r="C407" s="76" t="str">
        <f>IF('Pipe Insulation'!C426="", "", 'Pipe Insulation'!C426)</f>
        <v/>
      </c>
      <c r="D407" s="76" t="str">
        <f>IF('Pipe Insulation'!D426="", "", 'Pipe Insulation'!D426)</f>
        <v/>
      </c>
      <c r="E407" s="69" t="str">
        <f>IF('Pipe Insulation'!E426="", "", 'Pipe Insulation'!E426)</f>
        <v/>
      </c>
      <c r="F407" s="76" t="str">
        <f>IFERROR(VLOOKUP('Pipe Insulation'!G426,'Pipe Insulation'!$AM$142:$AN$149,2,FALSE),"")</f>
        <v/>
      </c>
      <c r="G407" s="86" t="str">
        <f>IF('Pipe Insulation'!W426="", "", 'Pipe Insulation'!W426)</f>
        <v/>
      </c>
      <c r="H407" s="76" t="str">
        <f>IFERROR(VLOOKUP('Pipe Insulation'!Y426,'Pipe Insulation'!$AM$152:$AN$153,2,FALSE),"")</f>
        <v/>
      </c>
      <c r="I407" s="68" t="str">
        <f>IF('Pipe Insulation'!Z426="", "", 'Pipe Insulation'!Z426)</f>
        <v/>
      </c>
      <c r="J407" s="480"/>
    </row>
    <row r="408" spans="2:10" s="1" customFormat="1" x14ac:dyDescent="0.25">
      <c r="B408" s="76">
        <f>'Pipe Insulation'!B427</f>
        <v>394</v>
      </c>
      <c r="C408" s="76" t="str">
        <f>IF('Pipe Insulation'!C427="", "", 'Pipe Insulation'!C427)</f>
        <v/>
      </c>
      <c r="D408" s="76" t="str">
        <f>IF('Pipe Insulation'!D427="", "", 'Pipe Insulation'!D427)</f>
        <v/>
      </c>
      <c r="E408" s="69" t="str">
        <f>IF('Pipe Insulation'!E427="", "", 'Pipe Insulation'!E427)</f>
        <v/>
      </c>
      <c r="F408" s="76" t="str">
        <f>IFERROR(VLOOKUP('Pipe Insulation'!G427,'Pipe Insulation'!$AM$142:$AN$149,2,FALSE),"")</f>
        <v/>
      </c>
      <c r="G408" s="86" t="str">
        <f>IF('Pipe Insulation'!W427="", "", 'Pipe Insulation'!W427)</f>
        <v/>
      </c>
      <c r="H408" s="76" t="str">
        <f>IFERROR(VLOOKUP('Pipe Insulation'!Y427,'Pipe Insulation'!$AM$152:$AN$153,2,FALSE),"")</f>
        <v/>
      </c>
      <c r="I408" s="68" t="str">
        <f>IF('Pipe Insulation'!Z427="", "", 'Pipe Insulation'!Z427)</f>
        <v/>
      </c>
      <c r="J408" s="480"/>
    </row>
    <row r="409" spans="2:10" s="1" customFormat="1" x14ac:dyDescent="0.25">
      <c r="B409" s="76">
        <f>'Pipe Insulation'!B428</f>
        <v>395</v>
      </c>
      <c r="C409" s="76" t="str">
        <f>IF('Pipe Insulation'!C428="", "", 'Pipe Insulation'!C428)</f>
        <v/>
      </c>
      <c r="D409" s="76" t="str">
        <f>IF('Pipe Insulation'!D428="", "", 'Pipe Insulation'!D428)</f>
        <v/>
      </c>
      <c r="E409" s="69" t="str">
        <f>IF('Pipe Insulation'!E428="", "", 'Pipe Insulation'!E428)</f>
        <v/>
      </c>
      <c r="F409" s="76" t="str">
        <f>IFERROR(VLOOKUP('Pipe Insulation'!G428,'Pipe Insulation'!$AM$142:$AN$149,2,FALSE),"")</f>
        <v/>
      </c>
      <c r="G409" s="86" t="str">
        <f>IF('Pipe Insulation'!W428="", "", 'Pipe Insulation'!W428)</f>
        <v/>
      </c>
      <c r="H409" s="76" t="str">
        <f>IFERROR(VLOOKUP('Pipe Insulation'!Y428,'Pipe Insulation'!$AM$152:$AN$153,2,FALSE),"")</f>
        <v/>
      </c>
      <c r="I409" s="68" t="str">
        <f>IF('Pipe Insulation'!Z428="", "", 'Pipe Insulation'!Z428)</f>
        <v/>
      </c>
      <c r="J409" s="480"/>
    </row>
    <row r="410" spans="2:10" s="1" customFormat="1" x14ac:dyDescent="0.25">
      <c r="B410" s="76">
        <f>'Pipe Insulation'!B429</f>
        <v>396</v>
      </c>
      <c r="C410" s="76" t="str">
        <f>IF('Pipe Insulation'!C429="", "", 'Pipe Insulation'!C429)</f>
        <v/>
      </c>
      <c r="D410" s="76" t="str">
        <f>IF('Pipe Insulation'!D429="", "", 'Pipe Insulation'!D429)</f>
        <v/>
      </c>
      <c r="E410" s="69" t="str">
        <f>IF('Pipe Insulation'!E429="", "", 'Pipe Insulation'!E429)</f>
        <v/>
      </c>
      <c r="F410" s="76" t="str">
        <f>IFERROR(VLOOKUP('Pipe Insulation'!G429,'Pipe Insulation'!$AM$142:$AN$149,2,FALSE),"")</f>
        <v/>
      </c>
      <c r="G410" s="86" t="str">
        <f>IF('Pipe Insulation'!W429="", "", 'Pipe Insulation'!W429)</f>
        <v/>
      </c>
      <c r="H410" s="76" t="str">
        <f>IFERROR(VLOOKUP('Pipe Insulation'!Y429,'Pipe Insulation'!$AM$152:$AN$153,2,FALSE),"")</f>
        <v/>
      </c>
      <c r="I410" s="68" t="str">
        <f>IF('Pipe Insulation'!Z429="", "", 'Pipe Insulation'!Z429)</f>
        <v/>
      </c>
      <c r="J410" s="480"/>
    </row>
    <row r="411" spans="2:10" s="1" customFormat="1" x14ac:dyDescent="0.25">
      <c r="B411" s="76">
        <f>'Pipe Insulation'!B430</f>
        <v>397</v>
      </c>
      <c r="C411" s="76" t="str">
        <f>IF('Pipe Insulation'!C430="", "", 'Pipe Insulation'!C430)</f>
        <v/>
      </c>
      <c r="D411" s="76" t="str">
        <f>IF('Pipe Insulation'!D430="", "", 'Pipe Insulation'!D430)</f>
        <v/>
      </c>
      <c r="E411" s="69" t="str">
        <f>IF('Pipe Insulation'!E430="", "", 'Pipe Insulation'!E430)</f>
        <v/>
      </c>
      <c r="F411" s="76" t="str">
        <f>IFERROR(VLOOKUP('Pipe Insulation'!G430,'Pipe Insulation'!$AM$142:$AN$149,2,FALSE),"")</f>
        <v/>
      </c>
      <c r="G411" s="86" t="str">
        <f>IF('Pipe Insulation'!W430="", "", 'Pipe Insulation'!W430)</f>
        <v/>
      </c>
      <c r="H411" s="76" t="str">
        <f>IFERROR(VLOOKUP('Pipe Insulation'!Y430,'Pipe Insulation'!$AM$152:$AN$153,2,FALSE),"")</f>
        <v/>
      </c>
      <c r="I411" s="68" t="str">
        <f>IF('Pipe Insulation'!Z430="", "", 'Pipe Insulation'!Z430)</f>
        <v/>
      </c>
      <c r="J411" s="480"/>
    </row>
    <row r="412" spans="2:10" s="1" customFormat="1" x14ac:dyDescent="0.25">
      <c r="B412" s="76">
        <f>'Pipe Insulation'!B431</f>
        <v>398</v>
      </c>
      <c r="C412" s="76" t="str">
        <f>IF('Pipe Insulation'!C431="", "", 'Pipe Insulation'!C431)</f>
        <v/>
      </c>
      <c r="D412" s="76" t="str">
        <f>IF('Pipe Insulation'!D431="", "", 'Pipe Insulation'!D431)</f>
        <v/>
      </c>
      <c r="E412" s="69" t="str">
        <f>IF('Pipe Insulation'!E431="", "", 'Pipe Insulation'!E431)</f>
        <v/>
      </c>
      <c r="F412" s="76" t="str">
        <f>IFERROR(VLOOKUP('Pipe Insulation'!G431,'Pipe Insulation'!$AM$142:$AN$149,2,FALSE),"")</f>
        <v/>
      </c>
      <c r="G412" s="86" t="str">
        <f>IF('Pipe Insulation'!W431="", "", 'Pipe Insulation'!W431)</f>
        <v/>
      </c>
      <c r="H412" s="76" t="str">
        <f>IFERROR(VLOOKUP('Pipe Insulation'!Y431,'Pipe Insulation'!$AM$152:$AN$153,2,FALSE),"")</f>
        <v/>
      </c>
      <c r="I412" s="68" t="str">
        <f>IF('Pipe Insulation'!Z431="", "", 'Pipe Insulation'!Z431)</f>
        <v/>
      </c>
      <c r="J412" s="480"/>
    </row>
    <row r="413" spans="2:10" s="1" customFormat="1" x14ac:dyDescent="0.25">
      <c r="B413" s="76">
        <f>'Pipe Insulation'!B432</f>
        <v>399</v>
      </c>
      <c r="C413" s="76" t="str">
        <f>IF('Pipe Insulation'!C432="", "", 'Pipe Insulation'!C432)</f>
        <v/>
      </c>
      <c r="D413" s="76" t="str">
        <f>IF('Pipe Insulation'!D432="", "", 'Pipe Insulation'!D432)</f>
        <v/>
      </c>
      <c r="E413" s="69" t="str">
        <f>IF('Pipe Insulation'!E432="", "", 'Pipe Insulation'!E432)</f>
        <v/>
      </c>
      <c r="F413" s="76" t="str">
        <f>IFERROR(VLOOKUP('Pipe Insulation'!G432,'Pipe Insulation'!$AM$142:$AN$149,2,FALSE),"")</f>
        <v/>
      </c>
      <c r="G413" s="86" t="str">
        <f>IF('Pipe Insulation'!W432="", "", 'Pipe Insulation'!W432)</f>
        <v/>
      </c>
      <c r="H413" s="76" t="str">
        <f>IFERROR(VLOOKUP('Pipe Insulation'!Y432,'Pipe Insulation'!$AM$152:$AN$153,2,FALSE),"")</f>
        <v/>
      </c>
      <c r="I413" s="68" t="str">
        <f>IF('Pipe Insulation'!Z432="", "", 'Pipe Insulation'!Z432)</f>
        <v/>
      </c>
      <c r="J413" s="480"/>
    </row>
    <row r="414" spans="2:10" s="1" customFormat="1" x14ac:dyDescent="0.25">
      <c r="B414" s="76">
        <f>'Pipe Insulation'!B433</f>
        <v>400</v>
      </c>
      <c r="C414" s="76" t="str">
        <f>IF('Pipe Insulation'!C433="", "", 'Pipe Insulation'!C433)</f>
        <v/>
      </c>
      <c r="D414" s="76" t="str">
        <f>IF('Pipe Insulation'!D433="", "", 'Pipe Insulation'!D433)</f>
        <v/>
      </c>
      <c r="E414" s="69" t="str">
        <f>IF('Pipe Insulation'!E433="", "", 'Pipe Insulation'!E433)</f>
        <v/>
      </c>
      <c r="F414" s="76" t="str">
        <f>IFERROR(VLOOKUP('Pipe Insulation'!G433,'Pipe Insulation'!$AM$142:$AN$149,2,FALSE),"")</f>
        <v/>
      </c>
      <c r="G414" s="86" t="str">
        <f>IF('Pipe Insulation'!W433="", "", 'Pipe Insulation'!W433)</f>
        <v/>
      </c>
      <c r="H414" s="76" t="str">
        <f>IFERROR(VLOOKUP('Pipe Insulation'!Y433,'Pipe Insulation'!$AM$152:$AN$153,2,FALSE),"")</f>
        <v/>
      </c>
      <c r="I414" s="68" t="str">
        <f>IF('Pipe Insulation'!Z433="", "", 'Pipe Insulation'!Z433)</f>
        <v/>
      </c>
      <c r="J414" s="480"/>
    </row>
    <row r="415" spans="2:10" s="1" customFormat="1" x14ac:dyDescent="0.25">
      <c r="B415" s="76">
        <f>'Pipe Insulation'!B434</f>
        <v>401</v>
      </c>
      <c r="C415" s="76" t="str">
        <f>IF('Pipe Insulation'!C434="", "", 'Pipe Insulation'!C434)</f>
        <v/>
      </c>
      <c r="D415" s="76" t="str">
        <f>IF('Pipe Insulation'!D434="", "", 'Pipe Insulation'!D434)</f>
        <v/>
      </c>
      <c r="E415" s="69" t="str">
        <f>IF('Pipe Insulation'!E434="", "", 'Pipe Insulation'!E434)</f>
        <v/>
      </c>
      <c r="F415" s="76" t="str">
        <f>IFERROR(VLOOKUP('Pipe Insulation'!G434,'Pipe Insulation'!$AM$142:$AN$149,2,FALSE),"")</f>
        <v/>
      </c>
      <c r="G415" s="86" t="str">
        <f>IF('Pipe Insulation'!W434="", "", 'Pipe Insulation'!W434)</f>
        <v/>
      </c>
      <c r="H415" s="76" t="str">
        <f>IFERROR(VLOOKUP('Pipe Insulation'!Y434,'Pipe Insulation'!$AM$152:$AN$153,2,FALSE),"")</f>
        <v/>
      </c>
      <c r="I415" s="68" t="str">
        <f>IF('Pipe Insulation'!Z434="", "", 'Pipe Insulation'!Z434)</f>
        <v/>
      </c>
      <c r="J415" s="480"/>
    </row>
    <row r="416" spans="2:10" s="1" customFormat="1" x14ac:dyDescent="0.25">
      <c r="B416" s="76">
        <f>'Pipe Insulation'!B435</f>
        <v>402</v>
      </c>
      <c r="C416" s="76" t="str">
        <f>IF('Pipe Insulation'!C435="", "", 'Pipe Insulation'!C435)</f>
        <v/>
      </c>
      <c r="D416" s="76" t="str">
        <f>IF('Pipe Insulation'!D435="", "", 'Pipe Insulation'!D435)</f>
        <v/>
      </c>
      <c r="E416" s="69" t="str">
        <f>IF('Pipe Insulation'!E435="", "", 'Pipe Insulation'!E435)</f>
        <v/>
      </c>
      <c r="F416" s="76" t="str">
        <f>IFERROR(VLOOKUP('Pipe Insulation'!G435,'Pipe Insulation'!$AM$142:$AN$149,2,FALSE),"")</f>
        <v/>
      </c>
      <c r="G416" s="86" t="str">
        <f>IF('Pipe Insulation'!W435="", "", 'Pipe Insulation'!W435)</f>
        <v/>
      </c>
      <c r="H416" s="76" t="str">
        <f>IFERROR(VLOOKUP('Pipe Insulation'!Y435,'Pipe Insulation'!$AM$152:$AN$153,2,FALSE),"")</f>
        <v/>
      </c>
      <c r="I416" s="68" t="str">
        <f>IF('Pipe Insulation'!Z435="", "", 'Pipe Insulation'!Z435)</f>
        <v/>
      </c>
      <c r="J416" s="480"/>
    </row>
    <row r="417" spans="2:10" s="1" customFormat="1" x14ac:dyDescent="0.25">
      <c r="B417" s="76">
        <f>'Pipe Insulation'!B436</f>
        <v>403</v>
      </c>
      <c r="C417" s="76" t="str">
        <f>IF('Pipe Insulation'!C436="", "", 'Pipe Insulation'!C436)</f>
        <v/>
      </c>
      <c r="D417" s="76" t="str">
        <f>IF('Pipe Insulation'!D436="", "", 'Pipe Insulation'!D436)</f>
        <v/>
      </c>
      <c r="E417" s="69" t="str">
        <f>IF('Pipe Insulation'!E436="", "", 'Pipe Insulation'!E436)</f>
        <v/>
      </c>
      <c r="F417" s="76" t="str">
        <f>IFERROR(VLOOKUP('Pipe Insulation'!G436,'Pipe Insulation'!$AM$142:$AN$149,2,FALSE),"")</f>
        <v/>
      </c>
      <c r="G417" s="86" t="str">
        <f>IF('Pipe Insulation'!W436="", "", 'Pipe Insulation'!W436)</f>
        <v/>
      </c>
      <c r="H417" s="76" t="str">
        <f>IFERROR(VLOOKUP('Pipe Insulation'!Y436,'Pipe Insulation'!$AM$152:$AN$153,2,FALSE),"")</f>
        <v/>
      </c>
      <c r="I417" s="68" t="str">
        <f>IF('Pipe Insulation'!Z436="", "", 'Pipe Insulation'!Z436)</f>
        <v/>
      </c>
      <c r="J417" s="480"/>
    </row>
    <row r="418" spans="2:10" s="1" customFormat="1" x14ac:dyDescent="0.25">
      <c r="B418" s="76">
        <f>'Pipe Insulation'!B437</f>
        <v>404</v>
      </c>
      <c r="C418" s="76" t="str">
        <f>IF('Pipe Insulation'!C437="", "", 'Pipe Insulation'!C437)</f>
        <v/>
      </c>
      <c r="D418" s="76" t="str">
        <f>IF('Pipe Insulation'!D437="", "", 'Pipe Insulation'!D437)</f>
        <v/>
      </c>
      <c r="E418" s="69" t="str">
        <f>IF('Pipe Insulation'!E437="", "", 'Pipe Insulation'!E437)</f>
        <v/>
      </c>
      <c r="F418" s="76" t="str">
        <f>IFERROR(VLOOKUP('Pipe Insulation'!G437,'Pipe Insulation'!$AM$142:$AN$149,2,FALSE),"")</f>
        <v/>
      </c>
      <c r="G418" s="86" t="str">
        <f>IF('Pipe Insulation'!W437="", "", 'Pipe Insulation'!W437)</f>
        <v/>
      </c>
      <c r="H418" s="76" t="str">
        <f>IFERROR(VLOOKUP('Pipe Insulation'!Y437,'Pipe Insulation'!$AM$152:$AN$153,2,FALSE),"")</f>
        <v/>
      </c>
      <c r="I418" s="68" t="str">
        <f>IF('Pipe Insulation'!Z437="", "", 'Pipe Insulation'!Z437)</f>
        <v/>
      </c>
      <c r="J418" s="480"/>
    </row>
    <row r="419" spans="2:10" s="1" customFormat="1" x14ac:dyDescent="0.25">
      <c r="B419" s="76">
        <f>'Pipe Insulation'!B438</f>
        <v>405</v>
      </c>
      <c r="C419" s="76" t="str">
        <f>IF('Pipe Insulation'!C438="", "", 'Pipe Insulation'!C438)</f>
        <v/>
      </c>
      <c r="D419" s="76" t="str">
        <f>IF('Pipe Insulation'!D438="", "", 'Pipe Insulation'!D438)</f>
        <v/>
      </c>
      <c r="E419" s="69" t="str">
        <f>IF('Pipe Insulation'!E438="", "", 'Pipe Insulation'!E438)</f>
        <v/>
      </c>
      <c r="F419" s="76" t="str">
        <f>IFERROR(VLOOKUP('Pipe Insulation'!G438,'Pipe Insulation'!$AM$142:$AN$149,2,FALSE),"")</f>
        <v/>
      </c>
      <c r="G419" s="86" t="str">
        <f>IF('Pipe Insulation'!W438="", "", 'Pipe Insulation'!W438)</f>
        <v/>
      </c>
      <c r="H419" s="76" t="str">
        <f>IFERROR(VLOOKUP('Pipe Insulation'!Y438,'Pipe Insulation'!$AM$152:$AN$153,2,FALSE),"")</f>
        <v/>
      </c>
      <c r="I419" s="68" t="str">
        <f>IF('Pipe Insulation'!Z438="", "", 'Pipe Insulation'!Z438)</f>
        <v/>
      </c>
      <c r="J419" s="480"/>
    </row>
    <row r="420" spans="2:10" s="1" customFormat="1" x14ac:dyDescent="0.25">
      <c r="B420" s="76">
        <f>'Pipe Insulation'!B439</f>
        <v>406</v>
      </c>
      <c r="C420" s="76" t="str">
        <f>IF('Pipe Insulation'!C439="", "", 'Pipe Insulation'!C439)</f>
        <v/>
      </c>
      <c r="D420" s="76" t="str">
        <f>IF('Pipe Insulation'!D439="", "", 'Pipe Insulation'!D439)</f>
        <v/>
      </c>
      <c r="E420" s="69" t="str">
        <f>IF('Pipe Insulation'!E439="", "", 'Pipe Insulation'!E439)</f>
        <v/>
      </c>
      <c r="F420" s="76" t="str">
        <f>IFERROR(VLOOKUP('Pipe Insulation'!G439,'Pipe Insulation'!$AM$142:$AN$149,2,FALSE),"")</f>
        <v/>
      </c>
      <c r="G420" s="86" t="str">
        <f>IF('Pipe Insulation'!W439="", "", 'Pipe Insulation'!W439)</f>
        <v/>
      </c>
      <c r="H420" s="76" t="str">
        <f>IFERROR(VLOOKUP('Pipe Insulation'!Y439,'Pipe Insulation'!$AM$152:$AN$153,2,FALSE),"")</f>
        <v/>
      </c>
      <c r="I420" s="68" t="str">
        <f>IF('Pipe Insulation'!Z439="", "", 'Pipe Insulation'!Z439)</f>
        <v/>
      </c>
      <c r="J420" s="480"/>
    </row>
    <row r="421" spans="2:10" s="1" customFormat="1" x14ac:dyDescent="0.25">
      <c r="B421" s="76">
        <f>'Pipe Insulation'!B440</f>
        <v>407</v>
      </c>
      <c r="C421" s="76" t="str">
        <f>IF('Pipe Insulation'!C440="", "", 'Pipe Insulation'!C440)</f>
        <v/>
      </c>
      <c r="D421" s="76" t="str">
        <f>IF('Pipe Insulation'!D440="", "", 'Pipe Insulation'!D440)</f>
        <v/>
      </c>
      <c r="E421" s="69" t="str">
        <f>IF('Pipe Insulation'!E440="", "", 'Pipe Insulation'!E440)</f>
        <v/>
      </c>
      <c r="F421" s="76" t="str">
        <f>IFERROR(VLOOKUP('Pipe Insulation'!G440,'Pipe Insulation'!$AM$142:$AN$149,2,FALSE),"")</f>
        <v/>
      </c>
      <c r="G421" s="86" t="str">
        <f>IF('Pipe Insulation'!W440="", "", 'Pipe Insulation'!W440)</f>
        <v/>
      </c>
      <c r="H421" s="76" t="str">
        <f>IFERROR(VLOOKUP('Pipe Insulation'!Y440,'Pipe Insulation'!$AM$152:$AN$153,2,FALSE),"")</f>
        <v/>
      </c>
      <c r="I421" s="68" t="str">
        <f>IF('Pipe Insulation'!Z440="", "", 'Pipe Insulation'!Z440)</f>
        <v/>
      </c>
      <c r="J421" s="480"/>
    </row>
    <row r="422" spans="2:10" s="1" customFormat="1" x14ac:dyDescent="0.25">
      <c r="B422" s="76">
        <f>'Pipe Insulation'!B441</f>
        <v>408</v>
      </c>
      <c r="C422" s="76" t="str">
        <f>IF('Pipe Insulation'!C441="", "", 'Pipe Insulation'!C441)</f>
        <v/>
      </c>
      <c r="D422" s="76" t="str">
        <f>IF('Pipe Insulation'!D441="", "", 'Pipe Insulation'!D441)</f>
        <v/>
      </c>
      <c r="E422" s="69" t="str">
        <f>IF('Pipe Insulation'!E441="", "", 'Pipe Insulation'!E441)</f>
        <v/>
      </c>
      <c r="F422" s="76" t="str">
        <f>IFERROR(VLOOKUP('Pipe Insulation'!G441,'Pipe Insulation'!$AM$142:$AN$149,2,FALSE),"")</f>
        <v/>
      </c>
      <c r="G422" s="86" t="str">
        <f>IF('Pipe Insulation'!W441="", "", 'Pipe Insulation'!W441)</f>
        <v/>
      </c>
      <c r="H422" s="76" t="str">
        <f>IFERROR(VLOOKUP('Pipe Insulation'!Y441,'Pipe Insulation'!$AM$152:$AN$153,2,FALSE),"")</f>
        <v/>
      </c>
      <c r="I422" s="68" t="str">
        <f>IF('Pipe Insulation'!Z441="", "", 'Pipe Insulation'!Z441)</f>
        <v/>
      </c>
      <c r="J422" s="480"/>
    </row>
    <row r="423" spans="2:10" s="1" customFormat="1" x14ac:dyDescent="0.25">
      <c r="B423" s="76">
        <f>'Pipe Insulation'!B442</f>
        <v>409</v>
      </c>
      <c r="C423" s="76" t="str">
        <f>IF('Pipe Insulation'!C442="", "", 'Pipe Insulation'!C442)</f>
        <v/>
      </c>
      <c r="D423" s="76" t="str">
        <f>IF('Pipe Insulation'!D442="", "", 'Pipe Insulation'!D442)</f>
        <v/>
      </c>
      <c r="E423" s="69" t="str">
        <f>IF('Pipe Insulation'!E442="", "", 'Pipe Insulation'!E442)</f>
        <v/>
      </c>
      <c r="F423" s="76" t="str">
        <f>IFERROR(VLOOKUP('Pipe Insulation'!G442,'Pipe Insulation'!$AM$142:$AN$149,2,FALSE),"")</f>
        <v/>
      </c>
      <c r="G423" s="86" t="str">
        <f>IF('Pipe Insulation'!W442="", "", 'Pipe Insulation'!W442)</f>
        <v/>
      </c>
      <c r="H423" s="76" t="str">
        <f>IFERROR(VLOOKUP('Pipe Insulation'!Y442,'Pipe Insulation'!$AM$152:$AN$153,2,FALSE),"")</f>
        <v/>
      </c>
      <c r="I423" s="68" t="str">
        <f>IF('Pipe Insulation'!Z442="", "", 'Pipe Insulation'!Z442)</f>
        <v/>
      </c>
      <c r="J423" s="480"/>
    </row>
    <row r="424" spans="2:10" s="1" customFormat="1" x14ac:dyDescent="0.25">
      <c r="B424" s="76">
        <f>'Pipe Insulation'!B443</f>
        <v>410</v>
      </c>
      <c r="C424" s="76" t="str">
        <f>IF('Pipe Insulation'!C443="", "", 'Pipe Insulation'!C443)</f>
        <v/>
      </c>
      <c r="D424" s="76" t="str">
        <f>IF('Pipe Insulation'!D443="", "", 'Pipe Insulation'!D443)</f>
        <v/>
      </c>
      <c r="E424" s="69" t="str">
        <f>IF('Pipe Insulation'!E443="", "", 'Pipe Insulation'!E443)</f>
        <v/>
      </c>
      <c r="F424" s="76" t="str">
        <f>IFERROR(VLOOKUP('Pipe Insulation'!G443,'Pipe Insulation'!$AM$142:$AN$149,2,FALSE),"")</f>
        <v/>
      </c>
      <c r="G424" s="86" t="str">
        <f>IF('Pipe Insulation'!W443="", "", 'Pipe Insulation'!W443)</f>
        <v/>
      </c>
      <c r="H424" s="76" t="str">
        <f>IFERROR(VLOOKUP('Pipe Insulation'!Y443,'Pipe Insulation'!$AM$152:$AN$153,2,FALSE),"")</f>
        <v/>
      </c>
      <c r="I424" s="68" t="str">
        <f>IF('Pipe Insulation'!Z443="", "", 'Pipe Insulation'!Z443)</f>
        <v/>
      </c>
      <c r="J424" s="480"/>
    </row>
    <row r="425" spans="2:10" s="1" customFormat="1" x14ac:dyDescent="0.25">
      <c r="B425" s="76">
        <f>'Pipe Insulation'!B444</f>
        <v>411</v>
      </c>
      <c r="C425" s="76" t="str">
        <f>IF('Pipe Insulation'!C444="", "", 'Pipe Insulation'!C444)</f>
        <v/>
      </c>
      <c r="D425" s="76" t="str">
        <f>IF('Pipe Insulation'!D444="", "", 'Pipe Insulation'!D444)</f>
        <v/>
      </c>
      <c r="E425" s="69" t="str">
        <f>IF('Pipe Insulation'!E444="", "", 'Pipe Insulation'!E444)</f>
        <v/>
      </c>
      <c r="F425" s="76" t="str">
        <f>IFERROR(VLOOKUP('Pipe Insulation'!G444,'Pipe Insulation'!$AM$142:$AN$149,2,FALSE),"")</f>
        <v/>
      </c>
      <c r="G425" s="86" t="str">
        <f>IF('Pipe Insulation'!W444="", "", 'Pipe Insulation'!W444)</f>
        <v/>
      </c>
      <c r="H425" s="76" t="str">
        <f>IFERROR(VLOOKUP('Pipe Insulation'!Y444,'Pipe Insulation'!$AM$152:$AN$153,2,FALSE),"")</f>
        <v/>
      </c>
      <c r="I425" s="68" t="str">
        <f>IF('Pipe Insulation'!Z444="", "", 'Pipe Insulation'!Z444)</f>
        <v/>
      </c>
      <c r="J425" s="480"/>
    </row>
    <row r="426" spans="2:10" s="1" customFormat="1" x14ac:dyDescent="0.25">
      <c r="B426" s="76">
        <f>'Pipe Insulation'!B445</f>
        <v>412</v>
      </c>
      <c r="C426" s="76" t="str">
        <f>IF('Pipe Insulation'!C445="", "", 'Pipe Insulation'!C445)</f>
        <v/>
      </c>
      <c r="D426" s="76" t="str">
        <f>IF('Pipe Insulation'!D445="", "", 'Pipe Insulation'!D445)</f>
        <v/>
      </c>
      <c r="E426" s="69" t="str">
        <f>IF('Pipe Insulation'!E445="", "", 'Pipe Insulation'!E445)</f>
        <v/>
      </c>
      <c r="F426" s="76" t="str">
        <f>IFERROR(VLOOKUP('Pipe Insulation'!G445,'Pipe Insulation'!$AM$142:$AN$149,2,FALSE),"")</f>
        <v/>
      </c>
      <c r="G426" s="86" t="str">
        <f>IF('Pipe Insulation'!W445="", "", 'Pipe Insulation'!W445)</f>
        <v/>
      </c>
      <c r="H426" s="76" t="str">
        <f>IFERROR(VLOOKUP('Pipe Insulation'!Y445,'Pipe Insulation'!$AM$152:$AN$153,2,FALSE),"")</f>
        <v/>
      </c>
      <c r="I426" s="68" t="str">
        <f>IF('Pipe Insulation'!Z445="", "", 'Pipe Insulation'!Z445)</f>
        <v/>
      </c>
      <c r="J426" s="480"/>
    </row>
    <row r="427" spans="2:10" s="1" customFormat="1" x14ac:dyDescent="0.25">
      <c r="B427" s="76">
        <f>'Pipe Insulation'!B446</f>
        <v>413</v>
      </c>
      <c r="C427" s="76" t="str">
        <f>IF('Pipe Insulation'!C446="", "", 'Pipe Insulation'!C446)</f>
        <v/>
      </c>
      <c r="D427" s="76" t="str">
        <f>IF('Pipe Insulation'!D446="", "", 'Pipe Insulation'!D446)</f>
        <v/>
      </c>
      <c r="E427" s="69" t="str">
        <f>IF('Pipe Insulation'!E446="", "", 'Pipe Insulation'!E446)</f>
        <v/>
      </c>
      <c r="F427" s="76" t="str">
        <f>IFERROR(VLOOKUP('Pipe Insulation'!G446,'Pipe Insulation'!$AM$142:$AN$149,2,FALSE),"")</f>
        <v/>
      </c>
      <c r="G427" s="86" t="str">
        <f>IF('Pipe Insulation'!W446="", "", 'Pipe Insulation'!W446)</f>
        <v/>
      </c>
      <c r="H427" s="76" t="str">
        <f>IFERROR(VLOOKUP('Pipe Insulation'!Y446,'Pipe Insulation'!$AM$152:$AN$153,2,FALSE),"")</f>
        <v/>
      </c>
      <c r="I427" s="68" t="str">
        <f>IF('Pipe Insulation'!Z446="", "", 'Pipe Insulation'!Z446)</f>
        <v/>
      </c>
      <c r="J427" s="480"/>
    </row>
    <row r="428" spans="2:10" s="1" customFormat="1" x14ac:dyDescent="0.25">
      <c r="B428" s="76">
        <f>'Pipe Insulation'!B447</f>
        <v>414</v>
      </c>
      <c r="C428" s="76" t="str">
        <f>IF('Pipe Insulation'!C447="", "", 'Pipe Insulation'!C447)</f>
        <v/>
      </c>
      <c r="D428" s="76" t="str">
        <f>IF('Pipe Insulation'!D447="", "", 'Pipe Insulation'!D447)</f>
        <v/>
      </c>
      <c r="E428" s="69" t="str">
        <f>IF('Pipe Insulation'!E447="", "", 'Pipe Insulation'!E447)</f>
        <v/>
      </c>
      <c r="F428" s="76" t="str">
        <f>IFERROR(VLOOKUP('Pipe Insulation'!G447,'Pipe Insulation'!$AM$142:$AN$149,2,FALSE),"")</f>
        <v/>
      </c>
      <c r="G428" s="86" t="str">
        <f>IF('Pipe Insulation'!W447="", "", 'Pipe Insulation'!W447)</f>
        <v/>
      </c>
      <c r="H428" s="76" t="str">
        <f>IFERROR(VLOOKUP('Pipe Insulation'!Y447,'Pipe Insulation'!$AM$152:$AN$153,2,FALSE),"")</f>
        <v/>
      </c>
      <c r="I428" s="68" t="str">
        <f>IF('Pipe Insulation'!Z447="", "", 'Pipe Insulation'!Z447)</f>
        <v/>
      </c>
      <c r="J428" s="480"/>
    </row>
    <row r="429" spans="2:10" s="1" customFormat="1" x14ac:dyDescent="0.25">
      <c r="B429" s="76">
        <f>'Pipe Insulation'!B448</f>
        <v>415</v>
      </c>
      <c r="C429" s="76" t="str">
        <f>IF('Pipe Insulation'!C448="", "", 'Pipe Insulation'!C448)</f>
        <v/>
      </c>
      <c r="D429" s="76" t="str">
        <f>IF('Pipe Insulation'!D448="", "", 'Pipe Insulation'!D448)</f>
        <v/>
      </c>
      <c r="E429" s="69" t="str">
        <f>IF('Pipe Insulation'!E448="", "", 'Pipe Insulation'!E448)</f>
        <v/>
      </c>
      <c r="F429" s="76" t="str">
        <f>IFERROR(VLOOKUP('Pipe Insulation'!G448,'Pipe Insulation'!$AM$142:$AN$149,2,FALSE),"")</f>
        <v/>
      </c>
      <c r="G429" s="86" t="str">
        <f>IF('Pipe Insulation'!W448="", "", 'Pipe Insulation'!W448)</f>
        <v/>
      </c>
      <c r="H429" s="76" t="str">
        <f>IFERROR(VLOOKUP('Pipe Insulation'!Y448,'Pipe Insulation'!$AM$152:$AN$153,2,FALSE),"")</f>
        <v/>
      </c>
      <c r="I429" s="68" t="str">
        <f>IF('Pipe Insulation'!Z448="", "", 'Pipe Insulation'!Z448)</f>
        <v/>
      </c>
      <c r="J429" s="480"/>
    </row>
    <row r="430" spans="2:10" s="1" customFormat="1" x14ac:dyDescent="0.25">
      <c r="B430" s="76">
        <f>'Pipe Insulation'!B449</f>
        <v>416</v>
      </c>
      <c r="C430" s="76" t="str">
        <f>IF('Pipe Insulation'!C449="", "", 'Pipe Insulation'!C449)</f>
        <v/>
      </c>
      <c r="D430" s="76" t="str">
        <f>IF('Pipe Insulation'!D449="", "", 'Pipe Insulation'!D449)</f>
        <v/>
      </c>
      <c r="E430" s="69" t="str">
        <f>IF('Pipe Insulation'!E449="", "", 'Pipe Insulation'!E449)</f>
        <v/>
      </c>
      <c r="F430" s="76" t="str">
        <f>IFERROR(VLOOKUP('Pipe Insulation'!G449,'Pipe Insulation'!$AM$142:$AN$149,2,FALSE),"")</f>
        <v/>
      </c>
      <c r="G430" s="86" t="str">
        <f>IF('Pipe Insulation'!W449="", "", 'Pipe Insulation'!W449)</f>
        <v/>
      </c>
      <c r="H430" s="76" t="str">
        <f>IFERROR(VLOOKUP('Pipe Insulation'!Y449,'Pipe Insulation'!$AM$152:$AN$153,2,FALSE),"")</f>
        <v/>
      </c>
      <c r="I430" s="68" t="str">
        <f>IF('Pipe Insulation'!Z449="", "", 'Pipe Insulation'!Z449)</f>
        <v/>
      </c>
      <c r="J430" s="480"/>
    </row>
    <row r="431" spans="2:10" s="1" customFormat="1" x14ac:dyDescent="0.25">
      <c r="B431" s="76">
        <f>'Pipe Insulation'!B450</f>
        <v>417</v>
      </c>
      <c r="C431" s="76" t="str">
        <f>IF('Pipe Insulation'!C450="", "", 'Pipe Insulation'!C450)</f>
        <v/>
      </c>
      <c r="D431" s="76" t="str">
        <f>IF('Pipe Insulation'!D450="", "", 'Pipe Insulation'!D450)</f>
        <v/>
      </c>
      <c r="E431" s="69" t="str">
        <f>IF('Pipe Insulation'!E450="", "", 'Pipe Insulation'!E450)</f>
        <v/>
      </c>
      <c r="F431" s="76" t="str">
        <f>IFERROR(VLOOKUP('Pipe Insulation'!G450,'Pipe Insulation'!$AM$142:$AN$149,2,FALSE),"")</f>
        <v/>
      </c>
      <c r="G431" s="86" t="str">
        <f>IF('Pipe Insulation'!W450="", "", 'Pipe Insulation'!W450)</f>
        <v/>
      </c>
      <c r="H431" s="76" t="str">
        <f>IFERROR(VLOOKUP('Pipe Insulation'!Y450,'Pipe Insulation'!$AM$152:$AN$153,2,FALSE),"")</f>
        <v/>
      </c>
      <c r="I431" s="68" t="str">
        <f>IF('Pipe Insulation'!Z450="", "", 'Pipe Insulation'!Z450)</f>
        <v/>
      </c>
      <c r="J431" s="480"/>
    </row>
    <row r="432" spans="2:10" s="1" customFormat="1" x14ac:dyDescent="0.25">
      <c r="B432" s="76">
        <f>'Pipe Insulation'!B451</f>
        <v>418</v>
      </c>
      <c r="C432" s="76" t="str">
        <f>IF('Pipe Insulation'!C451="", "", 'Pipe Insulation'!C451)</f>
        <v/>
      </c>
      <c r="D432" s="76" t="str">
        <f>IF('Pipe Insulation'!D451="", "", 'Pipe Insulation'!D451)</f>
        <v/>
      </c>
      <c r="E432" s="69" t="str">
        <f>IF('Pipe Insulation'!E451="", "", 'Pipe Insulation'!E451)</f>
        <v/>
      </c>
      <c r="F432" s="76" t="str">
        <f>IFERROR(VLOOKUP('Pipe Insulation'!G451,'Pipe Insulation'!$AM$142:$AN$149,2,FALSE),"")</f>
        <v/>
      </c>
      <c r="G432" s="86" t="str">
        <f>IF('Pipe Insulation'!W451="", "", 'Pipe Insulation'!W451)</f>
        <v/>
      </c>
      <c r="H432" s="76" t="str">
        <f>IFERROR(VLOOKUP('Pipe Insulation'!Y451,'Pipe Insulation'!$AM$152:$AN$153,2,FALSE),"")</f>
        <v/>
      </c>
      <c r="I432" s="68" t="str">
        <f>IF('Pipe Insulation'!Z451="", "", 'Pipe Insulation'!Z451)</f>
        <v/>
      </c>
      <c r="J432" s="480"/>
    </row>
    <row r="433" spans="2:10" s="1" customFormat="1" x14ac:dyDescent="0.25">
      <c r="B433" s="76">
        <f>'Pipe Insulation'!B452</f>
        <v>419</v>
      </c>
      <c r="C433" s="76" t="str">
        <f>IF('Pipe Insulation'!C452="", "", 'Pipe Insulation'!C452)</f>
        <v/>
      </c>
      <c r="D433" s="76" t="str">
        <f>IF('Pipe Insulation'!D452="", "", 'Pipe Insulation'!D452)</f>
        <v/>
      </c>
      <c r="E433" s="69" t="str">
        <f>IF('Pipe Insulation'!E452="", "", 'Pipe Insulation'!E452)</f>
        <v/>
      </c>
      <c r="F433" s="76" t="str">
        <f>IFERROR(VLOOKUP('Pipe Insulation'!G452,'Pipe Insulation'!$AM$142:$AN$149,2,FALSE),"")</f>
        <v/>
      </c>
      <c r="G433" s="86" t="str">
        <f>IF('Pipe Insulation'!W452="", "", 'Pipe Insulation'!W452)</f>
        <v/>
      </c>
      <c r="H433" s="76" t="str">
        <f>IFERROR(VLOOKUP('Pipe Insulation'!Y452,'Pipe Insulation'!$AM$152:$AN$153,2,FALSE),"")</f>
        <v/>
      </c>
      <c r="I433" s="68" t="str">
        <f>IF('Pipe Insulation'!Z452="", "", 'Pipe Insulation'!Z452)</f>
        <v/>
      </c>
      <c r="J433" s="480"/>
    </row>
    <row r="434" spans="2:10" s="1" customFormat="1" x14ac:dyDescent="0.25">
      <c r="B434" s="76">
        <f>'Pipe Insulation'!B453</f>
        <v>420</v>
      </c>
      <c r="C434" s="76" t="str">
        <f>IF('Pipe Insulation'!C453="", "", 'Pipe Insulation'!C453)</f>
        <v/>
      </c>
      <c r="D434" s="76" t="str">
        <f>IF('Pipe Insulation'!D453="", "", 'Pipe Insulation'!D453)</f>
        <v/>
      </c>
      <c r="E434" s="69" t="str">
        <f>IF('Pipe Insulation'!E453="", "", 'Pipe Insulation'!E453)</f>
        <v/>
      </c>
      <c r="F434" s="76" t="str">
        <f>IFERROR(VLOOKUP('Pipe Insulation'!G453,'Pipe Insulation'!$AM$142:$AN$149,2,FALSE),"")</f>
        <v/>
      </c>
      <c r="G434" s="86" t="str">
        <f>IF('Pipe Insulation'!W453="", "", 'Pipe Insulation'!W453)</f>
        <v/>
      </c>
      <c r="H434" s="76" t="str">
        <f>IFERROR(VLOOKUP('Pipe Insulation'!Y453,'Pipe Insulation'!$AM$152:$AN$153,2,FALSE),"")</f>
        <v/>
      </c>
      <c r="I434" s="68" t="str">
        <f>IF('Pipe Insulation'!Z453="", "", 'Pipe Insulation'!Z453)</f>
        <v/>
      </c>
      <c r="J434" s="480"/>
    </row>
    <row r="435" spans="2:10" s="1" customFormat="1" x14ac:dyDescent="0.25">
      <c r="B435" s="76">
        <f>'Pipe Insulation'!B454</f>
        <v>421</v>
      </c>
      <c r="C435" s="76" t="str">
        <f>IF('Pipe Insulation'!C454="", "", 'Pipe Insulation'!C454)</f>
        <v/>
      </c>
      <c r="D435" s="76" t="str">
        <f>IF('Pipe Insulation'!D454="", "", 'Pipe Insulation'!D454)</f>
        <v/>
      </c>
      <c r="E435" s="69" t="str">
        <f>IF('Pipe Insulation'!E454="", "", 'Pipe Insulation'!E454)</f>
        <v/>
      </c>
      <c r="F435" s="76" t="str">
        <f>IFERROR(VLOOKUP('Pipe Insulation'!G454,'Pipe Insulation'!$AM$142:$AN$149,2,FALSE),"")</f>
        <v/>
      </c>
      <c r="G435" s="86" t="str">
        <f>IF('Pipe Insulation'!W454="", "", 'Pipe Insulation'!W454)</f>
        <v/>
      </c>
      <c r="H435" s="76" t="str">
        <f>IFERROR(VLOOKUP('Pipe Insulation'!Y454,'Pipe Insulation'!$AM$152:$AN$153,2,FALSE),"")</f>
        <v/>
      </c>
      <c r="I435" s="68" t="str">
        <f>IF('Pipe Insulation'!Z454="", "", 'Pipe Insulation'!Z454)</f>
        <v/>
      </c>
      <c r="J435" s="480"/>
    </row>
    <row r="436" spans="2:10" s="1" customFormat="1" x14ac:dyDescent="0.25">
      <c r="B436" s="76">
        <f>'Pipe Insulation'!B455</f>
        <v>422</v>
      </c>
      <c r="C436" s="76" t="str">
        <f>IF('Pipe Insulation'!C455="", "", 'Pipe Insulation'!C455)</f>
        <v/>
      </c>
      <c r="D436" s="76" t="str">
        <f>IF('Pipe Insulation'!D455="", "", 'Pipe Insulation'!D455)</f>
        <v/>
      </c>
      <c r="E436" s="69" t="str">
        <f>IF('Pipe Insulation'!E455="", "", 'Pipe Insulation'!E455)</f>
        <v/>
      </c>
      <c r="F436" s="76" t="str">
        <f>IFERROR(VLOOKUP('Pipe Insulation'!G455,'Pipe Insulation'!$AM$142:$AN$149,2,FALSE),"")</f>
        <v/>
      </c>
      <c r="G436" s="86" t="str">
        <f>IF('Pipe Insulation'!W455="", "", 'Pipe Insulation'!W455)</f>
        <v/>
      </c>
      <c r="H436" s="76" t="str">
        <f>IFERROR(VLOOKUP('Pipe Insulation'!Y455,'Pipe Insulation'!$AM$152:$AN$153,2,FALSE),"")</f>
        <v/>
      </c>
      <c r="I436" s="68" t="str">
        <f>IF('Pipe Insulation'!Z455="", "", 'Pipe Insulation'!Z455)</f>
        <v/>
      </c>
      <c r="J436" s="480"/>
    </row>
    <row r="437" spans="2:10" s="1" customFormat="1" x14ac:dyDescent="0.25">
      <c r="B437" s="76">
        <f>'Pipe Insulation'!B456</f>
        <v>423</v>
      </c>
      <c r="C437" s="76" t="str">
        <f>IF('Pipe Insulation'!C456="", "", 'Pipe Insulation'!C456)</f>
        <v/>
      </c>
      <c r="D437" s="76" t="str">
        <f>IF('Pipe Insulation'!D456="", "", 'Pipe Insulation'!D456)</f>
        <v/>
      </c>
      <c r="E437" s="69" t="str">
        <f>IF('Pipe Insulation'!E456="", "", 'Pipe Insulation'!E456)</f>
        <v/>
      </c>
      <c r="F437" s="76" t="str">
        <f>IFERROR(VLOOKUP('Pipe Insulation'!G456,'Pipe Insulation'!$AM$142:$AN$149,2,FALSE),"")</f>
        <v/>
      </c>
      <c r="G437" s="86" t="str">
        <f>IF('Pipe Insulation'!W456="", "", 'Pipe Insulation'!W456)</f>
        <v/>
      </c>
      <c r="H437" s="76" t="str">
        <f>IFERROR(VLOOKUP('Pipe Insulation'!Y456,'Pipe Insulation'!$AM$152:$AN$153,2,FALSE),"")</f>
        <v/>
      </c>
      <c r="I437" s="68" t="str">
        <f>IF('Pipe Insulation'!Z456="", "", 'Pipe Insulation'!Z456)</f>
        <v/>
      </c>
      <c r="J437" s="480"/>
    </row>
    <row r="438" spans="2:10" s="1" customFormat="1" x14ac:dyDescent="0.25">
      <c r="B438" s="76">
        <f>'Pipe Insulation'!B457</f>
        <v>424</v>
      </c>
      <c r="C438" s="76" t="str">
        <f>IF('Pipe Insulation'!C457="", "", 'Pipe Insulation'!C457)</f>
        <v/>
      </c>
      <c r="D438" s="76" t="str">
        <f>IF('Pipe Insulation'!D457="", "", 'Pipe Insulation'!D457)</f>
        <v/>
      </c>
      <c r="E438" s="69" t="str">
        <f>IF('Pipe Insulation'!E457="", "", 'Pipe Insulation'!E457)</f>
        <v/>
      </c>
      <c r="F438" s="76" t="str">
        <f>IFERROR(VLOOKUP('Pipe Insulation'!G457,'Pipe Insulation'!$AM$142:$AN$149,2,FALSE),"")</f>
        <v/>
      </c>
      <c r="G438" s="86" t="str">
        <f>IF('Pipe Insulation'!W457="", "", 'Pipe Insulation'!W457)</f>
        <v/>
      </c>
      <c r="H438" s="76" t="str">
        <f>IFERROR(VLOOKUP('Pipe Insulation'!Y457,'Pipe Insulation'!$AM$152:$AN$153,2,FALSE),"")</f>
        <v/>
      </c>
      <c r="I438" s="68" t="str">
        <f>IF('Pipe Insulation'!Z457="", "", 'Pipe Insulation'!Z457)</f>
        <v/>
      </c>
      <c r="J438" s="480"/>
    </row>
    <row r="439" spans="2:10" s="1" customFormat="1" x14ac:dyDescent="0.25">
      <c r="B439" s="76">
        <f>'Pipe Insulation'!B458</f>
        <v>425</v>
      </c>
      <c r="C439" s="76" t="str">
        <f>IF('Pipe Insulation'!C458="", "", 'Pipe Insulation'!C458)</f>
        <v/>
      </c>
      <c r="D439" s="76" t="str">
        <f>IF('Pipe Insulation'!D458="", "", 'Pipe Insulation'!D458)</f>
        <v/>
      </c>
      <c r="E439" s="69" t="str">
        <f>IF('Pipe Insulation'!E458="", "", 'Pipe Insulation'!E458)</f>
        <v/>
      </c>
      <c r="F439" s="76" t="str">
        <f>IFERROR(VLOOKUP('Pipe Insulation'!G458,'Pipe Insulation'!$AM$142:$AN$149,2,FALSE),"")</f>
        <v/>
      </c>
      <c r="G439" s="86" t="str">
        <f>IF('Pipe Insulation'!W458="", "", 'Pipe Insulation'!W458)</f>
        <v/>
      </c>
      <c r="H439" s="76" t="str">
        <f>IFERROR(VLOOKUP('Pipe Insulation'!Y458,'Pipe Insulation'!$AM$152:$AN$153,2,FALSE),"")</f>
        <v/>
      </c>
      <c r="I439" s="68" t="str">
        <f>IF('Pipe Insulation'!Z458="", "", 'Pipe Insulation'!Z458)</f>
        <v/>
      </c>
      <c r="J439" s="480"/>
    </row>
    <row r="440" spans="2:10" s="1" customFormat="1" x14ac:dyDescent="0.25">
      <c r="B440" s="76">
        <f>'Pipe Insulation'!B459</f>
        <v>426</v>
      </c>
      <c r="C440" s="76" t="str">
        <f>IF('Pipe Insulation'!C459="", "", 'Pipe Insulation'!C459)</f>
        <v/>
      </c>
      <c r="D440" s="76" t="str">
        <f>IF('Pipe Insulation'!D459="", "", 'Pipe Insulation'!D459)</f>
        <v/>
      </c>
      <c r="E440" s="69" t="str">
        <f>IF('Pipe Insulation'!E459="", "", 'Pipe Insulation'!E459)</f>
        <v/>
      </c>
      <c r="F440" s="76" t="str">
        <f>IFERROR(VLOOKUP('Pipe Insulation'!G459,'Pipe Insulation'!$AM$142:$AN$149,2,FALSE),"")</f>
        <v/>
      </c>
      <c r="G440" s="86" t="str">
        <f>IF('Pipe Insulation'!W459="", "", 'Pipe Insulation'!W459)</f>
        <v/>
      </c>
      <c r="H440" s="76" t="str">
        <f>IFERROR(VLOOKUP('Pipe Insulation'!Y459,'Pipe Insulation'!$AM$152:$AN$153,2,FALSE),"")</f>
        <v/>
      </c>
      <c r="I440" s="68" t="str">
        <f>IF('Pipe Insulation'!Z459="", "", 'Pipe Insulation'!Z459)</f>
        <v/>
      </c>
      <c r="J440" s="480"/>
    </row>
    <row r="441" spans="2:10" s="1" customFormat="1" x14ac:dyDescent="0.25">
      <c r="B441" s="76">
        <f>'Pipe Insulation'!B460</f>
        <v>427</v>
      </c>
      <c r="C441" s="76" t="str">
        <f>IF('Pipe Insulation'!C460="", "", 'Pipe Insulation'!C460)</f>
        <v/>
      </c>
      <c r="D441" s="76" t="str">
        <f>IF('Pipe Insulation'!D460="", "", 'Pipe Insulation'!D460)</f>
        <v/>
      </c>
      <c r="E441" s="69" t="str">
        <f>IF('Pipe Insulation'!E460="", "", 'Pipe Insulation'!E460)</f>
        <v/>
      </c>
      <c r="F441" s="76" t="str">
        <f>IFERROR(VLOOKUP('Pipe Insulation'!G460,'Pipe Insulation'!$AM$142:$AN$149,2,FALSE),"")</f>
        <v/>
      </c>
      <c r="G441" s="86" t="str">
        <f>IF('Pipe Insulation'!W460="", "", 'Pipe Insulation'!W460)</f>
        <v/>
      </c>
      <c r="H441" s="76" t="str">
        <f>IFERROR(VLOOKUP('Pipe Insulation'!Y460,'Pipe Insulation'!$AM$152:$AN$153,2,FALSE),"")</f>
        <v/>
      </c>
      <c r="I441" s="68" t="str">
        <f>IF('Pipe Insulation'!Z460="", "", 'Pipe Insulation'!Z460)</f>
        <v/>
      </c>
      <c r="J441" s="480"/>
    </row>
    <row r="442" spans="2:10" s="1" customFormat="1" x14ac:dyDescent="0.25">
      <c r="B442" s="76">
        <f>'Pipe Insulation'!B461</f>
        <v>428</v>
      </c>
      <c r="C442" s="76" t="str">
        <f>IF('Pipe Insulation'!C461="", "", 'Pipe Insulation'!C461)</f>
        <v/>
      </c>
      <c r="D442" s="76" t="str">
        <f>IF('Pipe Insulation'!D461="", "", 'Pipe Insulation'!D461)</f>
        <v/>
      </c>
      <c r="E442" s="69" t="str">
        <f>IF('Pipe Insulation'!E461="", "", 'Pipe Insulation'!E461)</f>
        <v/>
      </c>
      <c r="F442" s="76" t="str">
        <f>IFERROR(VLOOKUP('Pipe Insulation'!G461,'Pipe Insulation'!$AM$142:$AN$149,2,FALSE),"")</f>
        <v/>
      </c>
      <c r="G442" s="86" t="str">
        <f>IF('Pipe Insulation'!W461="", "", 'Pipe Insulation'!W461)</f>
        <v/>
      </c>
      <c r="H442" s="76" t="str">
        <f>IFERROR(VLOOKUP('Pipe Insulation'!Y461,'Pipe Insulation'!$AM$152:$AN$153,2,FALSE),"")</f>
        <v/>
      </c>
      <c r="I442" s="68" t="str">
        <f>IF('Pipe Insulation'!Z461="", "", 'Pipe Insulation'!Z461)</f>
        <v/>
      </c>
      <c r="J442" s="480"/>
    </row>
    <row r="443" spans="2:10" s="1" customFormat="1" x14ac:dyDescent="0.25">
      <c r="B443" s="76">
        <f>'Pipe Insulation'!B462</f>
        <v>429</v>
      </c>
      <c r="C443" s="76" t="str">
        <f>IF('Pipe Insulation'!C462="", "", 'Pipe Insulation'!C462)</f>
        <v/>
      </c>
      <c r="D443" s="76" t="str">
        <f>IF('Pipe Insulation'!D462="", "", 'Pipe Insulation'!D462)</f>
        <v/>
      </c>
      <c r="E443" s="69" t="str">
        <f>IF('Pipe Insulation'!E462="", "", 'Pipe Insulation'!E462)</f>
        <v/>
      </c>
      <c r="F443" s="76" t="str">
        <f>IFERROR(VLOOKUP('Pipe Insulation'!G462,'Pipe Insulation'!$AM$142:$AN$149,2,FALSE),"")</f>
        <v/>
      </c>
      <c r="G443" s="86" t="str">
        <f>IF('Pipe Insulation'!W462="", "", 'Pipe Insulation'!W462)</f>
        <v/>
      </c>
      <c r="H443" s="76" t="str">
        <f>IFERROR(VLOOKUP('Pipe Insulation'!Y462,'Pipe Insulation'!$AM$152:$AN$153,2,FALSE),"")</f>
        <v/>
      </c>
      <c r="I443" s="68" t="str">
        <f>IF('Pipe Insulation'!Z462="", "", 'Pipe Insulation'!Z462)</f>
        <v/>
      </c>
      <c r="J443" s="480"/>
    </row>
    <row r="444" spans="2:10" s="1" customFormat="1" x14ac:dyDescent="0.25">
      <c r="B444" s="76">
        <f>'Pipe Insulation'!B463</f>
        <v>430</v>
      </c>
      <c r="C444" s="76" t="str">
        <f>IF('Pipe Insulation'!C463="", "", 'Pipe Insulation'!C463)</f>
        <v/>
      </c>
      <c r="D444" s="76" t="str">
        <f>IF('Pipe Insulation'!D463="", "", 'Pipe Insulation'!D463)</f>
        <v/>
      </c>
      <c r="E444" s="69" t="str">
        <f>IF('Pipe Insulation'!E463="", "", 'Pipe Insulation'!E463)</f>
        <v/>
      </c>
      <c r="F444" s="76" t="str">
        <f>IFERROR(VLOOKUP('Pipe Insulation'!G463,'Pipe Insulation'!$AM$142:$AN$149,2,FALSE),"")</f>
        <v/>
      </c>
      <c r="G444" s="86" t="str">
        <f>IF('Pipe Insulation'!W463="", "", 'Pipe Insulation'!W463)</f>
        <v/>
      </c>
      <c r="H444" s="76" t="str">
        <f>IFERROR(VLOOKUP('Pipe Insulation'!Y463,'Pipe Insulation'!$AM$152:$AN$153,2,FALSE),"")</f>
        <v/>
      </c>
      <c r="I444" s="68" t="str">
        <f>IF('Pipe Insulation'!Z463="", "", 'Pipe Insulation'!Z463)</f>
        <v/>
      </c>
      <c r="J444" s="480"/>
    </row>
    <row r="445" spans="2:10" s="1" customFormat="1" x14ac:dyDescent="0.25">
      <c r="B445" s="76">
        <f>'Pipe Insulation'!B464</f>
        <v>431</v>
      </c>
      <c r="C445" s="76" t="str">
        <f>IF('Pipe Insulation'!C464="", "", 'Pipe Insulation'!C464)</f>
        <v/>
      </c>
      <c r="D445" s="76" t="str">
        <f>IF('Pipe Insulation'!D464="", "", 'Pipe Insulation'!D464)</f>
        <v/>
      </c>
      <c r="E445" s="69" t="str">
        <f>IF('Pipe Insulation'!E464="", "", 'Pipe Insulation'!E464)</f>
        <v/>
      </c>
      <c r="F445" s="76" t="str">
        <f>IFERROR(VLOOKUP('Pipe Insulation'!G464,'Pipe Insulation'!$AM$142:$AN$149,2,FALSE),"")</f>
        <v/>
      </c>
      <c r="G445" s="86" t="str">
        <f>IF('Pipe Insulation'!W464="", "", 'Pipe Insulation'!W464)</f>
        <v/>
      </c>
      <c r="H445" s="76" t="str">
        <f>IFERROR(VLOOKUP('Pipe Insulation'!Y464,'Pipe Insulation'!$AM$152:$AN$153,2,FALSE),"")</f>
        <v/>
      </c>
      <c r="I445" s="68" t="str">
        <f>IF('Pipe Insulation'!Z464="", "", 'Pipe Insulation'!Z464)</f>
        <v/>
      </c>
      <c r="J445" s="480"/>
    </row>
    <row r="446" spans="2:10" s="1" customFormat="1" x14ac:dyDescent="0.25">
      <c r="B446" s="76">
        <f>'Pipe Insulation'!B465</f>
        <v>432</v>
      </c>
      <c r="C446" s="76" t="str">
        <f>IF('Pipe Insulation'!C465="", "", 'Pipe Insulation'!C465)</f>
        <v/>
      </c>
      <c r="D446" s="76" t="str">
        <f>IF('Pipe Insulation'!D465="", "", 'Pipe Insulation'!D465)</f>
        <v/>
      </c>
      <c r="E446" s="69" t="str">
        <f>IF('Pipe Insulation'!E465="", "", 'Pipe Insulation'!E465)</f>
        <v/>
      </c>
      <c r="F446" s="76" t="str">
        <f>IFERROR(VLOOKUP('Pipe Insulation'!G465,'Pipe Insulation'!$AM$142:$AN$149,2,FALSE),"")</f>
        <v/>
      </c>
      <c r="G446" s="86" t="str">
        <f>IF('Pipe Insulation'!W465="", "", 'Pipe Insulation'!W465)</f>
        <v/>
      </c>
      <c r="H446" s="76" t="str">
        <f>IFERROR(VLOOKUP('Pipe Insulation'!Y465,'Pipe Insulation'!$AM$152:$AN$153,2,FALSE),"")</f>
        <v/>
      </c>
      <c r="I446" s="68" t="str">
        <f>IF('Pipe Insulation'!Z465="", "", 'Pipe Insulation'!Z465)</f>
        <v/>
      </c>
      <c r="J446" s="480"/>
    </row>
    <row r="447" spans="2:10" s="1" customFormat="1" x14ac:dyDescent="0.25">
      <c r="B447" s="76">
        <f>'Pipe Insulation'!B466</f>
        <v>433</v>
      </c>
      <c r="C447" s="76" t="str">
        <f>IF('Pipe Insulation'!C466="", "", 'Pipe Insulation'!C466)</f>
        <v/>
      </c>
      <c r="D447" s="76" t="str">
        <f>IF('Pipe Insulation'!D466="", "", 'Pipe Insulation'!D466)</f>
        <v/>
      </c>
      <c r="E447" s="69" t="str">
        <f>IF('Pipe Insulation'!E466="", "", 'Pipe Insulation'!E466)</f>
        <v/>
      </c>
      <c r="F447" s="76" t="str">
        <f>IFERROR(VLOOKUP('Pipe Insulation'!G466,'Pipe Insulation'!$AM$142:$AN$149,2,FALSE),"")</f>
        <v/>
      </c>
      <c r="G447" s="86" t="str">
        <f>IF('Pipe Insulation'!W466="", "", 'Pipe Insulation'!W466)</f>
        <v/>
      </c>
      <c r="H447" s="76" t="str">
        <f>IFERROR(VLOOKUP('Pipe Insulation'!Y466,'Pipe Insulation'!$AM$152:$AN$153,2,FALSE),"")</f>
        <v/>
      </c>
      <c r="I447" s="68" t="str">
        <f>IF('Pipe Insulation'!Z466="", "", 'Pipe Insulation'!Z466)</f>
        <v/>
      </c>
      <c r="J447" s="480"/>
    </row>
    <row r="448" spans="2:10" s="1" customFormat="1" x14ac:dyDescent="0.25">
      <c r="B448" s="76">
        <f>'Pipe Insulation'!B467</f>
        <v>434</v>
      </c>
      <c r="C448" s="76" t="str">
        <f>IF('Pipe Insulation'!C467="", "", 'Pipe Insulation'!C467)</f>
        <v/>
      </c>
      <c r="D448" s="76" t="str">
        <f>IF('Pipe Insulation'!D467="", "", 'Pipe Insulation'!D467)</f>
        <v/>
      </c>
      <c r="E448" s="69" t="str">
        <f>IF('Pipe Insulation'!E467="", "", 'Pipe Insulation'!E467)</f>
        <v/>
      </c>
      <c r="F448" s="76" t="str">
        <f>IFERROR(VLOOKUP('Pipe Insulation'!G467,'Pipe Insulation'!$AM$142:$AN$149,2,FALSE),"")</f>
        <v/>
      </c>
      <c r="G448" s="86" t="str">
        <f>IF('Pipe Insulation'!W467="", "", 'Pipe Insulation'!W467)</f>
        <v/>
      </c>
      <c r="H448" s="76" t="str">
        <f>IFERROR(VLOOKUP('Pipe Insulation'!Y467,'Pipe Insulation'!$AM$152:$AN$153,2,FALSE),"")</f>
        <v/>
      </c>
      <c r="I448" s="68" t="str">
        <f>IF('Pipe Insulation'!Z467="", "", 'Pipe Insulation'!Z467)</f>
        <v/>
      </c>
      <c r="J448" s="480"/>
    </row>
    <row r="449" spans="2:10" s="1" customFormat="1" x14ac:dyDescent="0.25">
      <c r="B449" s="76">
        <f>'Pipe Insulation'!B468</f>
        <v>435</v>
      </c>
      <c r="C449" s="76" t="str">
        <f>IF('Pipe Insulation'!C468="", "", 'Pipe Insulation'!C468)</f>
        <v/>
      </c>
      <c r="D449" s="76" t="str">
        <f>IF('Pipe Insulation'!D468="", "", 'Pipe Insulation'!D468)</f>
        <v/>
      </c>
      <c r="E449" s="69" t="str">
        <f>IF('Pipe Insulation'!E468="", "", 'Pipe Insulation'!E468)</f>
        <v/>
      </c>
      <c r="F449" s="76" t="str">
        <f>IFERROR(VLOOKUP('Pipe Insulation'!G468,'Pipe Insulation'!$AM$142:$AN$149,2,FALSE),"")</f>
        <v/>
      </c>
      <c r="G449" s="86" t="str">
        <f>IF('Pipe Insulation'!W468="", "", 'Pipe Insulation'!W468)</f>
        <v/>
      </c>
      <c r="H449" s="76" t="str">
        <f>IFERROR(VLOOKUP('Pipe Insulation'!Y468,'Pipe Insulation'!$AM$152:$AN$153,2,FALSE),"")</f>
        <v/>
      </c>
      <c r="I449" s="68" t="str">
        <f>IF('Pipe Insulation'!Z468="", "", 'Pipe Insulation'!Z468)</f>
        <v/>
      </c>
      <c r="J449" s="480"/>
    </row>
    <row r="450" spans="2:10" s="1" customFormat="1" x14ac:dyDescent="0.25">
      <c r="B450" s="76">
        <f>'Pipe Insulation'!B469</f>
        <v>436</v>
      </c>
      <c r="C450" s="76" t="str">
        <f>IF('Pipe Insulation'!C469="", "", 'Pipe Insulation'!C469)</f>
        <v/>
      </c>
      <c r="D450" s="76" t="str">
        <f>IF('Pipe Insulation'!D469="", "", 'Pipe Insulation'!D469)</f>
        <v/>
      </c>
      <c r="E450" s="69" t="str">
        <f>IF('Pipe Insulation'!E469="", "", 'Pipe Insulation'!E469)</f>
        <v/>
      </c>
      <c r="F450" s="76" t="str">
        <f>IFERROR(VLOOKUP('Pipe Insulation'!G469,'Pipe Insulation'!$AM$142:$AN$149,2,FALSE),"")</f>
        <v/>
      </c>
      <c r="G450" s="86" t="str">
        <f>IF('Pipe Insulation'!W469="", "", 'Pipe Insulation'!W469)</f>
        <v/>
      </c>
      <c r="H450" s="76" t="str">
        <f>IFERROR(VLOOKUP('Pipe Insulation'!Y469,'Pipe Insulation'!$AM$152:$AN$153,2,FALSE),"")</f>
        <v/>
      </c>
      <c r="I450" s="68" t="str">
        <f>IF('Pipe Insulation'!Z469="", "", 'Pipe Insulation'!Z469)</f>
        <v/>
      </c>
      <c r="J450" s="480"/>
    </row>
    <row r="451" spans="2:10" s="1" customFormat="1" x14ac:dyDescent="0.25">
      <c r="B451" s="76">
        <f>'Pipe Insulation'!B470</f>
        <v>437</v>
      </c>
      <c r="C451" s="76" t="str">
        <f>IF('Pipe Insulation'!C470="", "", 'Pipe Insulation'!C470)</f>
        <v/>
      </c>
      <c r="D451" s="76" t="str">
        <f>IF('Pipe Insulation'!D470="", "", 'Pipe Insulation'!D470)</f>
        <v/>
      </c>
      <c r="E451" s="69" t="str">
        <f>IF('Pipe Insulation'!E470="", "", 'Pipe Insulation'!E470)</f>
        <v/>
      </c>
      <c r="F451" s="76" t="str">
        <f>IFERROR(VLOOKUP('Pipe Insulation'!G470,'Pipe Insulation'!$AM$142:$AN$149,2,FALSE),"")</f>
        <v/>
      </c>
      <c r="G451" s="86" t="str">
        <f>IF('Pipe Insulation'!W470="", "", 'Pipe Insulation'!W470)</f>
        <v/>
      </c>
      <c r="H451" s="76" t="str">
        <f>IFERROR(VLOOKUP('Pipe Insulation'!Y470,'Pipe Insulation'!$AM$152:$AN$153,2,FALSE),"")</f>
        <v/>
      </c>
      <c r="I451" s="68" t="str">
        <f>IF('Pipe Insulation'!Z470="", "", 'Pipe Insulation'!Z470)</f>
        <v/>
      </c>
      <c r="J451" s="480"/>
    </row>
    <row r="452" spans="2:10" s="1" customFormat="1" x14ac:dyDescent="0.25">
      <c r="B452" s="76">
        <f>'Pipe Insulation'!B471</f>
        <v>438</v>
      </c>
      <c r="C452" s="76" t="str">
        <f>IF('Pipe Insulation'!C471="", "", 'Pipe Insulation'!C471)</f>
        <v/>
      </c>
      <c r="D452" s="76" t="str">
        <f>IF('Pipe Insulation'!D471="", "", 'Pipe Insulation'!D471)</f>
        <v/>
      </c>
      <c r="E452" s="69" t="str">
        <f>IF('Pipe Insulation'!E471="", "", 'Pipe Insulation'!E471)</f>
        <v/>
      </c>
      <c r="F452" s="76" t="str">
        <f>IFERROR(VLOOKUP('Pipe Insulation'!G471,'Pipe Insulation'!$AM$142:$AN$149,2,FALSE),"")</f>
        <v/>
      </c>
      <c r="G452" s="86" t="str">
        <f>IF('Pipe Insulation'!W471="", "", 'Pipe Insulation'!W471)</f>
        <v/>
      </c>
      <c r="H452" s="76" t="str">
        <f>IFERROR(VLOOKUP('Pipe Insulation'!Y471,'Pipe Insulation'!$AM$152:$AN$153,2,FALSE),"")</f>
        <v/>
      </c>
      <c r="I452" s="68" t="str">
        <f>IF('Pipe Insulation'!Z471="", "", 'Pipe Insulation'!Z471)</f>
        <v/>
      </c>
      <c r="J452" s="480"/>
    </row>
    <row r="453" spans="2:10" s="1" customFormat="1" x14ac:dyDescent="0.25">
      <c r="B453" s="76">
        <f>'Pipe Insulation'!B472</f>
        <v>439</v>
      </c>
      <c r="C453" s="76" t="str">
        <f>IF('Pipe Insulation'!C472="", "", 'Pipe Insulation'!C472)</f>
        <v/>
      </c>
      <c r="D453" s="76" t="str">
        <f>IF('Pipe Insulation'!D472="", "", 'Pipe Insulation'!D472)</f>
        <v/>
      </c>
      <c r="E453" s="69" t="str">
        <f>IF('Pipe Insulation'!E472="", "", 'Pipe Insulation'!E472)</f>
        <v/>
      </c>
      <c r="F453" s="76" t="str">
        <f>IFERROR(VLOOKUP('Pipe Insulation'!G472,'Pipe Insulation'!$AM$142:$AN$149,2,FALSE),"")</f>
        <v/>
      </c>
      <c r="G453" s="86" t="str">
        <f>IF('Pipe Insulation'!W472="", "", 'Pipe Insulation'!W472)</f>
        <v/>
      </c>
      <c r="H453" s="76" t="str">
        <f>IFERROR(VLOOKUP('Pipe Insulation'!Y472,'Pipe Insulation'!$AM$152:$AN$153,2,FALSE),"")</f>
        <v/>
      </c>
      <c r="I453" s="68" t="str">
        <f>IF('Pipe Insulation'!Z472="", "", 'Pipe Insulation'!Z472)</f>
        <v/>
      </c>
      <c r="J453" s="480"/>
    </row>
    <row r="454" spans="2:10" s="1" customFormat="1" x14ac:dyDescent="0.25">
      <c r="B454" s="76">
        <f>'Pipe Insulation'!B473</f>
        <v>440</v>
      </c>
      <c r="C454" s="76" t="str">
        <f>IF('Pipe Insulation'!C473="", "", 'Pipe Insulation'!C473)</f>
        <v/>
      </c>
      <c r="D454" s="76" t="str">
        <f>IF('Pipe Insulation'!D473="", "", 'Pipe Insulation'!D473)</f>
        <v/>
      </c>
      <c r="E454" s="69" t="str">
        <f>IF('Pipe Insulation'!E473="", "", 'Pipe Insulation'!E473)</f>
        <v/>
      </c>
      <c r="F454" s="76" t="str">
        <f>IFERROR(VLOOKUP('Pipe Insulation'!G473,'Pipe Insulation'!$AM$142:$AN$149,2,FALSE),"")</f>
        <v/>
      </c>
      <c r="G454" s="86" t="str">
        <f>IF('Pipe Insulation'!W473="", "", 'Pipe Insulation'!W473)</f>
        <v/>
      </c>
      <c r="H454" s="76" t="str">
        <f>IFERROR(VLOOKUP('Pipe Insulation'!Y473,'Pipe Insulation'!$AM$152:$AN$153,2,FALSE),"")</f>
        <v/>
      </c>
      <c r="I454" s="68" t="str">
        <f>IF('Pipe Insulation'!Z473="", "", 'Pipe Insulation'!Z473)</f>
        <v/>
      </c>
      <c r="J454" s="480"/>
    </row>
    <row r="455" spans="2:10" s="1" customFormat="1" x14ac:dyDescent="0.25">
      <c r="B455" s="76">
        <f>'Pipe Insulation'!B474</f>
        <v>441</v>
      </c>
      <c r="C455" s="76" t="str">
        <f>IF('Pipe Insulation'!C474="", "", 'Pipe Insulation'!C474)</f>
        <v/>
      </c>
      <c r="D455" s="76" t="str">
        <f>IF('Pipe Insulation'!D474="", "", 'Pipe Insulation'!D474)</f>
        <v/>
      </c>
      <c r="E455" s="69" t="str">
        <f>IF('Pipe Insulation'!E474="", "", 'Pipe Insulation'!E474)</f>
        <v/>
      </c>
      <c r="F455" s="76" t="str">
        <f>IFERROR(VLOOKUP('Pipe Insulation'!G474,'Pipe Insulation'!$AM$142:$AN$149,2,FALSE),"")</f>
        <v/>
      </c>
      <c r="G455" s="86" t="str">
        <f>IF('Pipe Insulation'!W474="", "", 'Pipe Insulation'!W474)</f>
        <v/>
      </c>
      <c r="H455" s="76" t="str">
        <f>IFERROR(VLOOKUP('Pipe Insulation'!Y474,'Pipe Insulation'!$AM$152:$AN$153,2,FALSE),"")</f>
        <v/>
      </c>
      <c r="I455" s="68" t="str">
        <f>IF('Pipe Insulation'!Z474="", "", 'Pipe Insulation'!Z474)</f>
        <v/>
      </c>
      <c r="J455" s="480"/>
    </row>
    <row r="456" spans="2:10" s="1" customFormat="1" x14ac:dyDescent="0.25">
      <c r="B456" s="76">
        <f>'Pipe Insulation'!B475</f>
        <v>442</v>
      </c>
      <c r="C456" s="76" t="str">
        <f>IF('Pipe Insulation'!C475="", "", 'Pipe Insulation'!C475)</f>
        <v/>
      </c>
      <c r="D456" s="76" t="str">
        <f>IF('Pipe Insulation'!D475="", "", 'Pipe Insulation'!D475)</f>
        <v/>
      </c>
      <c r="E456" s="69" t="str">
        <f>IF('Pipe Insulation'!E475="", "", 'Pipe Insulation'!E475)</f>
        <v/>
      </c>
      <c r="F456" s="76" t="str">
        <f>IFERROR(VLOOKUP('Pipe Insulation'!G475,'Pipe Insulation'!$AM$142:$AN$149,2,FALSE),"")</f>
        <v/>
      </c>
      <c r="G456" s="86" t="str">
        <f>IF('Pipe Insulation'!W475="", "", 'Pipe Insulation'!W475)</f>
        <v/>
      </c>
      <c r="H456" s="76" t="str">
        <f>IFERROR(VLOOKUP('Pipe Insulation'!Y475,'Pipe Insulation'!$AM$152:$AN$153,2,FALSE),"")</f>
        <v/>
      </c>
      <c r="I456" s="68" t="str">
        <f>IF('Pipe Insulation'!Z475="", "", 'Pipe Insulation'!Z475)</f>
        <v/>
      </c>
      <c r="J456" s="480"/>
    </row>
    <row r="457" spans="2:10" s="1" customFormat="1" x14ac:dyDescent="0.25">
      <c r="B457" s="76">
        <f>'Pipe Insulation'!B476</f>
        <v>443</v>
      </c>
      <c r="C457" s="76" t="str">
        <f>IF('Pipe Insulation'!C476="", "", 'Pipe Insulation'!C476)</f>
        <v/>
      </c>
      <c r="D457" s="76" t="str">
        <f>IF('Pipe Insulation'!D476="", "", 'Pipe Insulation'!D476)</f>
        <v/>
      </c>
      <c r="E457" s="69" t="str">
        <f>IF('Pipe Insulation'!E476="", "", 'Pipe Insulation'!E476)</f>
        <v/>
      </c>
      <c r="F457" s="76" t="str">
        <f>IFERROR(VLOOKUP('Pipe Insulation'!G476,'Pipe Insulation'!$AM$142:$AN$149,2,FALSE),"")</f>
        <v/>
      </c>
      <c r="G457" s="86" t="str">
        <f>IF('Pipe Insulation'!W476="", "", 'Pipe Insulation'!W476)</f>
        <v/>
      </c>
      <c r="H457" s="76" t="str">
        <f>IFERROR(VLOOKUP('Pipe Insulation'!Y476,'Pipe Insulation'!$AM$152:$AN$153,2,FALSE),"")</f>
        <v/>
      </c>
      <c r="I457" s="68" t="str">
        <f>IF('Pipe Insulation'!Z476="", "", 'Pipe Insulation'!Z476)</f>
        <v/>
      </c>
      <c r="J457" s="480"/>
    </row>
    <row r="458" spans="2:10" s="1" customFormat="1" x14ac:dyDescent="0.25">
      <c r="B458" s="76">
        <f>'Pipe Insulation'!B477</f>
        <v>444</v>
      </c>
      <c r="C458" s="76" t="str">
        <f>IF('Pipe Insulation'!C477="", "", 'Pipe Insulation'!C477)</f>
        <v/>
      </c>
      <c r="D458" s="76" t="str">
        <f>IF('Pipe Insulation'!D477="", "", 'Pipe Insulation'!D477)</f>
        <v/>
      </c>
      <c r="E458" s="69" t="str">
        <f>IF('Pipe Insulation'!E477="", "", 'Pipe Insulation'!E477)</f>
        <v/>
      </c>
      <c r="F458" s="76" t="str">
        <f>IFERROR(VLOOKUP('Pipe Insulation'!G477,'Pipe Insulation'!$AM$142:$AN$149,2,FALSE),"")</f>
        <v/>
      </c>
      <c r="G458" s="86" t="str">
        <f>IF('Pipe Insulation'!W477="", "", 'Pipe Insulation'!W477)</f>
        <v/>
      </c>
      <c r="H458" s="76" t="str">
        <f>IFERROR(VLOOKUP('Pipe Insulation'!Y477,'Pipe Insulation'!$AM$152:$AN$153,2,FALSE),"")</f>
        <v/>
      </c>
      <c r="I458" s="68" t="str">
        <f>IF('Pipe Insulation'!Z477="", "", 'Pipe Insulation'!Z477)</f>
        <v/>
      </c>
      <c r="J458" s="480"/>
    </row>
    <row r="459" spans="2:10" s="1" customFormat="1" x14ac:dyDescent="0.25">
      <c r="B459" s="76">
        <f>'Pipe Insulation'!B478</f>
        <v>445</v>
      </c>
      <c r="C459" s="76" t="str">
        <f>IF('Pipe Insulation'!C478="", "", 'Pipe Insulation'!C478)</f>
        <v/>
      </c>
      <c r="D459" s="76" t="str">
        <f>IF('Pipe Insulation'!D478="", "", 'Pipe Insulation'!D478)</f>
        <v/>
      </c>
      <c r="E459" s="69" t="str">
        <f>IF('Pipe Insulation'!E478="", "", 'Pipe Insulation'!E478)</f>
        <v/>
      </c>
      <c r="F459" s="76" t="str">
        <f>IFERROR(VLOOKUP('Pipe Insulation'!G478,'Pipe Insulation'!$AM$142:$AN$149,2,FALSE),"")</f>
        <v/>
      </c>
      <c r="G459" s="86" t="str">
        <f>IF('Pipe Insulation'!W478="", "", 'Pipe Insulation'!W478)</f>
        <v/>
      </c>
      <c r="H459" s="76" t="str">
        <f>IFERROR(VLOOKUP('Pipe Insulation'!Y478,'Pipe Insulation'!$AM$152:$AN$153,2,FALSE),"")</f>
        <v/>
      </c>
      <c r="I459" s="68" t="str">
        <f>IF('Pipe Insulation'!Z478="", "", 'Pipe Insulation'!Z478)</f>
        <v/>
      </c>
      <c r="J459" s="480"/>
    </row>
    <row r="460" spans="2:10" s="1" customFormat="1" x14ac:dyDescent="0.25">
      <c r="B460" s="76">
        <f>'Pipe Insulation'!B479</f>
        <v>446</v>
      </c>
      <c r="C460" s="76" t="str">
        <f>IF('Pipe Insulation'!C479="", "", 'Pipe Insulation'!C479)</f>
        <v/>
      </c>
      <c r="D460" s="76" t="str">
        <f>IF('Pipe Insulation'!D479="", "", 'Pipe Insulation'!D479)</f>
        <v/>
      </c>
      <c r="E460" s="69" t="str">
        <f>IF('Pipe Insulation'!E479="", "", 'Pipe Insulation'!E479)</f>
        <v/>
      </c>
      <c r="F460" s="76" t="str">
        <f>IFERROR(VLOOKUP('Pipe Insulation'!G479,'Pipe Insulation'!$AM$142:$AN$149,2,FALSE),"")</f>
        <v/>
      </c>
      <c r="G460" s="86" t="str">
        <f>IF('Pipe Insulation'!W479="", "", 'Pipe Insulation'!W479)</f>
        <v/>
      </c>
      <c r="H460" s="76" t="str">
        <f>IFERROR(VLOOKUP('Pipe Insulation'!Y479,'Pipe Insulation'!$AM$152:$AN$153,2,FALSE),"")</f>
        <v/>
      </c>
      <c r="I460" s="68" t="str">
        <f>IF('Pipe Insulation'!Z479="", "", 'Pipe Insulation'!Z479)</f>
        <v/>
      </c>
      <c r="J460" s="480"/>
    </row>
    <row r="461" spans="2:10" s="1" customFormat="1" x14ac:dyDescent="0.25">
      <c r="B461" s="76">
        <f>'Pipe Insulation'!B480</f>
        <v>447</v>
      </c>
      <c r="C461" s="76" t="str">
        <f>IF('Pipe Insulation'!C480="", "", 'Pipe Insulation'!C480)</f>
        <v/>
      </c>
      <c r="D461" s="76" t="str">
        <f>IF('Pipe Insulation'!D480="", "", 'Pipe Insulation'!D480)</f>
        <v/>
      </c>
      <c r="E461" s="69" t="str">
        <f>IF('Pipe Insulation'!E480="", "", 'Pipe Insulation'!E480)</f>
        <v/>
      </c>
      <c r="F461" s="76" t="str">
        <f>IFERROR(VLOOKUP('Pipe Insulation'!G480,'Pipe Insulation'!$AM$142:$AN$149,2,FALSE),"")</f>
        <v/>
      </c>
      <c r="G461" s="86" t="str">
        <f>IF('Pipe Insulation'!W480="", "", 'Pipe Insulation'!W480)</f>
        <v/>
      </c>
      <c r="H461" s="76" t="str">
        <f>IFERROR(VLOOKUP('Pipe Insulation'!Y480,'Pipe Insulation'!$AM$152:$AN$153,2,FALSE),"")</f>
        <v/>
      </c>
      <c r="I461" s="68" t="str">
        <f>IF('Pipe Insulation'!Z480="", "", 'Pipe Insulation'!Z480)</f>
        <v/>
      </c>
      <c r="J461" s="480"/>
    </row>
    <row r="462" spans="2:10" s="1" customFormat="1" x14ac:dyDescent="0.25">
      <c r="B462" s="76">
        <f>'Pipe Insulation'!B481</f>
        <v>448</v>
      </c>
      <c r="C462" s="76" t="str">
        <f>IF('Pipe Insulation'!C481="", "", 'Pipe Insulation'!C481)</f>
        <v/>
      </c>
      <c r="D462" s="76" t="str">
        <f>IF('Pipe Insulation'!D481="", "", 'Pipe Insulation'!D481)</f>
        <v/>
      </c>
      <c r="E462" s="69" t="str">
        <f>IF('Pipe Insulation'!E481="", "", 'Pipe Insulation'!E481)</f>
        <v/>
      </c>
      <c r="F462" s="76" t="str">
        <f>IFERROR(VLOOKUP('Pipe Insulation'!G481,'Pipe Insulation'!$AM$142:$AN$149,2,FALSE),"")</f>
        <v/>
      </c>
      <c r="G462" s="86" t="str">
        <f>IF('Pipe Insulation'!W481="", "", 'Pipe Insulation'!W481)</f>
        <v/>
      </c>
      <c r="H462" s="76" t="str">
        <f>IFERROR(VLOOKUP('Pipe Insulation'!Y481,'Pipe Insulation'!$AM$152:$AN$153,2,FALSE),"")</f>
        <v/>
      </c>
      <c r="I462" s="68" t="str">
        <f>IF('Pipe Insulation'!Z481="", "", 'Pipe Insulation'!Z481)</f>
        <v/>
      </c>
      <c r="J462" s="480"/>
    </row>
    <row r="463" spans="2:10" s="1" customFormat="1" x14ac:dyDescent="0.25">
      <c r="B463" s="76">
        <f>'Pipe Insulation'!B482</f>
        <v>449</v>
      </c>
      <c r="C463" s="76" t="str">
        <f>IF('Pipe Insulation'!C482="", "", 'Pipe Insulation'!C482)</f>
        <v/>
      </c>
      <c r="D463" s="76" t="str">
        <f>IF('Pipe Insulation'!D482="", "", 'Pipe Insulation'!D482)</f>
        <v/>
      </c>
      <c r="E463" s="69" t="str">
        <f>IF('Pipe Insulation'!E482="", "", 'Pipe Insulation'!E482)</f>
        <v/>
      </c>
      <c r="F463" s="76" t="str">
        <f>IFERROR(VLOOKUP('Pipe Insulation'!G482,'Pipe Insulation'!$AM$142:$AN$149,2,FALSE),"")</f>
        <v/>
      </c>
      <c r="G463" s="86" t="str">
        <f>IF('Pipe Insulation'!W482="", "", 'Pipe Insulation'!W482)</f>
        <v/>
      </c>
      <c r="H463" s="76" t="str">
        <f>IFERROR(VLOOKUP('Pipe Insulation'!Y482,'Pipe Insulation'!$AM$152:$AN$153,2,FALSE),"")</f>
        <v/>
      </c>
      <c r="I463" s="68" t="str">
        <f>IF('Pipe Insulation'!Z482="", "", 'Pipe Insulation'!Z482)</f>
        <v/>
      </c>
      <c r="J463" s="480"/>
    </row>
    <row r="464" spans="2:10" s="1" customFormat="1" x14ac:dyDescent="0.25">
      <c r="B464" s="76">
        <f>'Pipe Insulation'!B483</f>
        <v>450</v>
      </c>
      <c r="C464" s="76" t="str">
        <f>IF('Pipe Insulation'!C483="", "", 'Pipe Insulation'!C483)</f>
        <v/>
      </c>
      <c r="D464" s="76" t="str">
        <f>IF('Pipe Insulation'!D483="", "", 'Pipe Insulation'!D483)</f>
        <v/>
      </c>
      <c r="E464" s="69" t="str">
        <f>IF('Pipe Insulation'!E483="", "", 'Pipe Insulation'!E483)</f>
        <v/>
      </c>
      <c r="F464" s="76" t="str">
        <f>IFERROR(VLOOKUP('Pipe Insulation'!G483,'Pipe Insulation'!$AM$142:$AN$149,2,FALSE),"")</f>
        <v/>
      </c>
      <c r="G464" s="86" t="str">
        <f>IF('Pipe Insulation'!W483="", "", 'Pipe Insulation'!W483)</f>
        <v/>
      </c>
      <c r="H464" s="76" t="str">
        <f>IFERROR(VLOOKUP('Pipe Insulation'!Y483,'Pipe Insulation'!$AM$152:$AN$153,2,FALSE),"")</f>
        <v/>
      </c>
      <c r="I464" s="68" t="str">
        <f>IF('Pipe Insulation'!Z483="", "", 'Pipe Insulation'!Z483)</f>
        <v/>
      </c>
      <c r="J464" s="480"/>
    </row>
    <row r="465" spans="2:10" s="64" customFormat="1" ht="45" x14ac:dyDescent="0.25">
      <c r="B465" s="206" t="s">
        <v>133</v>
      </c>
      <c r="C465" s="206" t="s">
        <v>134</v>
      </c>
      <c r="D465" s="206" t="s">
        <v>135</v>
      </c>
      <c r="E465" s="206" t="s">
        <v>136</v>
      </c>
      <c r="F465" s="206" t="s">
        <v>138</v>
      </c>
      <c r="G465" s="206" t="s">
        <v>675</v>
      </c>
      <c r="H465" s="206" t="s">
        <v>676</v>
      </c>
      <c r="I465" s="206" t="s">
        <v>677</v>
      </c>
      <c r="J465" s="785" t="s">
        <v>678</v>
      </c>
    </row>
    <row r="466" spans="2:10" s="1" customFormat="1" x14ac:dyDescent="0.25">
      <c r="B466" s="76">
        <f>'Pipe Insulation'!B484</f>
        <v>451</v>
      </c>
      <c r="C466" s="76" t="str">
        <f>IF('Pipe Insulation'!C484="", "", 'Pipe Insulation'!C484)</f>
        <v/>
      </c>
      <c r="D466" s="76" t="str">
        <f>IF('Pipe Insulation'!D484="", "", 'Pipe Insulation'!D484)</f>
        <v/>
      </c>
      <c r="E466" s="69" t="str">
        <f>IF('Pipe Insulation'!E484="", "", 'Pipe Insulation'!E484)</f>
        <v/>
      </c>
      <c r="F466" s="76" t="str">
        <f>IFERROR(VLOOKUP('Pipe Insulation'!G484,'Pipe Insulation'!$AM$142:$AN$149,2,FALSE),"")</f>
        <v/>
      </c>
      <c r="G466" s="86" t="str">
        <f>IF('Pipe Insulation'!W484="", "", 'Pipe Insulation'!W484)</f>
        <v/>
      </c>
      <c r="H466" s="76" t="str">
        <f>IFERROR(VLOOKUP('Pipe Insulation'!Y484,'Pipe Insulation'!$AM$152:$AN$153,2,FALSE),"")</f>
        <v/>
      </c>
      <c r="I466" s="68" t="str">
        <f>IF('Pipe Insulation'!Z484="", "", 'Pipe Insulation'!Z484)</f>
        <v/>
      </c>
      <c r="J466" s="480"/>
    </row>
    <row r="467" spans="2:10" s="1" customFormat="1" x14ac:dyDescent="0.25">
      <c r="B467" s="76">
        <f>'Pipe Insulation'!B485</f>
        <v>452</v>
      </c>
      <c r="C467" s="76" t="str">
        <f>IF('Pipe Insulation'!C485="", "", 'Pipe Insulation'!C485)</f>
        <v/>
      </c>
      <c r="D467" s="76" t="str">
        <f>IF('Pipe Insulation'!D485="", "", 'Pipe Insulation'!D485)</f>
        <v/>
      </c>
      <c r="E467" s="69" t="str">
        <f>IF('Pipe Insulation'!E485="", "", 'Pipe Insulation'!E485)</f>
        <v/>
      </c>
      <c r="F467" s="76" t="str">
        <f>IFERROR(VLOOKUP('Pipe Insulation'!G485,'Pipe Insulation'!$AM$142:$AN$149,2,FALSE),"")</f>
        <v/>
      </c>
      <c r="G467" s="86" t="str">
        <f>IF('Pipe Insulation'!W485="", "", 'Pipe Insulation'!W485)</f>
        <v/>
      </c>
      <c r="H467" s="76" t="str">
        <f>IFERROR(VLOOKUP('Pipe Insulation'!Y485,'Pipe Insulation'!$AM$152:$AN$153,2,FALSE),"")</f>
        <v/>
      </c>
      <c r="I467" s="68" t="str">
        <f>IF('Pipe Insulation'!Z485="", "", 'Pipe Insulation'!Z485)</f>
        <v/>
      </c>
      <c r="J467" s="480"/>
    </row>
    <row r="468" spans="2:10" s="1" customFormat="1" x14ac:dyDescent="0.25">
      <c r="B468" s="76">
        <f>'Pipe Insulation'!B486</f>
        <v>453</v>
      </c>
      <c r="C468" s="76" t="str">
        <f>IF('Pipe Insulation'!C486="", "", 'Pipe Insulation'!C486)</f>
        <v/>
      </c>
      <c r="D468" s="76" t="str">
        <f>IF('Pipe Insulation'!D486="", "", 'Pipe Insulation'!D486)</f>
        <v/>
      </c>
      <c r="E468" s="69" t="str">
        <f>IF('Pipe Insulation'!E486="", "", 'Pipe Insulation'!E486)</f>
        <v/>
      </c>
      <c r="F468" s="76" t="str">
        <f>IFERROR(VLOOKUP('Pipe Insulation'!G486,'Pipe Insulation'!$AM$142:$AN$149,2,FALSE),"")</f>
        <v/>
      </c>
      <c r="G468" s="86" t="str">
        <f>IF('Pipe Insulation'!W486="", "", 'Pipe Insulation'!W486)</f>
        <v/>
      </c>
      <c r="H468" s="76" t="str">
        <f>IFERROR(VLOOKUP('Pipe Insulation'!Y486,'Pipe Insulation'!$AM$152:$AN$153,2,FALSE),"")</f>
        <v/>
      </c>
      <c r="I468" s="68" t="str">
        <f>IF('Pipe Insulation'!Z486="", "", 'Pipe Insulation'!Z486)</f>
        <v/>
      </c>
      <c r="J468" s="480"/>
    </row>
    <row r="469" spans="2:10" s="1" customFormat="1" x14ac:dyDescent="0.25">
      <c r="B469" s="76">
        <f>'Pipe Insulation'!B487</f>
        <v>454</v>
      </c>
      <c r="C469" s="76" t="str">
        <f>IF('Pipe Insulation'!C487="", "", 'Pipe Insulation'!C487)</f>
        <v/>
      </c>
      <c r="D469" s="76" t="str">
        <f>IF('Pipe Insulation'!D487="", "", 'Pipe Insulation'!D487)</f>
        <v/>
      </c>
      <c r="E469" s="69" t="str">
        <f>IF('Pipe Insulation'!E487="", "", 'Pipe Insulation'!E487)</f>
        <v/>
      </c>
      <c r="F469" s="76" t="str">
        <f>IFERROR(VLOOKUP('Pipe Insulation'!G487,'Pipe Insulation'!$AM$142:$AN$149,2,FALSE),"")</f>
        <v/>
      </c>
      <c r="G469" s="86" t="str">
        <f>IF('Pipe Insulation'!W487="", "", 'Pipe Insulation'!W487)</f>
        <v/>
      </c>
      <c r="H469" s="76" t="str">
        <f>IFERROR(VLOOKUP('Pipe Insulation'!Y487,'Pipe Insulation'!$AM$152:$AN$153,2,FALSE),"")</f>
        <v/>
      </c>
      <c r="I469" s="68" t="str">
        <f>IF('Pipe Insulation'!Z487="", "", 'Pipe Insulation'!Z487)</f>
        <v/>
      </c>
      <c r="J469" s="480"/>
    </row>
    <row r="470" spans="2:10" s="1" customFormat="1" x14ac:dyDescent="0.25">
      <c r="B470" s="76">
        <f>'Pipe Insulation'!B488</f>
        <v>455</v>
      </c>
      <c r="C470" s="76" t="str">
        <f>IF('Pipe Insulation'!C488="", "", 'Pipe Insulation'!C488)</f>
        <v/>
      </c>
      <c r="D470" s="76" t="str">
        <f>IF('Pipe Insulation'!D488="", "", 'Pipe Insulation'!D488)</f>
        <v/>
      </c>
      <c r="E470" s="69" t="str">
        <f>IF('Pipe Insulation'!E488="", "", 'Pipe Insulation'!E488)</f>
        <v/>
      </c>
      <c r="F470" s="76" t="str">
        <f>IFERROR(VLOOKUP('Pipe Insulation'!G488,'Pipe Insulation'!$AM$142:$AN$149,2,FALSE),"")</f>
        <v/>
      </c>
      <c r="G470" s="86" t="str">
        <f>IF('Pipe Insulation'!W488="", "", 'Pipe Insulation'!W488)</f>
        <v/>
      </c>
      <c r="H470" s="76" t="str">
        <f>IFERROR(VLOOKUP('Pipe Insulation'!Y488,'Pipe Insulation'!$AM$152:$AN$153,2,FALSE),"")</f>
        <v/>
      </c>
      <c r="I470" s="68" t="str">
        <f>IF('Pipe Insulation'!Z488="", "", 'Pipe Insulation'!Z488)</f>
        <v/>
      </c>
      <c r="J470" s="480"/>
    </row>
    <row r="471" spans="2:10" s="1" customFormat="1" x14ac:dyDescent="0.25">
      <c r="B471" s="76">
        <f>'Pipe Insulation'!B489</f>
        <v>456</v>
      </c>
      <c r="C471" s="76" t="str">
        <f>IF('Pipe Insulation'!C489="", "", 'Pipe Insulation'!C489)</f>
        <v/>
      </c>
      <c r="D471" s="76" t="str">
        <f>IF('Pipe Insulation'!D489="", "", 'Pipe Insulation'!D489)</f>
        <v/>
      </c>
      <c r="E471" s="69" t="str">
        <f>IF('Pipe Insulation'!E489="", "", 'Pipe Insulation'!E489)</f>
        <v/>
      </c>
      <c r="F471" s="76" t="str">
        <f>IFERROR(VLOOKUP('Pipe Insulation'!G489,'Pipe Insulation'!$AM$142:$AN$149,2,FALSE),"")</f>
        <v/>
      </c>
      <c r="G471" s="86" t="str">
        <f>IF('Pipe Insulation'!W489="", "", 'Pipe Insulation'!W489)</f>
        <v/>
      </c>
      <c r="H471" s="76" t="str">
        <f>IFERROR(VLOOKUP('Pipe Insulation'!Y489,'Pipe Insulation'!$AM$152:$AN$153,2,FALSE),"")</f>
        <v/>
      </c>
      <c r="I471" s="68" t="str">
        <f>IF('Pipe Insulation'!Z489="", "", 'Pipe Insulation'!Z489)</f>
        <v/>
      </c>
      <c r="J471" s="480"/>
    </row>
    <row r="472" spans="2:10" s="1" customFormat="1" x14ac:dyDescent="0.25">
      <c r="B472" s="76">
        <f>'Pipe Insulation'!B490</f>
        <v>457</v>
      </c>
      <c r="C472" s="76" t="str">
        <f>IF('Pipe Insulation'!C490="", "", 'Pipe Insulation'!C490)</f>
        <v/>
      </c>
      <c r="D472" s="76" t="str">
        <f>IF('Pipe Insulation'!D490="", "", 'Pipe Insulation'!D490)</f>
        <v/>
      </c>
      <c r="E472" s="69" t="str">
        <f>IF('Pipe Insulation'!E490="", "", 'Pipe Insulation'!E490)</f>
        <v/>
      </c>
      <c r="F472" s="76" t="str">
        <f>IFERROR(VLOOKUP('Pipe Insulation'!G490,'Pipe Insulation'!$AM$142:$AN$149,2,FALSE),"")</f>
        <v/>
      </c>
      <c r="G472" s="86" t="str">
        <f>IF('Pipe Insulation'!W490="", "", 'Pipe Insulation'!W490)</f>
        <v/>
      </c>
      <c r="H472" s="76" t="str">
        <f>IFERROR(VLOOKUP('Pipe Insulation'!Y490,'Pipe Insulation'!$AM$152:$AN$153,2,FALSE),"")</f>
        <v/>
      </c>
      <c r="I472" s="68" t="str">
        <f>IF('Pipe Insulation'!Z490="", "", 'Pipe Insulation'!Z490)</f>
        <v/>
      </c>
      <c r="J472" s="480"/>
    </row>
    <row r="473" spans="2:10" s="1" customFormat="1" x14ac:dyDescent="0.25">
      <c r="B473" s="76">
        <f>'Pipe Insulation'!B491</f>
        <v>458</v>
      </c>
      <c r="C473" s="76" t="str">
        <f>IF('Pipe Insulation'!C491="", "", 'Pipe Insulation'!C491)</f>
        <v/>
      </c>
      <c r="D473" s="76" t="str">
        <f>IF('Pipe Insulation'!D491="", "", 'Pipe Insulation'!D491)</f>
        <v/>
      </c>
      <c r="E473" s="69" t="str">
        <f>IF('Pipe Insulation'!E491="", "", 'Pipe Insulation'!E491)</f>
        <v/>
      </c>
      <c r="F473" s="76" t="str">
        <f>IFERROR(VLOOKUP('Pipe Insulation'!G491,'Pipe Insulation'!$AM$142:$AN$149,2,FALSE),"")</f>
        <v/>
      </c>
      <c r="G473" s="86" t="str">
        <f>IF('Pipe Insulation'!W491="", "", 'Pipe Insulation'!W491)</f>
        <v/>
      </c>
      <c r="H473" s="76" t="str">
        <f>IFERROR(VLOOKUP('Pipe Insulation'!Y491,'Pipe Insulation'!$AM$152:$AN$153,2,FALSE),"")</f>
        <v/>
      </c>
      <c r="I473" s="68" t="str">
        <f>IF('Pipe Insulation'!Z491="", "", 'Pipe Insulation'!Z491)</f>
        <v/>
      </c>
      <c r="J473" s="480"/>
    </row>
    <row r="474" spans="2:10" s="1" customFormat="1" x14ac:dyDescent="0.25">
      <c r="B474" s="76">
        <f>'Pipe Insulation'!B492</f>
        <v>459</v>
      </c>
      <c r="C474" s="76" t="str">
        <f>IF('Pipe Insulation'!C492="", "", 'Pipe Insulation'!C492)</f>
        <v/>
      </c>
      <c r="D474" s="76" t="str">
        <f>IF('Pipe Insulation'!D492="", "", 'Pipe Insulation'!D492)</f>
        <v/>
      </c>
      <c r="E474" s="69" t="str">
        <f>IF('Pipe Insulation'!E492="", "", 'Pipe Insulation'!E492)</f>
        <v/>
      </c>
      <c r="F474" s="76" t="str">
        <f>IFERROR(VLOOKUP('Pipe Insulation'!G492,'Pipe Insulation'!$AM$142:$AN$149,2,FALSE),"")</f>
        <v/>
      </c>
      <c r="G474" s="86" t="str">
        <f>IF('Pipe Insulation'!W492="", "", 'Pipe Insulation'!W492)</f>
        <v/>
      </c>
      <c r="H474" s="76" t="str">
        <f>IFERROR(VLOOKUP('Pipe Insulation'!Y492,'Pipe Insulation'!$AM$152:$AN$153,2,FALSE),"")</f>
        <v/>
      </c>
      <c r="I474" s="68" t="str">
        <f>IF('Pipe Insulation'!Z492="", "", 'Pipe Insulation'!Z492)</f>
        <v/>
      </c>
      <c r="J474" s="480"/>
    </row>
    <row r="475" spans="2:10" s="1" customFormat="1" x14ac:dyDescent="0.25">
      <c r="B475" s="76">
        <f>'Pipe Insulation'!B493</f>
        <v>460</v>
      </c>
      <c r="C475" s="76" t="str">
        <f>IF('Pipe Insulation'!C493="", "", 'Pipe Insulation'!C493)</f>
        <v/>
      </c>
      <c r="D475" s="76" t="str">
        <f>IF('Pipe Insulation'!D493="", "", 'Pipe Insulation'!D493)</f>
        <v/>
      </c>
      <c r="E475" s="69" t="str">
        <f>IF('Pipe Insulation'!E493="", "", 'Pipe Insulation'!E493)</f>
        <v/>
      </c>
      <c r="F475" s="76" t="str">
        <f>IFERROR(VLOOKUP('Pipe Insulation'!G493,'Pipe Insulation'!$AM$142:$AN$149,2,FALSE),"")</f>
        <v/>
      </c>
      <c r="G475" s="86" t="str">
        <f>IF('Pipe Insulation'!W493="", "", 'Pipe Insulation'!W493)</f>
        <v/>
      </c>
      <c r="H475" s="76" t="str">
        <f>IFERROR(VLOOKUP('Pipe Insulation'!Y493,'Pipe Insulation'!$AM$152:$AN$153,2,FALSE),"")</f>
        <v/>
      </c>
      <c r="I475" s="68" t="str">
        <f>IF('Pipe Insulation'!Z493="", "", 'Pipe Insulation'!Z493)</f>
        <v/>
      </c>
      <c r="J475" s="480"/>
    </row>
    <row r="476" spans="2:10" s="1" customFormat="1" x14ac:dyDescent="0.25">
      <c r="B476" s="76">
        <f>'Pipe Insulation'!B494</f>
        <v>461</v>
      </c>
      <c r="C476" s="76" t="str">
        <f>IF('Pipe Insulation'!C494="", "", 'Pipe Insulation'!C494)</f>
        <v/>
      </c>
      <c r="D476" s="76" t="str">
        <f>IF('Pipe Insulation'!D494="", "", 'Pipe Insulation'!D494)</f>
        <v/>
      </c>
      <c r="E476" s="69" t="str">
        <f>IF('Pipe Insulation'!E494="", "", 'Pipe Insulation'!E494)</f>
        <v/>
      </c>
      <c r="F476" s="76" t="str">
        <f>IFERROR(VLOOKUP('Pipe Insulation'!G494,'Pipe Insulation'!$AM$142:$AN$149,2,FALSE),"")</f>
        <v/>
      </c>
      <c r="G476" s="86" t="str">
        <f>IF('Pipe Insulation'!W494="", "", 'Pipe Insulation'!W494)</f>
        <v/>
      </c>
      <c r="H476" s="76" t="str">
        <f>IFERROR(VLOOKUP('Pipe Insulation'!Y494,'Pipe Insulation'!$AM$152:$AN$153,2,FALSE),"")</f>
        <v/>
      </c>
      <c r="I476" s="68" t="str">
        <f>IF('Pipe Insulation'!Z494="", "", 'Pipe Insulation'!Z494)</f>
        <v/>
      </c>
      <c r="J476" s="480"/>
    </row>
    <row r="477" spans="2:10" s="1" customFormat="1" x14ac:dyDescent="0.25">
      <c r="B477" s="76">
        <f>'Pipe Insulation'!B495</f>
        <v>462</v>
      </c>
      <c r="C477" s="76" t="str">
        <f>IF('Pipe Insulation'!C495="", "", 'Pipe Insulation'!C495)</f>
        <v/>
      </c>
      <c r="D477" s="76" t="str">
        <f>IF('Pipe Insulation'!D495="", "", 'Pipe Insulation'!D495)</f>
        <v/>
      </c>
      <c r="E477" s="69" t="str">
        <f>IF('Pipe Insulation'!E495="", "", 'Pipe Insulation'!E495)</f>
        <v/>
      </c>
      <c r="F477" s="76" t="str">
        <f>IFERROR(VLOOKUP('Pipe Insulation'!G495,'Pipe Insulation'!$AM$142:$AN$149,2,FALSE),"")</f>
        <v/>
      </c>
      <c r="G477" s="86" t="str">
        <f>IF('Pipe Insulation'!W495="", "", 'Pipe Insulation'!W495)</f>
        <v/>
      </c>
      <c r="H477" s="76" t="str">
        <f>IFERROR(VLOOKUP('Pipe Insulation'!Y495,'Pipe Insulation'!$AM$152:$AN$153,2,FALSE),"")</f>
        <v/>
      </c>
      <c r="I477" s="68" t="str">
        <f>IF('Pipe Insulation'!Z495="", "", 'Pipe Insulation'!Z495)</f>
        <v/>
      </c>
      <c r="J477" s="480"/>
    </row>
    <row r="478" spans="2:10" s="1" customFormat="1" x14ac:dyDescent="0.25">
      <c r="B478" s="76">
        <f>'Pipe Insulation'!B496</f>
        <v>463</v>
      </c>
      <c r="C478" s="76" t="str">
        <f>IF('Pipe Insulation'!C496="", "", 'Pipe Insulation'!C496)</f>
        <v/>
      </c>
      <c r="D478" s="76" t="str">
        <f>IF('Pipe Insulation'!D496="", "", 'Pipe Insulation'!D496)</f>
        <v/>
      </c>
      <c r="E478" s="69" t="str">
        <f>IF('Pipe Insulation'!E496="", "", 'Pipe Insulation'!E496)</f>
        <v/>
      </c>
      <c r="F478" s="76" t="str">
        <f>IFERROR(VLOOKUP('Pipe Insulation'!G496,'Pipe Insulation'!$AM$142:$AN$149,2,FALSE),"")</f>
        <v/>
      </c>
      <c r="G478" s="86" t="str">
        <f>IF('Pipe Insulation'!W496="", "", 'Pipe Insulation'!W496)</f>
        <v/>
      </c>
      <c r="H478" s="76" t="str">
        <f>IFERROR(VLOOKUP('Pipe Insulation'!Y496,'Pipe Insulation'!$AM$152:$AN$153,2,FALSE),"")</f>
        <v/>
      </c>
      <c r="I478" s="68" t="str">
        <f>IF('Pipe Insulation'!Z496="", "", 'Pipe Insulation'!Z496)</f>
        <v/>
      </c>
      <c r="J478" s="480"/>
    </row>
    <row r="479" spans="2:10" s="1" customFormat="1" x14ac:dyDescent="0.25">
      <c r="B479" s="76">
        <f>'Pipe Insulation'!B497</f>
        <v>464</v>
      </c>
      <c r="C479" s="76" t="str">
        <f>IF('Pipe Insulation'!C497="", "", 'Pipe Insulation'!C497)</f>
        <v/>
      </c>
      <c r="D479" s="76" t="str">
        <f>IF('Pipe Insulation'!D497="", "", 'Pipe Insulation'!D497)</f>
        <v/>
      </c>
      <c r="E479" s="69" t="str">
        <f>IF('Pipe Insulation'!E497="", "", 'Pipe Insulation'!E497)</f>
        <v/>
      </c>
      <c r="F479" s="76" t="str">
        <f>IFERROR(VLOOKUP('Pipe Insulation'!G497,'Pipe Insulation'!$AM$142:$AN$149,2,FALSE),"")</f>
        <v/>
      </c>
      <c r="G479" s="86" t="str">
        <f>IF('Pipe Insulation'!W497="", "", 'Pipe Insulation'!W497)</f>
        <v/>
      </c>
      <c r="H479" s="76" t="str">
        <f>IFERROR(VLOOKUP('Pipe Insulation'!Y497,'Pipe Insulation'!$AM$152:$AN$153,2,FALSE),"")</f>
        <v/>
      </c>
      <c r="I479" s="68" t="str">
        <f>IF('Pipe Insulation'!Z497="", "", 'Pipe Insulation'!Z497)</f>
        <v/>
      </c>
      <c r="J479" s="480"/>
    </row>
    <row r="480" spans="2:10" s="1" customFormat="1" x14ac:dyDescent="0.25">
      <c r="B480" s="76">
        <f>'Pipe Insulation'!B498</f>
        <v>465</v>
      </c>
      <c r="C480" s="76" t="str">
        <f>IF('Pipe Insulation'!C498="", "", 'Pipe Insulation'!C498)</f>
        <v/>
      </c>
      <c r="D480" s="76" t="str">
        <f>IF('Pipe Insulation'!D498="", "", 'Pipe Insulation'!D498)</f>
        <v/>
      </c>
      <c r="E480" s="69" t="str">
        <f>IF('Pipe Insulation'!E498="", "", 'Pipe Insulation'!E498)</f>
        <v/>
      </c>
      <c r="F480" s="76" t="str">
        <f>IFERROR(VLOOKUP('Pipe Insulation'!G498,'Pipe Insulation'!$AM$142:$AN$149,2,FALSE),"")</f>
        <v/>
      </c>
      <c r="G480" s="86" t="str">
        <f>IF('Pipe Insulation'!W498="", "", 'Pipe Insulation'!W498)</f>
        <v/>
      </c>
      <c r="H480" s="76" t="str">
        <f>IFERROR(VLOOKUP('Pipe Insulation'!Y498,'Pipe Insulation'!$AM$152:$AN$153,2,FALSE),"")</f>
        <v/>
      </c>
      <c r="I480" s="68" t="str">
        <f>IF('Pipe Insulation'!Z498="", "", 'Pipe Insulation'!Z498)</f>
        <v/>
      </c>
      <c r="J480" s="480"/>
    </row>
    <row r="481" spans="2:10" s="1" customFormat="1" x14ac:dyDescent="0.25">
      <c r="B481" s="76">
        <f>'Pipe Insulation'!B499</f>
        <v>466</v>
      </c>
      <c r="C481" s="76" t="str">
        <f>IF('Pipe Insulation'!C499="", "", 'Pipe Insulation'!C499)</f>
        <v/>
      </c>
      <c r="D481" s="76" t="str">
        <f>IF('Pipe Insulation'!D499="", "", 'Pipe Insulation'!D499)</f>
        <v/>
      </c>
      <c r="E481" s="69" t="str">
        <f>IF('Pipe Insulation'!E499="", "", 'Pipe Insulation'!E499)</f>
        <v/>
      </c>
      <c r="F481" s="76" t="str">
        <f>IFERROR(VLOOKUP('Pipe Insulation'!G499,'Pipe Insulation'!$AM$142:$AN$149,2,FALSE),"")</f>
        <v/>
      </c>
      <c r="G481" s="86" t="str">
        <f>IF('Pipe Insulation'!W499="", "", 'Pipe Insulation'!W499)</f>
        <v/>
      </c>
      <c r="H481" s="76" t="str">
        <f>IFERROR(VLOOKUP('Pipe Insulation'!Y499,'Pipe Insulation'!$AM$152:$AN$153,2,FALSE),"")</f>
        <v/>
      </c>
      <c r="I481" s="68" t="str">
        <f>IF('Pipe Insulation'!Z499="", "", 'Pipe Insulation'!Z499)</f>
        <v/>
      </c>
      <c r="J481" s="480"/>
    </row>
    <row r="482" spans="2:10" s="1" customFormat="1" x14ac:dyDescent="0.25">
      <c r="B482" s="76">
        <f>'Pipe Insulation'!B500</f>
        <v>467</v>
      </c>
      <c r="C482" s="76" t="str">
        <f>IF('Pipe Insulation'!C500="", "", 'Pipe Insulation'!C500)</f>
        <v/>
      </c>
      <c r="D482" s="76" t="str">
        <f>IF('Pipe Insulation'!D500="", "", 'Pipe Insulation'!D500)</f>
        <v/>
      </c>
      <c r="E482" s="69" t="str">
        <f>IF('Pipe Insulation'!E500="", "", 'Pipe Insulation'!E500)</f>
        <v/>
      </c>
      <c r="F482" s="76" t="str">
        <f>IFERROR(VLOOKUP('Pipe Insulation'!G500,'Pipe Insulation'!$AM$142:$AN$149,2,FALSE),"")</f>
        <v/>
      </c>
      <c r="G482" s="86" t="str">
        <f>IF('Pipe Insulation'!W500="", "", 'Pipe Insulation'!W500)</f>
        <v/>
      </c>
      <c r="H482" s="76" t="str">
        <f>IFERROR(VLOOKUP('Pipe Insulation'!Y500,'Pipe Insulation'!$AM$152:$AN$153,2,FALSE),"")</f>
        <v/>
      </c>
      <c r="I482" s="68" t="str">
        <f>IF('Pipe Insulation'!Z500="", "", 'Pipe Insulation'!Z500)</f>
        <v/>
      </c>
      <c r="J482" s="480"/>
    </row>
    <row r="483" spans="2:10" s="1" customFormat="1" x14ac:dyDescent="0.25">
      <c r="B483" s="76">
        <f>'Pipe Insulation'!B501</f>
        <v>468</v>
      </c>
      <c r="C483" s="76" t="str">
        <f>IF('Pipe Insulation'!C501="", "", 'Pipe Insulation'!C501)</f>
        <v/>
      </c>
      <c r="D483" s="76" t="str">
        <f>IF('Pipe Insulation'!D501="", "", 'Pipe Insulation'!D501)</f>
        <v/>
      </c>
      <c r="E483" s="69" t="str">
        <f>IF('Pipe Insulation'!E501="", "", 'Pipe Insulation'!E501)</f>
        <v/>
      </c>
      <c r="F483" s="76" t="str">
        <f>IFERROR(VLOOKUP('Pipe Insulation'!G501,'Pipe Insulation'!$AM$142:$AN$149,2,FALSE),"")</f>
        <v/>
      </c>
      <c r="G483" s="86" t="str">
        <f>IF('Pipe Insulation'!W501="", "", 'Pipe Insulation'!W501)</f>
        <v/>
      </c>
      <c r="H483" s="76" t="str">
        <f>IFERROR(VLOOKUP('Pipe Insulation'!Y501,'Pipe Insulation'!$AM$152:$AN$153,2,FALSE),"")</f>
        <v/>
      </c>
      <c r="I483" s="68" t="str">
        <f>IF('Pipe Insulation'!Z501="", "", 'Pipe Insulation'!Z501)</f>
        <v/>
      </c>
      <c r="J483" s="480"/>
    </row>
    <row r="484" spans="2:10" s="1" customFormat="1" x14ac:dyDescent="0.25">
      <c r="B484" s="76">
        <f>'Pipe Insulation'!B502</f>
        <v>469</v>
      </c>
      <c r="C484" s="76" t="str">
        <f>IF('Pipe Insulation'!C502="", "", 'Pipe Insulation'!C502)</f>
        <v/>
      </c>
      <c r="D484" s="76" t="str">
        <f>IF('Pipe Insulation'!D502="", "", 'Pipe Insulation'!D502)</f>
        <v/>
      </c>
      <c r="E484" s="69" t="str">
        <f>IF('Pipe Insulation'!E502="", "", 'Pipe Insulation'!E502)</f>
        <v/>
      </c>
      <c r="F484" s="76" t="str">
        <f>IFERROR(VLOOKUP('Pipe Insulation'!G502,'Pipe Insulation'!$AM$142:$AN$149,2,FALSE),"")</f>
        <v/>
      </c>
      <c r="G484" s="86" t="str">
        <f>IF('Pipe Insulation'!W502="", "", 'Pipe Insulation'!W502)</f>
        <v/>
      </c>
      <c r="H484" s="76" t="str">
        <f>IFERROR(VLOOKUP('Pipe Insulation'!Y502,'Pipe Insulation'!$AM$152:$AN$153,2,FALSE),"")</f>
        <v/>
      </c>
      <c r="I484" s="68" t="str">
        <f>IF('Pipe Insulation'!Z502="", "", 'Pipe Insulation'!Z502)</f>
        <v/>
      </c>
      <c r="J484" s="480"/>
    </row>
    <row r="485" spans="2:10" s="1" customFormat="1" x14ac:dyDescent="0.25">
      <c r="B485" s="76">
        <f>'Pipe Insulation'!B503</f>
        <v>470</v>
      </c>
      <c r="C485" s="76" t="str">
        <f>IF('Pipe Insulation'!C503="", "", 'Pipe Insulation'!C503)</f>
        <v/>
      </c>
      <c r="D485" s="76" t="str">
        <f>IF('Pipe Insulation'!D503="", "", 'Pipe Insulation'!D503)</f>
        <v/>
      </c>
      <c r="E485" s="69" t="str">
        <f>IF('Pipe Insulation'!E503="", "", 'Pipe Insulation'!E503)</f>
        <v/>
      </c>
      <c r="F485" s="76" t="str">
        <f>IFERROR(VLOOKUP('Pipe Insulation'!G503,'Pipe Insulation'!$AM$142:$AN$149,2,FALSE),"")</f>
        <v/>
      </c>
      <c r="G485" s="86" t="str">
        <f>IF('Pipe Insulation'!W503="", "", 'Pipe Insulation'!W503)</f>
        <v/>
      </c>
      <c r="H485" s="76" t="str">
        <f>IFERROR(VLOOKUP('Pipe Insulation'!Y503,'Pipe Insulation'!$AM$152:$AN$153,2,FALSE),"")</f>
        <v/>
      </c>
      <c r="I485" s="68" t="str">
        <f>IF('Pipe Insulation'!Z503="", "", 'Pipe Insulation'!Z503)</f>
        <v/>
      </c>
      <c r="J485" s="480"/>
    </row>
    <row r="486" spans="2:10" s="1" customFormat="1" x14ac:dyDescent="0.25">
      <c r="B486" s="76">
        <f>'Pipe Insulation'!B504</f>
        <v>471</v>
      </c>
      <c r="C486" s="76" t="str">
        <f>IF('Pipe Insulation'!C504="", "", 'Pipe Insulation'!C504)</f>
        <v/>
      </c>
      <c r="D486" s="76" t="str">
        <f>IF('Pipe Insulation'!D504="", "", 'Pipe Insulation'!D504)</f>
        <v/>
      </c>
      <c r="E486" s="69" t="str">
        <f>IF('Pipe Insulation'!E504="", "", 'Pipe Insulation'!E504)</f>
        <v/>
      </c>
      <c r="F486" s="76" t="str">
        <f>IFERROR(VLOOKUP('Pipe Insulation'!G504,'Pipe Insulation'!$AM$142:$AN$149,2,FALSE),"")</f>
        <v/>
      </c>
      <c r="G486" s="86" t="str">
        <f>IF('Pipe Insulation'!W504="", "", 'Pipe Insulation'!W504)</f>
        <v/>
      </c>
      <c r="H486" s="76" t="str">
        <f>IFERROR(VLOOKUP('Pipe Insulation'!Y504,'Pipe Insulation'!$AM$152:$AN$153,2,FALSE),"")</f>
        <v/>
      </c>
      <c r="I486" s="68" t="str">
        <f>IF('Pipe Insulation'!Z504="", "", 'Pipe Insulation'!Z504)</f>
        <v/>
      </c>
      <c r="J486" s="480"/>
    </row>
    <row r="487" spans="2:10" s="1" customFormat="1" x14ac:dyDescent="0.25">
      <c r="B487" s="76">
        <f>'Pipe Insulation'!B505</f>
        <v>472</v>
      </c>
      <c r="C487" s="76" t="str">
        <f>IF('Pipe Insulation'!C505="", "", 'Pipe Insulation'!C505)</f>
        <v/>
      </c>
      <c r="D487" s="76" t="str">
        <f>IF('Pipe Insulation'!D505="", "", 'Pipe Insulation'!D505)</f>
        <v/>
      </c>
      <c r="E487" s="69" t="str">
        <f>IF('Pipe Insulation'!E505="", "", 'Pipe Insulation'!E505)</f>
        <v/>
      </c>
      <c r="F487" s="76" t="str">
        <f>IFERROR(VLOOKUP('Pipe Insulation'!G505,'Pipe Insulation'!$AM$142:$AN$149,2,FALSE),"")</f>
        <v/>
      </c>
      <c r="G487" s="86" t="str">
        <f>IF('Pipe Insulation'!W505="", "", 'Pipe Insulation'!W505)</f>
        <v/>
      </c>
      <c r="H487" s="76" t="str">
        <f>IFERROR(VLOOKUP('Pipe Insulation'!Y505,'Pipe Insulation'!$AM$152:$AN$153,2,FALSE),"")</f>
        <v/>
      </c>
      <c r="I487" s="68" t="str">
        <f>IF('Pipe Insulation'!Z505="", "", 'Pipe Insulation'!Z505)</f>
        <v/>
      </c>
      <c r="J487" s="480"/>
    </row>
    <row r="488" spans="2:10" s="1" customFormat="1" x14ac:dyDescent="0.25">
      <c r="B488" s="76">
        <f>'Pipe Insulation'!B506</f>
        <v>473</v>
      </c>
      <c r="C488" s="76" t="str">
        <f>IF('Pipe Insulation'!C506="", "", 'Pipe Insulation'!C506)</f>
        <v/>
      </c>
      <c r="D488" s="76" t="str">
        <f>IF('Pipe Insulation'!D506="", "", 'Pipe Insulation'!D506)</f>
        <v/>
      </c>
      <c r="E488" s="69" t="str">
        <f>IF('Pipe Insulation'!E506="", "", 'Pipe Insulation'!E506)</f>
        <v/>
      </c>
      <c r="F488" s="76" t="str">
        <f>IFERROR(VLOOKUP('Pipe Insulation'!G506,'Pipe Insulation'!$AM$142:$AN$149,2,FALSE),"")</f>
        <v/>
      </c>
      <c r="G488" s="86" t="str">
        <f>IF('Pipe Insulation'!W506="", "", 'Pipe Insulation'!W506)</f>
        <v/>
      </c>
      <c r="H488" s="76" t="str">
        <f>IFERROR(VLOOKUP('Pipe Insulation'!Y506,'Pipe Insulation'!$AM$152:$AN$153,2,FALSE),"")</f>
        <v/>
      </c>
      <c r="I488" s="68" t="str">
        <f>IF('Pipe Insulation'!Z506="", "", 'Pipe Insulation'!Z506)</f>
        <v/>
      </c>
      <c r="J488" s="480"/>
    </row>
    <row r="489" spans="2:10" s="1" customFormat="1" x14ac:dyDescent="0.25">
      <c r="B489" s="76">
        <f>'Pipe Insulation'!B507</f>
        <v>474</v>
      </c>
      <c r="C489" s="76" t="str">
        <f>IF('Pipe Insulation'!C507="", "", 'Pipe Insulation'!C507)</f>
        <v/>
      </c>
      <c r="D489" s="76" t="str">
        <f>IF('Pipe Insulation'!D507="", "", 'Pipe Insulation'!D507)</f>
        <v/>
      </c>
      <c r="E489" s="69" t="str">
        <f>IF('Pipe Insulation'!E507="", "", 'Pipe Insulation'!E507)</f>
        <v/>
      </c>
      <c r="F489" s="76" t="str">
        <f>IFERROR(VLOOKUP('Pipe Insulation'!G507,'Pipe Insulation'!$AM$142:$AN$149,2,FALSE),"")</f>
        <v/>
      </c>
      <c r="G489" s="86" t="str">
        <f>IF('Pipe Insulation'!W507="", "", 'Pipe Insulation'!W507)</f>
        <v/>
      </c>
      <c r="H489" s="76" t="str">
        <f>IFERROR(VLOOKUP('Pipe Insulation'!Y507,'Pipe Insulation'!$AM$152:$AN$153,2,FALSE),"")</f>
        <v/>
      </c>
      <c r="I489" s="68" t="str">
        <f>IF('Pipe Insulation'!Z507="", "", 'Pipe Insulation'!Z507)</f>
        <v/>
      </c>
      <c r="J489" s="480"/>
    </row>
    <row r="490" spans="2:10" s="1" customFormat="1" x14ac:dyDescent="0.25">
      <c r="B490" s="76">
        <f>'Pipe Insulation'!B508</f>
        <v>475</v>
      </c>
      <c r="C490" s="76" t="str">
        <f>IF('Pipe Insulation'!C508="", "", 'Pipe Insulation'!C508)</f>
        <v/>
      </c>
      <c r="D490" s="76" t="str">
        <f>IF('Pipe Insulation'!D508="", "", 'Pipe Insulation'!D508)</f>
        <v/>
      </c>
      <c r="E490" s="69" t="str">
        <f>IF('Pipe Insulation'!E508="", "", 'Pipe Insulation'!E508)</f>
        <v/>
      </c>
      <c r="F490" s="76" t="str">
        <f>IFERROR(VLOOKUP('Pipe Insulation'!G508,'Pipe Insulation'!$AM$142:$AN$149,2,FALSE),"")</f>
        <v/>
      </c>
      <c r="G490" s="86" t="str">
        <f>IF('Pipe Insulation'!W508="", "", 'Pipe Insulation'!W508)</f>
        <v/>
      </c>
      <c r="H490" s="76" t="str">
        <f>IFERROR(VLOOKUP('Pipe Insulation'!Y508,'Pipe Insulation'!$AM$152:$AN$153,2,FALSE),"")</f>
        <v/>
      </c>
      <c r="I490" s="68" t="str">
        <f>IF('Pipe Insulation'!Z508="", "", 'Pipe Insulation'!Z508)</f>
        <v/>
      </c>
      <c r="J490" s="480"/>
    </row>
    <row r="491" spans="2:10" s="1" customFormat="1" x14ac:dyDescent="0.25">
      <c r="B491" s="76">
        <f>'Pipe Insulation'!B509</f>
        <v>476</v>
      </c>
      <c r="C491" s="76" t="str">
        <f>IF('Pipe Insulation'!C509="", "", 'Pipe Insulation'!C509)</f>
        <v/>
      </c>
      <c r="D491" s="76" t="str">
        <f>IF('Pipe Insulation'!D509="", "", 'Pipe Insulation'!D509)</f>
        <v/>
      </c>
      <c r="E491" s="69" t="str">
        <f>IF('Pipe Insulation'!E509="", "", 'Pipe Insulation'!E509)</f>
        <v/>
      </c>
      <c r="F491" s="76" t="str">
        <f>IFERROR(VLOOKUP('Pipe Insulation'!G509,'Pipe Insulation'!$AM$142:$AN$149,2,FALSE),"")</f>
        <v/>
      </c>
      <c r="G491" s="86" t="str">
        <f>IF('Pipe Insulation'!W509="", "", 'Pipe Insulation'!W509)</f>
        <v/>
      </c>
      <c r="H491" s="76" t="str">
        <f>IFERROR(VLOOKUP('Pipe Insulation'!Y509,'Pipe Insulation'!$AM$152:$AN$153,2,FALSE),"")</f>
        <v/>
      </c>
      <c r="I491" s="68" t="str">
        <f>IF('Pipe Insulation'!Z509="", "", 'Pipe Insulation'!Z509)</f>
        <v/>
      </c>
      <c r="J491" s="480"/>
    </row>
    <row r="492" spans="2:10" s="1" customFormat="1" x14ac:dyDescent="0.25">
      <c r="B492" s="76">
        <f>'Pipe Insulation'!B510</f>
        <v>477</v>
      </c>
      <c r="C492" s="76" t="str">
        <f>IF('Pipe Insulation'!C510="", "", 'Pipe Insulation'!C510)</f>
        <v/>
      </c>
      <c r="D492" s="76" t="str">
        <f>IF('Pipe Insulation'!D510="", "", 'Pipe Insulation'!D510)</f>
        <v/>
      </c>
      <c r="E492" s="69" t="str">
        <f>IF('Pipe Insulation'!E510="", "", 'Pipe Insulation'!E510)</f>
        <v/>
      </c>
      <c r="F492" s="76" t="str">
        <f>IFERROR(VLOOKUP('Pipe Insulation'!G510,'Pipe Insulation'!$AM$142:$AN$149,2,FALSE),"")</f>
        <v/>
      </c>
      <c r="G492" s="86" t="str">
        <f>IF('Pipe Insulation'!W510="", "", 'Pipe Insulation'!W510)</f>
        <v/>
      </c>
      <c r="H492" s="76" t="str">
        <f>IFERROR(VLOOKUP('Pipe Insulation'!Y510,'Pipe Insulation'!$AM$152:$AN$153,2,FALSE),"")</f>
        <v/>
      </c>
      <c r="I492" s="68" t="str">
        <f>IF('Pipe Insulation'!Z510="", "", 'Pipe Insulation'!Z510)</f>
        <v/>
      </c>
      <c r="J492" s="480"/>
    </row>
    <row r="493" spans="2:10" s="1" customFormat="1" x14ac:dyDescent="0.25">
      <c r="B493" s="76">
        <f>'Pipe Insulation'!B511</f>
        <v>478</v>
      </c>
      <c r="C493" s="76" t="str">
        <f>IF('Pipe Insulation'!C511="", "", 'Pipe Insulation'!C511)</f>
        <v/>
      </c>
      <c r="D493" s="76" t="str">
        <f>IF('Pipe Insulation'!D511="", "", 'Pipe Insulation'!D511)</f>
        <v/>
      </c>
      <c r="E493" s="69" t="str">
        <f>IF('Pipe Insulation'!E511="", "", 'Pipe Insulation'!E511)</f>
        <v/>
      </c>
      <c r="F493" s="76" t="str">
        <f>IFERROR(VLOOKUP('Pipe Insulation'!G511,'Pipe Insulation'!$AM$142:$AN$149,2,FALSE),"")</f>
        <v/>
      </c>
      <c r="G493" s="86" t="str">
        <f>IF('Pipe Insulation'!W511="", "", 'Pipe Insulation'!W511)</f>
        <v/>
      </c>
      <c r="H493" s="76" t="str">
        <f>IFERROR(VLOOKUP('Pipe Insulation'!Y511,'Pipe Insulation'!$AM$152:$AN$153,2,FALSE),"")</f>
        <v/>
      </c>
      <c r="I493" s="68" t="str">
        <f>IF('Pipe Insulation'!Z511="", "", 'Pipe Insulation'!Z511)</f>
        <v/>
      </c>
      <c r="J493" s="480"/>
    </row>
    <row r="494" spans="2:10" s="1" customFormat="1" x14ac:dyDescent="0.25">
      <c r="B494" s="76">
        <f>'Pipe Insulation'!B512</f>
        <v>479</v>
      </c>
      <c r="C494" s="76" t="str">
        <f>IF('Pipe Insulation'!C512="", "", 'Pipe Insulation'!C512)</f>
        <v/>
      </c>
      <c r="D494" s="76" t="str">
        <f>IF('Pipe Insulation'!D512="", "", 'Pipe Insulation'!D512)</f>
        <v/>
      </c>
      <c r="E494" s="69" t="str">
        <f>IF('Pipe Insulation'!E512="", "", 'Pipe Insulation'!E512)</f>
        <v/>
      </c>
      <c r="F494" s="76" t="str">
        <f>IFERROR(VLOOKUP('Pipe Insulation'!G512,'Pipe Insulation'!$AM$142:$AN$149,2,FALSE),"")</f>
        <v/>
      </c>
      <c r="G494" s="86" t="str">
        <f>IF('Pipe Insulation'!W512="", "", 'Pipe Insulation'!W512)</f>
        <v/>
      </c>
      <c r="H494" s="76" t="str">
        <f>IFERROR(VLOOKUP('Pipe Insulation'!Y512,'Pipe Insulation'!$AM$152:$AN$153,2,FALSE),"")</f>
        <v/>
      </c>
      <c r="I494" s="68" t="str">
        <f>IF('Pipe Insulation'!Z512="", "", 'Pipe Insulation'!Z512)</f>
        <v/>
      </c>
      <c r="J494" s="480"/>
    </row>
    <row r="495" spans="2:10" s="1" customFormat="1" x14ac:dyDescent="0.25">
      <c r="B495" s="76">
        <f>'Pipe Insulation'!B513</f>
        <v>480</v>
      </c>
      <c r="C495" s="76" t="str">
        <f>IF('Pipe Insulation'!C513="", "", 'Pipe Insulation'!C513)</f>
        <v/>
      </c>
      <c r="D495" s="76" t="str">
        <f>IF('Pipe Insulation'!D513="", "", 'Pipe Insulation'!D513)</f>
        <v/>
      </c>
      <c r="E495" s="69" t="str">
        <f>IF('Pipe Insulation'!E513="", "", 'Pipe Insulation'!E513)</f>
        <v/>
      </c>
      <c r="F495" s="76" t="str">
        <f>IFERROR(VLOOKUP('Pipe Insulation'!G513,'Pipe Insulation'!$AM$142:$AN$149,2,FALSE),"")</f>
        <v/>
      </c>
      <c r="G495" s="86" t="str">
        <f>IF('Pipe Insulation'!W513="", "", 'Pipe Insulation'!W513)</f>
        <v/>
      </c>
      <c r="H495" s="76" t="str">
        <f>IFERROR(VLOOKUP('Pipe Insulation'!Y513,'Pipe Insulation'!$AM$152:$AN$153,2,FALSE),"")</f>
        <v/>
      </c>
      <c r="I495" s="68" t="str">
        <f>IF('Pipe Insulation'!Z513="", "", 'Pipe Insulation'!Z513)</f>
        <v/>
      </c>
      <c r="J495" s="480"/>
    </row>
    <row r="496" spans="2:10" s="1" customFormat="1" x14ac:dyDescent="0.25">
      <c r="B496" s="76">
        <f>'Pipe Insulation'!B514</f>
        <v>481</v>
      </c>
      <c r="C496" s="76" t="str">
        <f>IF('Pipe Insulation'!C514="", "", 'Pipe Insulation'!C514)</f>
        <v/>
      </c>
      <c r="D496" s="76" t="str">
        <f>IF('Pipe Insulation'!D514="", "", 'Pipe Insulation'!D514)</f>
        <v/>
      </c>
      <c r="E496" s="69" t="str">
        <f>IF('Pipe Insulation'!E514="", "", 'Pipe Insulation'!E514)</f>
        <v/>
      </c>
      <c r="F496" s="76" t="str">
        <f>IFERROR(VLOOKUP('Pipe Insulation'!G514,'Pipe Insulation'!$AM$142:$AN$149,2,FALSE),"")</f>
        <v/>
      </c>
      <c r="G496" s="86" t="str">
        <f>IF('Pipe Insulation'!W514="", "", 'Pipe Insulation'!W514)</f>
        <v/>
      </c>
      <c r="H496" s="76" t="str">
        <f>IFERROR(VLOOKUP('Pipe Insulation'!Y514,'Pipe Insulation'!$AM$152:$AN$153,2,FALSE),"")</f>
        <v/>
      </c>
      <c r="I496" s="68" t="str">
        <f>IF('Pipe Insulation'!Z514="", "", 'Pipe Insulation'!Z514)</f>
        <v/>
      </c>
      <c r="J496" s="480"/>
    </row>
    <row r="497" spans="2:10" s="1" customFormat="1" x14ac:dyDescent="0.25">
      <c r="B497" s="76">
        <f>'Pipe Insulation'!B515</f>
        <v>482</v>
      </c>
      <c r="C497" s="76" t="str">
        <f>IF('Pipe Insulation'!C515="", "", 'Pipe Insulation'!C515)</f>
        <v/>
      </c>
      <c r="D497" s="76" t="str">
        <f>IF('Pipe Insulation'!D515="", "", 'Pipe Insulation'!D515)</f>
        <v/>
      </c>
      <c r="E497" s="69" t="str">
        <f>IF('Pipe Insulation'!E515="", "", 'Pipe Insulation'!E515)</f>
        <v/>
      </c>
      <c r="F497" s="76" t="str">
        <f>IFERROR(VLOOKUP('Pipe Insulation'!G515,'Pipe Insulation'!$AM$142:$AN$149,2,FALSE),"")</f>
        <v/>
      </c>
      <c r="G497" s="86" t="str">
        <f>IF('Pipe Insulation'!W515="", "", 'Pipe Insulation'!W515)</f>
        <v/>
      </c>
      <c r="H497" s="76" t="str">
        <f>IFERROR(VLOOKUP('Pipe Insulation'!Y515,'Pipe Insulation'!$AM$152:$AN$153,2,FALSE),"")</f>
        <v/>
      </c>
      <c r="I497" s="68" t="str">
        <f>IF('Pipe Insulation'!Z515="", "", 'Pipe Insulation'!Z515)</f>
        <v/>
      </c>
      <c r="J497" s="480"/>
    </row>
    <row r="498" spans="2:10" s="1" customFormat="1" x14ac:dyDescent="0.25">
      <c r="B498" s="76">
        <f>'Pipe Insulation'!B516</f>
        <v>483</v>
      </c>
      <c r="C498" s="76" t="str">
        <f>IF('Pipe Insulation'!C516="", "", 'Pipe Insulation'!C516)</f>
        <v/>
      </c>
      <c r="D498" s="76" t="str">
        <f>IF('Pipe Insulation'!D516="", "", 'Pipe Insulation'!D516)</f>
        <v/>
      </c>
      <c r="E498" s="69" t="str">
        <f>IF('Pipe Insulation'!E516="", "", 'Pipe Insulation'!E516)</f>
        <v/>
      </c>
      <c r="F498" s="76" t="str">
        <f>IFERROR(VLOOKUP('Pipe Insulation'!G516,'Pipe Insulation'!$AM$142:$AN$149,2,FALSE),"")</f>
        <v/>
      </c>
      <c r="G498" s="86" t="str">
        <f>IF('Pipe Insulation'!W516="", "", 'Pipe Insulation'!W516)</f>
        <v/>
      </c>
      <c r="H498" s="76" t="str">
        <f>IFERROR(VLOOKUP('Pipe Insulation'!Y516,'Pipe Insulation'!$AM$152:$AN$153,2,FALSE),"")</f>
        <v/>
      </c>
      <c r="I498" s="68" t="str">
        <f>IF('Pipe Insulation'!Z516="", "", 'Pipe Insulation'!Z516)</f>
        <v/>
      </c>
      <c r="J498" s="480"/>
    </row>
    <row r="499" spans="2:10" s="1" customFormat="1" x14ac:dyDescent="0.25">
      <c r="B499" s="76">
        <f>'Pipe Insulation'!B517</f>
        <v>484</v>
      </c>
      <c r="C499" s="76" t="str">
        <f>IF('Pipe Insulation'!C517="", "", 'Pipe Insulation'!C517)</f>
        <v/>
      </c>
      <c r="D499" s="76" t="str">
        <f>IF('Pipe Insulation'!D517="", "", 'Pipe Insulation'!D517)</f>
        <v/>
      </c>
      <c r="E499" s="69" t="str">
        <f>IF('Pipe Insulation'!E517="", "", 'Pipe Insulation'!E517)</f>
        <v/>
      </c>
      <c r="F499" s="76" t="str">
        <f>IFERROR(VLOOKUP('Pipe Insulation'!G517,'Pipe Insulation'!$AM$142:$AN$149,2,FALSE),"")</f>
        <v/>
      </c>
      <c r="G499" s="86" t="str">
        <f>IF('Pipe Insulation'!W517="", "", 'Pipe Insulation'!W517)</f>
        <v/>
      </c>
      <c r="H499" s="76" t="str">
        <f>IFERROR(VLOOKUP('Pipe Insulation'!Y517,'Pipe Insulation'!$AM$152:$AN$153,2,FALSE),"")</f>
        <v/>
      </c>
      <c r="I499" s="68" t="str">
        <f>IF('Pipe Insulation'!Z517="", "", 'Pipe Insulation'!Z517)</f>
        <v/>
      </c>
      <c r="J499" s="480"/>
    </row>
    <row r="500" spans="2:10" s="1" customFormat="1" x14ac:dyDescent="0.25">
      <c r="B500" s="76">
        <f>'Pipe Insulation'!B518</f>
        <v>485</v>
      </c>
      <c r="C500" s="76" t="str">
        <f>IF('Pipe Insulation'!C518="", "", 'Pipe Insulation'!C518)</f>
        <v/>
      </c>
      <c r="D500" s="76" t="str">
        <f>IF('Pipe Insulation'!D518="", "", 'Pipe Insulation'!D518)</f>
        <v/>
      </c>
      <c r="E500" s="69" t="str">
        <f>IF('Pipe Insulation'!E518="", "", 'Pipe Insulation'!E518)</f>
        <v/>
      </c>
      <c r="F500" s="76" t="str">
        <f>IFERROR(VLOOKUP('Pipe Insulation'!G518,'Pipe Insulation'!$AM$142:$AN$149,2,FALSE),"")</f>
        <v/>
      </c>
      <c r="G500" s="86" t="str">
        <f>IF('Pipe Insulation'!W518="", "", 'Pipe Insulation'!W518)</f>
        <v/>
      </c>
      <c r="H500" s="76" t="str">
        <f>IFERROR(VLOOKUP('Pipe Insulation'!Y518,'Pipe Insulation'!$AM$152:$AN$153,2,FALSE),"")</f>
        <v/>
      </c>
      <c r="I500" s="68" t="str">
        <f>IF('Pipe Insulation'!Z518="", "", 'Pipe Insulation'!Z518)</f>
        <v/>
      </c>
      <c r="J500" s="480"/>
    </row>
    <row r="501" spans="2:10" s="1" customFormat="1" x14ac:dyDescent="0.25">
      <c r="B501" s="76">
        <f>'Pipe Insulation'!B519</f>
        <v>486</v>
      </c>
      <c r="C501" s="76" t="str">
        <f>IF('Pipe Insulation'!C519="", "", 'Pipe Insulation'!C519)</f>
        <v/>
      </c>
      <c r="D501" s="76" t="str">
        <f>IF('Pipe Insulation'!D519="", "", 'Pipe Insulation'!D519)</f>
        <v/>
      </c>
      <c r="E501" s="69" t="str">
        <f>IF('Pipe Insulation'!E519="", "", 'Pipe Insulation'!E519)</f>
        <v/>
      </c>
      <c r="F501" s="76" t="str">
        <f>IFERROR(VLOOKUP('Pipe Insulation'!G519,'Pipe Insulation'!$AM$142:$AN$149,2,FALSE),"")</f>
        <v/>
      </c>
      <c r="G501" s="86" t="str">
        <f>IF('Pipe Insulation'!W519="", "", 'Pipe Insulation'!W519)</f>
        <v/>
      </c>
      <c r="H501" s="76" t="str">
        <f>IFERROR(VLOOKUP('Pipe Insulation'!Y519,'Pipe Insulation'!$AM$152:$AN$153,2,FALSE),"")</f>
        <v/>
      </c>
      <c r="I501" s="68" t="str">
        <f>IF('Pipe Insulation'!Z519="", "", 'Pipe Insulation'!Z519)</f>
        <v/>
      </c>
      <c r="J501" s="480"/>
    </row>
    <row r="502" spans="2:10" s="1" customFormat="1" x14ac:dyDescent="0.25">
      <c r="B502" s="76">
        <f>'Pipe Insulation'!B520</f>
        <v>487</v>
      </c>
      <c r="C502" s="76" t="str">
        <f>IF('Pipe Insulation'!C520="", "", 'Pipe Insulation'!C520)</f>
        <v/>
      </c>
      <c r="D502" s="76" t="str">
        <f>IF('Pipe Insulation'!D520="", "", 'Pipe Insulation'!D520)</f>
        <v/>
      </c>
      <c r="E502" s="69" t="str">
        <f>IF('Pipe Insulation'!E520="", "", 'Pipe Insulation'!E520)</f>
        <v/>
      </c>
      <c r="F502" s="76" t="str">
        <f>IFERROR(VLOOKUP('Pipe Insulation'!G520,'Pipe Insulation'!$AM$142:$AN$149,2,FALSE),"")</f>
        <v/>
      </c>
      <c r="G502" s="86" t="str">
        <f>IF('Pipe Insulation'!W520="", "", 'Pipe Insulation'!W520)</f>
        <v/>
      </c>
      <c r="H502" s="76" t="str">
        <f>IFERROR(VLOOKUP('Pipe Insulation'!Y520,'Pipe Insulation'!$AM$152:$AN$153,2,FALSE),"")</f>
        <v/>
      </c>
      <c r="I502" s="68" t="str">
        <f>IF('Pipe Insulation'!Z520="", "", 'Pipe Insulation'!Z520)</f>
        <v/>
      </c>
      <c r="J502" s="480"/>
    </row>
    <row r="503" spans="2:10" s="1" customFormat="1" x14ac:dyDescent="0.25">
      <c r="B503" s="76">
        <f>'Pipe Insulation'!B521</f>
        <v>488</v>
      </c>
      <c r="C503" s="76" t="str">
        <f>IF('Pipe Insulation'!C521="", "", 'Pipe Insulation'!C521)</f>
        <v/>
      </c>
      <c r="D503" s="76" t="str">
        <f>IF('Pipe Insulation'!D521="", "", 'Pipe Insulation'!D521)</f>
        <v/>
      </c>
      <c r="E503" s="69" t="str">
        <f>IF('Pipe Insulation'!E521="", "", 'Pipe Insulation'!E521)</f>
        <v/>
      </c>
      <c r="F503" s="76" t="str">
        <f>IFERROR(VLOOKUP('Pipe Insulation'!G521,'Pipe Insulation'!$AM$142:$AN$149,2,FALSE),"")</f>
        <v/>
      </c>
      <c r="G503" s="86" t="str">
        <f>IF('Pipe Insulation'!W521="", "", 'Pipe Insulation'!W521)</f>
        <v/>
      </c>
      <c r="H503" s="76" t="str">
        <f>IFERROR(VLOOKUP('Pipe Insulation'!Y521,'Pipe Insulation'!$AM$152:$AN$153,2,FALSE),"")</f>
        <v/>
      </c>
      <c r="I503" s="68" t="str">
        <f>IF('Pipe Insulation'!Z521="", "", 'Pipe Insulation'!Z521)</f>
        <v/>
      </c>
      <c r="J503" s="480"/>
    </row>
    <row r="504" spans="2:10" s="1" customFormat="1" x14ac:dyDescent="0.25">
      <c r="B504" s="76">
        <f>'Pipe Insulation'!B522</f>
        <v>489</v>
      </c>
      <c r="C504" s="76" t="str">
        <f>IF('Pipe Insulation'!C522="", "", 'Pipe Insulation'!C522)</f>
        <v/>
      </c>
      <c r="D504" s="76" t="str">
        <f>IF('Pipe Insulation'!D522="", "", 'Pipe Insulation'!D522)</f>
        <v/>
      </c>
      <c r="E504" s="69" t="str">
        <f>IF('Pipe Insulation'!E522="", "", 'Pipe Insulation'!E522)</f>
        <v/>
      </c>
      <c r="F504" s="76" t="str">
        <f>IFERROR(VLOOKUP('Pipe Insulation'!G522,'Pipe Insulation'!$AM$142:$AN$149,2,FALSE),"")</f>
        <v/>
      </c>
      <c r="G504" s="86" t="str">
        <f>IF('Pipe Insulation'!W522="", "", 'Pipe Insulation'!W522)</f>
        <v/>
      </c>
      <c r="H504" s="76" t="str">
        <f>IFERROR(VLOOKUP('Pipe Insulation'!Y522,'Pipe Insulation'!$AM$152:$AN$153,2,FALSE),"")</f>
        <v/>
      </c>
      <c r="I504" s="68" t="str">
        <f>IF('Pipe Insulation'!Z522="", "", 'Pipe Insulation'!Z522)</f>
        <v/>
      </c>
      <c r="J504" s="480"/>
    </row>
    <row r="505" spans="2:10" s="1" customFormat="1" x14ac:dyDescent="0.25">
      <c r="B505" s="76">
        <f>'Pipe Insulation'!B523</f>
        <v>490</v>
      </c>
      <c r="C505" s="76" t="str">
        <f>IF('Pipe Insulation'!C523="", "", 'Pipe Insulation'!C523)</f>
        <v/>
      </c>
      <c r="D505" s="76" t="str">
        <f>IF('Pipe Insulation'!D523="", "", 'Pipe Insulation'!D523)</f>
        <v/>
      </c>
      <c r="E505" s="69" t="str">
        <f>IF('Pipe Insulation'!E523="", "", 'Pipe Insulation'!E523)</f>
        <v/>
      </c>
      <c r="F505" s="76" t="str">
        <f>IFERROR(VLOOKUP('Pipe Insulation'!G523,'Pipe Insulation'!$AM$142:$AN$149,2,FALSE),"")</f>
        <v/>
      </c>
      <c r="G505" s="86" t="str">
        <f>IF('Pipe Insulation'!W523="", "", 'Pipe Insulation'!W523)</f>
        <v/>
      </c>
      <c r="H505" s="76" t="str">
        <f>IFERROR(VLOOKUP('Pipe Insulation'!Y523,'Pipe Insulation'!$AM$152:$AN$153,2,FALSE),"")</f>
        <v/>
      </c>
      <c r="I505" s="68" t="str">
        <f>IF('Pipe Insulation'!Z523="", "", 'Pipe Insulation'!Z523)</f>
        <v/>
      </c>
      <c r="J505" s="480"/>
    </row>
    <row r="506" spans="2:10" s="1" customFormat="1" x14ac:dyDescent="0.25">
      <c r="B506" s="76">
        <f>'Pipe Insulation'!B524</f>
        <v>491</v>
      </c>
      <c r="C506" s="76" t="str">
        <f>IF('Pipe Insulation'!C524="", "", 'Pipe Insulation'!C524)</f>
        <v/>
      </c>
      <c r="D506" s="76" t="str">
        <f>IF('Pipe Insulation'!D524="", "", 'Pipe Insulation'!D524)</f>
        <v/>
      </c>
      <c r="E506" s="69" t="str">
        <f>IF('Pipe Insulation'!E524="", "", 'Pipe Insulation'!E524)</f>
        <v/>
      </c>
      <c r="F506" s="76" t="str">
        <f>IFERROR(VLOOKUP('Pipe Insulation'!G524,'Pipe Insulation'!$AM$142:$AN$149,2,FALSE),"")</f>
        <v/>
      </c>
      <c r="G506" s="86" t="str">
        <f>IF('Pipe Insulation'!W524="", "", 'Pipe Insulation'!W524)</f>
        <v/>
      </c>
      <c r="H506" s="76" t="str">
        <f>IFERROR(VLOOKUP('Pipe Insulation'!Y524,'Pipe Insulation'!$AM$152:$AN$153,2,FALSE),"")</f>
        <v/>
      </c>
      <c r="I506" s="68" t="str">
        <f>IF('Pipe Insulation'!Z524="", "", 'Pipe Insulation'!Z524)</f>
        <v/>
      </c>
      <c r="J506" s="480"/>
    </row>
    <row r="507" spans="2:10" s="1" customFormat="1" x14ac:dyDescent="0.25">
      <c r="B507" s="76">
        <f>'Pipe Insulation'!B525</f>
        <v>492</v>
      </c>
      <c r="C507" s="76" t="str">
        <f>IF('Pipe Insulation'!C525="", "", 'Pipe Insulation'!C525)</f>
        <v/>
      </c>
      <c r="D507" s="76" t="str">
        <f>IF('Pipe Insulation'!D525="", "", 'Pipe Insulation'!D525)</f>
        <v/>
      </c>
      <c r="E507" s="69" t="str">
        <f>IF('Pipe Insulation'!E525="", "", 'Pipe Insulation'!E525)</f>
        <v/>
      </c>
      <c r="F507" s="76" t="str">
        <f>IFERROR(VLOOKUP('Pipe Insulation'!G525,'Pipe Insulation'!$AM$142:$AN$149,2,FALSE),"")</f>
        <v/>
      </c>
      <c r="G507" s="86" t="str">
        <f>IF('Pipe Insulation'!W525="", "", 'Pipe Insulation'!W525)</f>
        <v/>
      </c>
      <c r="H507" s="76" t="str">
        <f>IFERROR(VLOOKUP('Pipe Insulation'!Y525,'Pipe Insulation'!$AM$152:$AN$153,2,FALSE),"")</f>
        <v/>
      </c>
      <c r="I507" s="68" t="str">
        <f>IF('Pipe Insulation'!Z525="", "", 'Pipe Insulation'!Z525)</f>
        <v/>
      </c>
      <c r="J507" s="480"/>
    </row>
    <row r="508" spans="2:10" s="1" customFormat="1" x14ac:dyDescent="0.25">
      <c r="B508" s="76">
        <f>'Pipe Insulation'!B526</f>
        <v>493</v>
      </c>
      <c r="C508" s="76" t="str">
        <f>IF('Pipe Insulation'!C526="", "", 'Pipe Insulation'!C526)</f>
        <v/>
      </c>
      <c r="D508" s="76" t="str">
        <f>IF('Pipe Insulation'!D526="", "", 'Pipe Insulation'!D526)</f>
        <v/>
      </c>
      <c r="E508" s="69" t="str">
        <f>IF('Pipe Insulation'!E526="", "", 'Pipe Insulation'!E526)</f>
        <v/>
      </c>
      <c r="F508" s="76" t="str">
        <f>IFERROR(VLOOKUP('Pipe Insulation'!G526,'Pipe Insulation'!$AM$142:$AN$149,2,FALSE),"")</f>
        <v/>
      </c>
      <c r="G508" s="86" t="str">
        <f>IF('Pipe Insulation'!W526="", "", 'Pipe Insulation'!W526)</f>
        <v/>
      </c>
      <c r="H508" s="76" t="str">
        <f>IFERROR(VLOOKUP('Pipe Insulation'!Y526,'Pipe Insulation'!$AM$152:$AN$153,2,FALSE),"")</f>
        <v/>
      </c>
      <c r="I508" s="68" t="str">
        <f>IF('Pipe Insulation'!Z526="", "", 'Pipe Insulation'!Z526)</f>
        <v/>
      </c>
      <c r="J508" s="480"/>
    </row>
    <row r="509" spans="2:10" s="1" customFormat="1" x14ac:dyDescent="0.25">
      <c r="B509" s="76">
        <f>'Pipe Insulation'!B527</f>
        <v>494</v>
      </c>
      <c r="C509" s="76" t="str">
        <f>IF('Pipe Insulation'!C527="", "", 'Pipe Insulation'!C527)</f>
        <v/>
      </c>
      <c r="D509" s="76" t="str">
        <f>IF('Pipe Insulation'!D527="", "", 'Pipe Insulation'!D527)</f>
        <v/>
      </c>
      <c r="E509" s="69" t="str">
        <f>IF('Pipe Insulation'!E527="", "", 'Pipe Insulation'!E527)</f>
        <v/>
      </c>
      <c r="F509" s="76" t="str">
        <f>IFERROR(VLOOKUP('Pipe Insulation'!G527,'Pipe Insulation'!$AM$142:$AN$149,2,FALSE),"")</f>
        <v/>
      </c>
      <c r="G509" s="86" t="str">
        <f>IF('Pipe Insulation'!W527="", "", 'Pipe Insulation'!W527)</f>
        <v/>
      </c>
      <c r="H509" s="76" t="str">
        <f>IFERROR(VLOOKUP('Pipe Insulation'!Y527,'Pipe Insulation'!$AM$152:$AN$153,2,FALSE),"")</f>
        <v/>
      </c>
      <c r="I509" s="68" t="str">
        <f>IF('Pipe Insulation'!Z527="", "", 'Pipe Insulation'!Z527)</f>
        <v/>
      </c>
      <c r="J509" s="480"/>
    </row>
    <row r="510" spans="2:10" s="1" customFormat="1" x14ac:dyDescent="0.25">
      <c r="B510" s="76">
        <f>'Pipe Insulation'!B528</f>
        <v>495</v>
      </c>
      <c r="C510" s="76" t="str">
        <f>IF('Pipe Insulation'!C528="", "", 'Pipe Insulation'!C528)</f>
        <v/>
      </c>
      <c r="D510" s="76" t="str">
        <f>IF('Pipe Insulation'!D528="", "", 'Pipe Insulation'!D528)</f>
        <v/>
      </c>
      <c r="E510" s="69" t="str">
        <f>IF('Pipe Insulation'!E528="", "", 'Pipe Insulation'!E528)</f>
        <v/>
      </c>
      <c r="F510" s="76" t="str">
        <f>IFERROR(VLOOKUP('Pipe Insulation'!G528,'Pipe Insulation'!$AM$142:$AN$149,2,FALSE),"")</f>
        <v/>
      </c>
      <c r="G510" s="86" t="str">
        <f>IF('Pipe Insulation'!W528="", "", 'Pipe Insulation'!W528)</f>
        <v/>
      </c>
      <c r="H510" s="76" t="str">
        <f>IFERROR(VLOOKUP('Pipe Insulation'!Y528,'Pipe Insulation'!$AM$152:$AN$153,2,FALSE),"")</f>
        <v/>
      </c>
      <c r="I510" s="68" t="str">
        <f>IF('Pipe Insulation'!Z528="", "", 'Pipe Insulation'!Z528)</f>
        <v/>
      </c>
      <c r="J510" s="480"/>
    </row>
    <row r="511" spans="2:10" s="1" customFormat="1" x14ac:dyDescent="0.25">
      <c r="B511" s="76">
        <f>'Pipe Insulation'!B529</f>
        <v>496</v>
      </c>
      <c r="C511" s="76" t="str">
        <f>IF('Pipe Insulation'!C529="", "", 'Pipe Insulation'!C529)</f>
        <v/>
      </c>
      <c r="D511" s="76" t="str">
        <f>IF('Pipe Insulation'!D529="", "", 'Pipe Insulation'!D529)</f>
        <v/>
      </c>
      <c r="E511" s="69" t="str">
        <f>IF('Pipe Insulation'!E529="", "", 'Pipe Insulation'!E529)</f>
        <v/>
      </c>
      <c r="F511" s="76" t="str">
        <f>IFERROR(VLOOKUP('Pipe Insulation'!G529,'Pipe Insulation'!$AM$142:$AN$149,2,FALSE),"")</f>
        <v/>
      </c>
      <c r="G511" s="86" t="str">
        <f>IF('Pipe Insulation'!W529="", "", 'Pipe Insulation'!W529)</f>
        <v/>
      </c>
      <c r="H511" s="76" t="str">
        <f>IFERROR(VLOOKUP('Pipe Insulation'!Y529,'Pipe Insulation'!$AM$152:$AN$153,2,FALSE),"")</f>
        <v/>
      </c>
      <c r="I511" s="68" t="str">
        <f>IF('Pipe Insulation'!Z529="", "", 'Pipe Insulation'!Z529)</f>
        <v/>
      </c>
      <c r="J511" s="480"/>
    </row>
    <row r="512" spans="2:10" s="1" customFormat="1" x14ac:dyDescent="0.25">
      <c r="B512" s="76">
        <f>'Pipe Insulation'!B530</f>
        <v>497</v>
      </c>
      <c r="C512" s="76" t="str">
        <f>IF('Pipe Insulation'!C530="", "", 'Pipe Insulation'!C530)</f>
        <v/>
      </c>
      <c r="D512" s="76" t="str">
        <f>IF('Pipe Insulation'!D530="", "", 'Pipe Insulation'!D530)</f>
        <v/>
      </c>
      <c r="E512" s="69" t="str">
        <f>IF('Pipe Insulation'!E530="", "", 'Pipe Insulation'!E530)</f>
        <v/>
      </c>
      <c r="F512" s="76" t="str">
        <f>IFERROR(VLOOKUP('Pipe Insulation'!G530,'Pipe Insulation'!$AM$142:$AN$149,2,FALSE),"")</f>
        <v/>
      </c>
      <c r="G512" s="86" t="str">
        <f>IF('Pipe Insulation'!W530="", "", 'Pipe Insulation'!W530)</f>
        <v/>
      </c>
      <c r="H512" s="76" t="str">
        <f>IFERROR(VLOOKUP('Pipe Insulation'!Y530,'Pipe Insulation'!$AM$152:$AN$153,2,FALSE),"")</f>
        <v/>
      </c>
      <c r="I512" s="68" t="str">
        <f>IF('Pipe Insulation'!Z530="", "", 'Pipe Insulation'!Z530)</f>
        <v/>
      </c>
      <c r="J512" s="480"/>
    </row>
    <row r="513" spans="2:10" s="1" customFormat="1" x14ac:dyDescent="0.25">
      <c r="B513" s="76">
        <f>'Pipe Insulation'!B531</f>
        <v>498</v>
      </c>
      <c r="C513" s="76" t="str">
        <f>IF('Pipe Insulation'!C531="", "", 'Pipe Insulation'!C531)</f>
        <v/>
      </c>
      <c r="D513" s="76" t="str">
        <f>IF('Pipe Insulation'!D531="", "", 'Pipe Insulation'!D531)</f>
        <v/>
      </c>
      <c r="E513" s="69" t="str">
        <f>IF('Pipe Insulation'!E531="", "", 'Pipe Insulation'!E531)</f>
        <v/>
      </c>
      <c r="F513" s="76" t="str">
        <f>IFERROR(VLOOKUP('Pipe Insulation'!G531,'Pipe Insulation'!$AM$142:$AN$149,2,FALSE),"")</f>
        <v/>
      </c>
      <c r="G513" s="86" t="str">
        <f>IF('Pipe Insulation'!W531="", "", 'Pipe Insulation'!W531)</f>
        <v/>
      </c>
      <c r="H513" s="76" t="str">
        <f>IFERROR(VLOOKUP('Pipe Insulation'!Y531,'Pipe Insulation'!$AM$152:$AN$153,2,FALSE),"")</f>
        <v/>
      </c>
      <c r="I513" s="68" t="str">
        <f>IF('Pipe Insulation'!Z531="", "", 'Pipe Insulation'!Z531)</f>
        <v/>
      </c>
      <c r="J513" s="480"/>
    </row>
    <row r="514" spans="2:10" s="1" customFormat="1" x14ac:dyDescent="0.25">
      <c r="B514" s="76">
        <f>'Pipe Insulation'!B532</f>
        <v>499</v>
      </c>
      <c r="C514" s="76" t="str">
        <f>IF('Pipe Insulation'!C532="", "", 'Pipe Insulation'!C532)</f>
        <v/>
      </c>
      <c r="D514" s="76" t="str">
        <f>IF('Pipe Insulation'!D532="", "", 'Pipe Insulation'!D532)</f>
        <v/>
      </c>
      <c r="E514" s="69" t="str">
        <f>IF('Pipe Insulation'!E532="", "", 'Pipe Insulation'!E532)</f>
        <v/>
      </c>
      <c r="F514" s="76" t="str">
        <f>IFERROR(VLOOKUP('Pipe Insulation'!G532,'Pipe Insulation'!$AM$142:$AN$149,2,FALSE),"")</f>
        <v/>
      </c>
      <c r="G514" s="86" t="str">
        <f>IF('Pipe Insulation'!W532="", "", 'Pipe Insulation'!W532)</f>
        <v/>
      </c>
      <c r="H514" s="76" t="str">
        <f>IFERROR(VLOOKUP('Pipe Insulation'!Y532,'Pipe Insulation'!$AM$152:$AN$153,2,FALSE),"")</f>
        <v/>
      </c>
      <c r="I514" s="68" t="str">
        <f>IF('Pipe Insulation'!Z532="", "", 'Pipe Insulation'!Z532)</f>
        <v/>
      </c>
      <c r="J514" s="480"/>
    </row>
    <row r="515" spans="2:10" s="1" customFormat="1" x14ac:dyDescent="0.25">
      <c r="B515" s="76">
        <f>'Pipe Insulation'!B533</f>
        <v>500</v>
      </c>
      <c r="C515" s="76" t="str">
        <f>IF('Pipe Insulation'!C533="", "", 'Pipe Insulation'!C533)</f>
        <v/>
      </c>
      <c r="D515" s="76" t="str">
        <f>IF('Pipe Insulation'!D533="", "", 'Pipe Insulation'!D533)</f>
        <v/>
      </c>
      <c r="E515" s="69" t="str">
        <f>IF('Pipe Insulation'!E533="", "", 'Pipe Insulation'!E533)</f>
        <v/>
      </c>
      <c r="F515" s="76" t="str">
        <f>IFERROR(VLOOKUP('Pipe Insulation'!G533,'Pipe Insulation'!$AM$142:$AN$149,2,FALSE),"")</f>
        <v/>
      </c>
      <c r="G515" s="86" t="str">
        <f>IF('Pipe Insulation'!W533="", "", 'Pipe Insulation'!W533)</f>
        <v/>
      </c>
      <c r="H515" s="76" t="str">
        <f>IFERROR(VLOOKUP('Pipe Insulation'!Y533,'Pipe Insulation'!$AM$152:$AN$153,2,FALSE),"")</f>
        <v/>
      </c>
      <c r="I515" s="68" t="str">
        <f>IF('Pipe Insulation'!Z533="", "", 'Pipe Insulation'!Z533)</f>
        <v/>
      </c>
      <c r="J515" s="480"/>
    </row>
  </sheetData>
  <sheetProtection algorithmName="SHA-512" hashValue="vbgheOOT+WyP7+in9UT5As1UefDfk1FswjbupSPXMXs7s0PoG58g+zosI1sysjKaVBoLPMkbdSfDBd/YrFhO9g==" saltValue="YSI02CDf46be6jzC1LUrJg==" spinCount="100000" sheet="1" formatColumns="0" formatRows="0" insertRows="0" deleteRows="0"/>
  <mergeCells count="2">
    <mergeCell ref="F3:I3"/>
    <mergeCell ref="C1:I1"/>
  </mergeCells>
  <conditionalFormatting sqref="I6:I7">
    <cfRule type="expression" dxfId="31" priority="1">
      <formula>ISBLANK($I$6)</formula>
    </cfRule>
  </conditionalFormatting>
  <pageMargins left="0.7" right="0.7" top="0.75" bottom="0.75" header="0.3" footer="0.3"/>
  <pageSetup scale="54" orientation="portrait" r:id="rId1"/>
  <headerFooter>
    <oddFooter>&amp;LPIPE INSULATION - MINIMUM REQUIREMENTS DOCUMENT - APPENDIX&amp;R&amp;P</oddFooter>
  </headerFooter>
  <rowBreaks count="6" manualBreakCount="6">
    <brk id="84" max="16383" man="1"/>
    <brk id="160" min="1" max="9" man="1"/>
    <brk id="236" min="1" max="9" man="1"/>
    <brk id="312" min="1" max="9" man="1"/>
    <brk id="388" min="1" max="9" man="1"/>
    <brk id="464" min="1" max="9" man="1"/>
  </row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98BF5-DE3F-4E97-8920-B39F28F817DA}">
  <dimension ref="C1:J70"/>
  <sheetViews>
    <sheetView topLeftCell="A12" zoomScale="120" zoomScaleNormal="120" workbookViewId="0">
      <selection activeCell="L19" sqref="L19"/>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IFERROR(IF('Roof Insulation'!$AK$24=0, "", IF('Roof Insulation'!$AK$24="LCI", "New York - Electric and Gas Large Commercial and Industrial Program", "New York - Electric and Gas Small Business Program")),"")</f>
        <v/>
      </c>
      <c r="F2" s="1070"/>
      <c r="G2" s="1070"/>
      <c r="H2" s="1070"/>
      <c r="I2" s="1071"/>
      <c r="J2" s="789"/>
    </row>
    <row r="3" spans="3:10" ht="27.75" customHeight="1" x14ac:dyDescent="0.35">
      <c r="C3" s="148"/>
      <c r="D3" s="780"/>
      <c r="E3" s="802"/>
      <c r="F3" s="1072" t="s">
        <v>644</v>
      </c>
      <c r="G3" s="1072"/>
      <c r="H3" s="1072"/>
      <c r="I3" s="1073"/>
      <c r="J3" s="790"/>
    </row>
    <row r="4" spans="3:10" ht="5.25" customHeight="1" x14ac:dyDescent="0.25">
      <c r="C4" s="99"/>
      <c r="D4" s="99"/>
      <c r="E4" s="99"/>
      <c r="F4" s="99"/>
      <c r="G4" s="99"/>
      <c r="H4" s="99"/>
      <c r="I4" s="99"/>
      <c r="J4" s="790"/>
    </row>
    <row r="5" spans="3:10" x14ac:dyDescent="0.25">
      <c r="C5" s="775" t="s">
        <v>645</v>
      </c>
      <c r="D5" s="781" t="str">
        <f>IF('App Cust Info'!$B$12="", "", 'App Cust Info'!$B$12)</f>
        <v/>
      </c>
      <c r="E5" s="777"/>
      <c r="F5" s="777"/>
      <c r="G5" s="777"/>
      <c r="H5" s="775" t="s">
        <v>646</v>
      </c>
      <c r="I5" s="782" t="str">
        <f>IF($D$5="", "", 'Roof Insulation'!$D$6)</f>
        <v/>
      </c>
      <c r="J5" s="790"/>
    </row>
    <row r="6" spans="3:10" x14ac:dyDescent="0.25">
      <c r="C6" s="775" t="s">
        <v>134</v>
      </c>
      <c r="D6" s="776" t="str">
        <f>IF($D$5="", "", 'App Cust Info'!$B$18&amp;", "&amp;'App Cust Info'!$F$18&amp;", "&amp;'App Cust Info'!$I$18&amp;" "&amp;'App Cust Info'!$K$18)</f>
        <v/>
      </c>
      <c r="E6" s="777"/>
      <c r="F6" s="777"/>
      <c r="G6" s="777"/>
      <c r="H6" s="775" t="s">
        <v>647</v>
      </c>
      <c r="I6" s="757"/>
      <c r="J6" s="790"/>
    </row>
    <row r="7" spans="3:10" x14ac:dyDescent="0.25">
      <c r="C7" s="775" t="s">
        <v>648</v>
      </c>
      <c r="D7" s="776" t="str">
        <f>IF($D$5="","","Roof/Attic/Ceiling Insulation")</f>
        <v/>
      </c>
      <c r="E7" s="777"/>
      <c r="F7" s="777"/>
      <c r="G7" s="777"/>
      <c r="H7" s="775" t="s">
        <v>649</v>
      </c>
      <c r="I7" s="757"/>
      <c r="J7" s="790"/>
    </row>
    <row r="8" spans="3:10" ht="6" customHeight="1" x14ac:dyDescent="0.25">
      <c r="C8" s="99"/>
      <c r="D8" s="99"/>
      <c r="E8" s="99"/>
      <c r="F8" s="99"/>
      <c r="G8" s="99"/>
      <c r="H8" s="99"/>
      <c r="I8" s="99"/>
      <c r="J8" s="790"/>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 'Roof Insulation'!$C$9)</f>
        <v/>
      </c>
      <c r="E14" s="1064"/>
      <c r="F14" s="793" t="str">
        <f>IF($D$5="","",'Roof Insulation'!$D$9)</f>
        <v/>
      </c>
      <c r="G14" s="763"/>
      <c r="H14" s="763"/>
      <c r="I14" s="764"/>
      <c r="J14" s="767"/>
    </row>
    <row r="15" spans="3:10" ht="27.75" customHeight="1" x14ac:dyDescent="0.25">
      <c r="C15" s="761"/>
      <c r="D15" s="1064" t="str">
        <f>IF($D$5="","",'Roof Insulation'!$C$8)</f>
        <v/>
      </c>
      <c r="E15" s="1064"/>
      <c r="F15" s="793" t="str">
        <f>IF($D$5="","",'Roof Insulation'!$D$8)</f>
        <v/>
      </c>
      <c r="G15" s="763"/>
      <c r="H15" s="763"/>
      <c r="I15" s="764"/>
      <c r="J15" s="767"/>
    </row>
    <row r="16" spans="3:10" ht="27.75" customHeight="1" x14ac:dyDescent="0.25">
      <c r="C16" s="761"/>
      <c r="D16" s="1064" t="str">
        <f>IF($D$5="", "", 'Roof Insulation'!$C$5)</f>
        <v/>
      </c>
      <c r="E16" s="1064"/>
      <c r="F16" s="793" t="str">
        <f>IF($D$5="", "", 'Roof Insulation'!$D$5)</f>
        <v/>
      </c>
      <c r="G16" s="763"/>
      <c r="H16" s="763"/>
      <c r="I16" s="764"/>
      <c r="J16" s="767"/>
    </row>
    <row r="17" spans="3:10" ht="27.75" customHeight="1" x14ac:dyDescent="0.25">
      <c r="C17" s="761"/>
      <c r="D17" s="1064" t="str">
        <f>IF($D$5="", "", 'Roof Insulation'!$C$11)</f>
        <v/>
      </c>
      <c r="E17" s="1064"/>
      <c r="F17" s="794" t="str">
        <f>IF($D$5="", "", 'Roof Insulation'!$D$11)</f>
        <v/>
      </c>
      <c r="G17" s="763"/>
      <c r="H17" s="763"/>
      <c r="I17" s="764"/>
      <c r="J17" s="767"/>
    </row>
    <row r="18" spans="3:10" ht="27.75" customHeight="1" x14ac:dyDescent="0.25">
      <c r="C18" s="761"/>
      <c r="D18" s="1064" t="str">
        <f>IF($D$5="", "",'Roof Insulation'!$C$12)</f>
        <v/>
      </c>
      <c r="E18" s="1064"/>
      <c r="F18" s="795" t="str">
        <f>IF($D$5="", "",'Roof Insulation'!$D$12)</f>
        <v/>
      </c>
      <c r="G18" s="763"/>
      <c r="H18" s="763"/>
      <c r="I18" s="764"/>
      <c r="J18" s="767"/>
    </row>
    <row r="19" spans="3:10" ht="27.75" customHeight="1" x14ac:dyDescent="0.25">
      <c r="C19" s="761"/>
      <c r="D19" s="1064" t="str">
        <f>IF($D$5="", "",'Roof Insulation'!$C$14)</f>
        <v/>
      </c>
      <c r="E19" s="1064"/>
      <c r="F19" s="795" t="str">
        <f>IF($D$5="", "",'Roof Insulation'!$D$14)</f>
        <v/>
      </c>
      <c r="G19" s="763"/>
      <c r="H19" s="763"/>
      <c r="I19" s="764"/>
      <c r="J19" s="767"/>
    </row>
    <row r="20" spans="3:10" ht="27.75" customHeight="1" x14ac:dyDescent="0.25">
      <c r="C20" s="761"/>
      <c r="D20" s="1064" t="str">
        <f>IF($D$5="", "", 'Roof Insulation'!$C$15)</f>
        <v/>
      </c>
      <c r="E20" s="1064"/>
      <c r="F20" s="795" t="str">
        <f>IF($D$5="", "", 'Roof Insulation'!$D$15)</f>
        <v/>
      </c>
      <c r="G20" s="763"/>
      <c r="H20" s="763"/>
      <c r="I20" s="764"/>
      <c r="J20" s="767"/>
    </row>
    <row r="21" spans="3:10" ht="27.75" customHeight="1" x14ac:dyDescent="0.25">
      <c r="C21" s="761"/>
      <c r="D21" s="796" t="str">
        <f>IF('Roof Insulation'!$D$2="", "", "VERIFY LINE BY LINE ROOF/ATTIC/CEILING INSULATION INVENTORY IN THE APPENDIX BELOW.")</f>
        <v/>
      </c>
      <c r="E21" s="797"/>
      <c r="F21" s="791"/>
      <c r="G21" s="759"/>
      <c r="H21" s="759"/>
      <c r="I21" s="760"/>
      <c r="J21" s="767"/>
    </row>
    <row r="22" spans="3:10" ht="27.75" customHeight="1" x14ac:dyDescent="0.25">
      <c r="C22" s="758" t="s">
        <v>651</v>
      </c>
      <c r="D22" s="1038" t="s">
        <v>654</v>
      </c>
      <c r="E22" s="1039"/>
      <c r="F22" s="1039"/>
      <c r="G22" s="1039"/>
      <c r="H22" s="1039"/>
      <c r="I22" s="1040"/>
      <c r="J22" s="767"/>
    </row>
    <row r="23" spans="3:10" x14ac:dyDescent="0.25">
      <c r="C23" s="150"/>
      <c r="D23" s="1061" t="s">
        <v>655</v>
      </c>
      <c r="E23" s="1062"/>
      <c r="F23" s="1062"/>
      <c r="G23" s="1062"/>
      <c r="H23" s="1062"/>
      <c r="I23" s="1063"/>
      <c r="J23" s="798"/>
    </row>
    <row r="24" spans="3:10" ht="27.75" customHeight="1" x14ac:dyDescent="0.25">
      <c r="C24" s="758" t="s">
        <v>651</v>
      </c>
      <c r="D24" s="1038" t="s">
        <v>656</v>
      </c>
      <c r="E24" s="1039"/>
      <c r="F24" s="1039"/>
      <c r="G24" s="1039"/>
      <c r="H24" s="1039"/>
      <c r="I24" s="1040"/>
      <c r="J24" s="767"/>
    </row>
    <row r="25" spans="3:10" x14ac:dyDescent="0.25">
      <c r="C25" s="150"/>
      <c r="D25" s="1041" t="s">
        <v>657</v>
      </c>
      <c r="E25" s="1042"/>
      <c r="F25" s="1042"/>
      <c r="G25" s="1042"/>
      <c r="H25" s="1042"/>
      <c r="I25" s="1043"/>
      <c r="J25" s="799"/>
    </row>
    <row r="26" spans="3:10" ht="51.75" customHeight="1" x14ac:dyDescent="0.25">
      <c r="C26" s="758" t="s">
        <v>651</v>
      </c>
      <c r="D26" s="1038" t="s">
        <v>658</v>
      </c>
      <c r="E26" s="1039"/>
      <c r="F26" s="1039"/>
      <c r="G26" s="1039"/>
      <c r="H26" s="1039"/>
      <c r="I26" s="1040"/>
      <c r="J26" s="767"/>
    </row>
    <row r="27" spans="3:10" x14ac:dyDescent="0.25">
      <c r="C27" s="150"/>
      <c r="D27" s="1041" t="s">
        <v>659</v>
      </c>
      <c r="E27" s="1042"/>
      <c r="F27" s="1042"/>
      <c r="G27" s="1042"/>
      <c r="H27" s="1042"/>
      <c r="I27" s="1043"/>
      <c r="J27" s="799"/>
    </row>
    <row r="28" spans="3:10" ht="33.75" customHeight="1" x14ac:dyDescent="0.25">
      <c r="C28" s="758" t="s">
        <v>651</v>
      </c>
      <c r="D28" s="1065" t="s">
        <v>660</v>
      </c>
      <c r="E28" s="1066"/>
      <c r="F28" s="1066"/>
      <c r="G28" s="1066"/>
      <c r="H28" s="1066"/>
      <c r="I28" s="1067"/>
      <c r="J28" s="767"/>
    </row>
    <row r="29" spans="3:10" ht="95.25" customHeight="1" x14ac:dyDescent="0.25">
      <c r="C29" s="150"/>
      <c r="D29" s="1052" t="s">
        <v>661</v>
      </c>
      <c r="E29" s="1053"/>
      <c r="F29" s="1053"/>
      <c r="G29" s="1053"/>
      <c r="H29" s="1053"/>
      <c r="I29" s="1054"/>
      <c r="J29" s="800"/>
    </row>
    <row r="31" spans="3:10" ht="22.5" customHeight="1" x14ac:dyDescent="0.4">
      <c r="C31" s="1068"/>
      <c r="D31" s="1069"/>
      <c r="E31" s="399">
        <f ca="1">TODAY()</f>
        <v>46212</v>
      </c>
    </row>
    <row r="32" spans="3:10" ht="24.75" customHeight="1" x14ac:dyDescent="0.25">
      <c r="C32" s="1045" t="s">
        <v>662</v>
      </c>
      <c r="D32" s="1045"/>
      <c r="E32" s="765" t="s">
        <v>70</v>
      </c>
    </row>
    <row r="34" spans="3:10" x14ac:dyDescent="0.25">
      <c r="C34" s="1049" t="s">
        <v>663</v>
      </c>
      <c r="D34" s="1049"/>
      <c r="E34" s="1049"/>
      <c r="F34" s="1049"/>
      <c r="G34" s="1049"/>
      <c r="H34" s="1049"/>
      <c r="I34" s="1049"/>
      <c r="J34" s="766"/>
    </row>
    <row r="35" spans="3:10" ht="18" customHeight="1" x14ac:dyDescent="0.25">
      <c r="C35" s="1050" t="s">
        <v>664</v>
      </c>
      <c r="D35" s="1050"/>
      <c r="E35" s="1050"/>
      <c r="F35" s="1050"/>
      <c r="G35" s="1050"/>
      <c r="H35" s="1050"/>
      <c r="I35" s="1050"/>
      <c r="J35" s="767"/>
    </row>
    <row r="36" spans="3:10" x14ac:dyDescent="0.25">
      <c r="C36" s="1050"/>
      <c r="D36" s="1050"/>
      <c r="E36" s="1050"/>
      <c r="F36" s="1050"/>
      <c r="G36" s="1050"/>
      <c r="H36" s="1050"/>
      <c r="I36" s="1050"/>
      <c r="J36" s="767"/>
    </row>
    <row r="37" spans="3:10" x14ac:dyDescent="0.25">
      <c r="C37" s="1050"/>
      <c r="D37" s="1050"/>
      <c r="E37" s="1050"/>
      <c r="F37" s="1050"/>
      <c r="G37" s="1050"/>
      <c r="H37" s="1050"/>
      <c r="I37" s="1050"/>
      <c r="J37" s="767"/>
    </row>
    <row r="38" spans="3:10" x14ac:dyDescent="0.25">
      <c r="C38" s="768"/>
      <c r="D38" s="768"/>
      <c r="E38" s="768"/>
      <c r="F38" s="768"/>
      <c r="G38" s="768"/>
      <c r="H38" s="768"/>
      <c r="I38" s="768"/>
      <c r="J38" s="768"/>
    </row>
    <row r="39" spans="3:10" x14ac:dyDescent="0.25">
      <c r="C39" s="151"/>
      <c r="D39" s="152"/>
      <c r="E39" s="153" t="s">
        <v>665</v>
      </c>
      <c r="F39" s="154" t="b">
        <v>0</v>
      </c>
      <c r="G39" s="400" t="s">
        <v>666</v>
      </c>
      <c r="H39" s="154" t="b">
        <v>0</v>
      </c>
      <c r="I39" s="155"/>
    </row>
    <row r="41" spans="3:10" ht="15" customHeight="1" x14ac:dyDescent="0.25">
      <c r="C41" s="769" t="s">
        <v>667</v>
      </c>
      <c r="D41" s="770"/>
      <c r="E41" s="770"/>
      <c r="F41" s="770"/>
      <c r="G41" s="770"/>
      <c r="H41" s="770"/>
      <c r="I41" s="771"/>
      <c r="J41" s="801"/>
    </row>
    <row r="42" spans="3:10" x14ac:dyDescent="0.25">
      <c r="C42" s="156" t="s">
        <v>668</v>
      </c>
      <c r="D42" s="157" t="b">
        <v>0</v>
      </c>
      <c r="E42" s="158" t="s">
        <v>669</v>
      </c>
      <c r="F42" s="157" t="b">
        <v>0</v>
      </c>
      <c r="G42" s="166"/>
      <c r="H42" s="166"/>
      <c r="I42" s="167"/>
    </row>
    <row r="43" spans="3:10" ht="10.5" customHeight="1" x14ac:dyDescent="0.25"/>
    <row r="44" spans="3:10" x14ac:dyDescent="0.25">
      <c r="C44" s="772" t="s">
        <v>670</v>
      </c>
    </row>
    <row r="45" spans="3:10" ht="6.75" customHeight="1" x14ac:dyDescent="0.25">
      <c r="C45" s="772"/>
    </row>
    <row r="46" spans="3:10" x14ac:dyDescent="0.25">
      <c r="C46" s="773" t="s">
        <v>671</v>
      </c>
      <c r="D46" s="160"/>
      <c r="E46" s="160"/>
      <c r="F46" s="160"/>
      <c r="G46" s="160"/>
      <c r="H46" s="160"/>
      <c r="I46" s="161"/>
    </row>
    <row r="47" spans="3:10" x14ac:dyDescent="0.25">
      <c r="C47" s="156" t="s">
        <v>668</v>
      </c>
      <c r="D47" s="157" t="b">
        <v>0</v>
      </c>
      <c r="E47" s="158" t="s">
        <v>669</v>
      </c>
      <c r="F47" s="157" t="b">
        <v>0</v>
      </c>
      <c r="G47" s="166"/>
      <c r="H47" s="166"/>
      <c r="I47" s="167"/>
    </row>
    <row r="49" spans="3:9" ht="24" customHeight="1" x14ac:dyDescent="0.25">
      <c r="C49" s="1047"/>
      <c r="D49" s="1048"/>
      <c r="E49" s="150"/>
      <c r="F49" s="1047"/>
      <c r="G49" s="1051"/>
      <c r="H49" s="150"/>
    </row>
    <row r="50" spans="3:9" x14ac:dyDescent="0.25">
      <c r="C50" s="1045" t="s">
        <v>672</v>
      </c>
      <c r="D50" s="1045"/>
      <c r="E50" s="765" t="s">
        <v>70</v>
      </c>
      <c r="F50" s="1046" t="s">
        <v>673</v>
      </c>
      <c r="G50" s="1046"/>
      <c r="H50" s="765" t="s">
        <v>70</v>
      </c>
    </row>
    <row r="52" spans="3:9" x14ac:dyDescent="0.25">
      <c r="C52" s="774" t="s">
        <v>674</v>
      </c>
    </row>
    <row r="53" spans="3:9" x14ac:dyDescent="0.25">
      <c r="C53" s="159"/>
      <c r="D53" s="160"/>
      <c r="E53" s="160"/>
      <c r="F53" s="160"/>
      <c r="G53" s="160"/>
      <c r="H53" s="160"/>
      <c r="I53" s="161"/>
    </row>
    <row r="54" spans="3:9" x14ac:dyDescent="0.25">
      <c r="C54" s="162"/>
      <c r="I54" s="164"/>
    </row>
    <row r="55" spans="3:9" x14ac:dyDescent="0.25">
      <c r="C55" s="162"/>
      <c r="I55" s="164"/>
    </row>
    <row r="56" spans="3:9" x14ac:dyDescent="0.25">
      <c r="C56" s="162"/>
      <c r="I56" s="164"/>
    </row>
    <row r="57" spans="3:9" x14ac:dyDescent="0.25">
      <c r="C57" s="162"/>
      <c r="I57" s="164"/>
    </row>
    <row r="58" spans="3:9" x14ac:dyDescent="0.25">
      <c r="C58" s="162"/>
      <c r="I58" s="164"/>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5"/>
      <c r="D70" s="166"/>
      <c r="E70" s="166"/>
      <c r="F70" s="166"/>
      <c r="G70" s="166"/>
      <c r="H70" s="166"/>
      <c r="I70" s="167"/>
    </row>
  </sheetData>
  <sheetProtection algorithmName="SHA-512" hashValue="zFtCr5nBFSWSXrrgGVqbPW9UaXWGXkmx3vstg8/QIFqNEpAUb8pGpGtNBfI8WIpQNR77ZMVZId6QsWxKEEix5A==" saltValue="6jQmfamvBLsIN9/aEQDuHQ==" spinCount="100000" sheet="1" objects="1" scenarios="1"/>
  <mergeCells count="28">
    <mergeCell ref="C1:I1"/>
    <mergeCell ref="D19:E19"/>
    <mergeCell ref="E2:I2"/>
    <mergeCell ref="F3:I3"/>
    <mergeCell ref="C9:I11"/>
    <mergeCell ref="D13:I13"/>
    <mergeCell ref="D14:E14"/>
    <mergeCell ref="D15:E15"/>
    <mergeCell ref="D16:E16"/>
    <mergeCell ref="D17:E17"/>
    <mergeCell ref="D18:E18"/>
    <mergeCell ref="C34:I34"/>
    <mergeCell ref="D20:E20"/>
    <mergeCell ref="D22:I22"/>
    <mergeCell ref="D23:I23"/>
    <mergeCell ref="D24:I24"/>
    <mergeCell ref="D25:I25"/>
    <mergeCell ref="D26:I26"/>
    <mergeCell ref="D27:I27"/>
    <mergeCell ref="D28:I28"/>
    <mergeCell ref="D29:I29"/>
    <mergeCell ref="C31:D31"/>
    <mergeCell ref="C32:D32"/>
    <mergeCell ref="C35:I37"/>
    <mergeCell ref="C49:D49"/>
    <mergeCell ref="F49:G49"/>
    <mergeCell ref="C50:D50"/>
    <mergeCell ref="F50:G50"/>
  </mergeCells>
  <conditionalFormatting sqref="F17:F20">
    <cfRule type="expression" dxfId="30" priority="2">
      <formula>$F$18="N/A"</formula>
    </cfRule>
  </conditionalFormatting>
  <conditionalFormatting sqref="F21">
    <cfRule type="expression" dxfId="29" priority="1">
      <formula>$F$20="N/A"</formula>
    </cfRule>
  </conditionalFormatting>
  <conditionalFormatting sqref="I6">
    <cfRule type="expression" dxfId="28" priority="5">
      <formula>ISBLANK($I$6)</formula>
    </cfRule>
  </conditionalFormatting>
  <conditionalFormatting sqref="I7">
    <cfRule type="expression" dxfId="27" priority="4">
      <formula>ISBLANK($I$7)</formula>
    </cfRule>
  </conditionalFormatting>
  <pageMargins left="0.25" right="0.25" top="0.75" bottom="0.75" header="0.3" footer="0.3"/>
  <pageSetup scale="84"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46082"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46083"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46084"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46085"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46086"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46087"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46088"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46089" r:id="rId12" name="Check Box 9">
              <controlPr locked="0" defaultSize="0" autoFill="0" autoLine="0" autoPict="0">
                <anchor moveWithCells="1">
                  <from>
                    <xdr:col>2</xdr:col>
                    <xdr:colOff>428625</xdr:colOff>
                    <xdr:row>28</xdr:row>
                    <xdr:rowOff>476250</xdr:rowOff>
                  </from>
                  <to>
                    <xdr:col>2</xdr:col>
                    <xdr:colOff>914400</xdr:colOff>
                    <xdr:row>28</xdr:row>
                    <xdr:rowOff>695325</xdr:rowOff>
                  </to>
                </anchor>
              </controlPr>
            </control>
          </mc:Choice>
        </mc:AlternateContent>
        <mc:AlternateContent xmlns:mc="http://schemas.openxmlformats.org/markup-compatibility/2006">
          <mc:Choice Requires="x14">
            <control shapeId="46090" r:id="rId13" name="Check Box 10">
              <controlPr locked="0" defaultSize="0" autoFill="0" autoLine="0" autoPict="0">
                <anchor moveWithCells="1">
                  <from>
                    <xdr:col>2</xdr:col>
                    <xdr:colOff>438150</xdr:colOff>
                    <xdr:row>28</xdr:row>
                    <xdr:rowOff>781050</xdr:rowOff>
                  </from>
                  <to>
                    <xdr:col>2</xdr:col>
                    <xdr:colOff>923925</xdr:colOff>
                    <xdr:row>28</xdr:row>
                    <xdr:rowOff>1000125</xdr:rowOff>
                  </to>
                </anchor>
              </controlPr>
            </control>
          </mc:Choice>
        </mc:AlternateContent>
        <mc:AlternateContent xmlns:mc="http://schemas.openxmlformats.org/markup-compatibility/2006">
          <mc:Choice Requires="x14">
            <control shapeId="46091" r:id="rId14" name="Check Box 11">
              <controlPr locked="0" defaultSize="0" autoFill="0" autoLine="0" autoPict="0">
                <anchor moveWithCells="1">
                  <from>
                    <xdr:col>2</xdr:col>
                    <xdr:colOff>66675</xdr:colOff>
                    <xdr:row>28</xdr:row>
                    <xdr:rowOff>476250</xdr:rowOff>
                  </from>
                  <to>
                    <xdr:col>2</xdr:col>
                    <xdr:colOff>552450</xdr:colOff>
                    <xdr:row>28</xdr:row>
                    <xdr:rowOff>695325</xdr:rowOff>
                  </to>
                </anchor>
              </controlPr>
            </control>
          </mc:Choice>
        </mc:AlternateContent>
        <mc:AlternateContent xmlns:mc="http://schemas.openxmlformats.org/markup-compatibility/2006">
          <mc:Choice Requires="x14">
            <control shapeId="46092" r:id="rId15" name="Check Box 12">
              <controlPr locked="0" defaultSize="0" autoFill="0" autoLine="0" autoPict="0">
                <anchor moveWithCells="1">
                  <from>
                    <xdr:col>2</xdr:col>
                    <xdr:colOff>66675</xdr:colOff>
                    <xdr:row>28</xdr:row>
                    <xdr:rowOff>781050</xdr:rowOff>
                  </from>
                  <to>
                    <xdr:col>2</xdr:col>
                    <xdr:colOff>552450</xdr:colOff>
                    <xdr:row>28</xdr:row>
                    <xdr:rowOff>1000125</xdr:rowOff>
                  </to>
                </anchor>
              </controlPr>
            </control>
          </mc:Choice>
        </mc:AlternateContent>
        <mc:AlternateContent xmlns:mc="http://schemas.openxmlformats.org/markup-compatibility/2006">
          <mc:Choice Requires="x14">
            <control shapeId="46093"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46094"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46095"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46096"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46097"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46098"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46099" r:id="rId22" name="Check Box 19">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46100" r:id="rId23" name="Check Box 20">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46105" r:id="rId24" name="Check Box 25">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46106" r:id="rId25" name="Check Box 26">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46107" r:id="rId26" name="Check Box 27">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46108" r:id="rId27" name="Check Box 28">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46109" r:id="rId28" name="Check Box 29">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46110" r:id="rId29" name="Check Box 30">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46111" r:id="rId30" name="Check Box 31">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46112" r:id="rId31" name="Check Box 32">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EB64-2DB6-4F01-ACCE-4014E7C37AC8}">
  <sheetPr>
    <pageSetUpPr fitToPage="1"/>
  </sheetPr>
  <dimension ref="B1:H60"/>
  <sheetViews>
    <sheetView zoomScale="120" zoomScaleNormal="120" workbookViewId="0">
      <selection activeCell="K18" sqref="K18"/>
    </sheetView>
  </sheetViews>
  <sheetFormatPr defaultColWidth="9.140625" defaultRowHeight="15" x14ac:dyDescent="0.25"/>
  <cols>
    <col min="1" max="1" width="4.28515625" style="1" customWidth="1"/>
    <col min="2" max="2" width="4.7109375" style="63" bestFit="1" customWidth="1"/>
    <col min="3" max="3" width="21.140625" style="63" customWidth="1"/>
    <col min="4" max="4" width="29.28515625" style="63" customWidth="1"/>
    <col min="5" max="5" width="24.140625" style="63" customWidth="1"/>
    <col min="6" max="6" width="23.140625" style="63" customWidth="1"/>
    <col min="7" max="7" width="22.28515625" style="63" customWidth="1"/>
    <col min="8" max="8" width="6.42578125" style="63" customWidth="1"/>
    <col min="9" max="16384" width="9.140625" style="1"/>
  </cols>
  <sheetData>
    <row r="1" spans="2:8" ht="15.75" x14ac:dyDescent="0.25">
      <c r="C1" s="1044" t="s">
        <v>48</v>
      </c>
      <c r="D1" s="1044"/>
      <c r="E1" s="1044"/>
      <c r="F1" s="1044"/>
      <c r="G1" s="1044"/>
      <c r="H1" s="1"/>
    </row>
    <row r="2" spans="2:8" ht="27.75" customHeight="1" x14ac:dyDescent="0.25">
      <c r="C2" s="147"/>
      <c r="D2" s="779"/>
      <c r="E2" s="1070" t="str">
        <f>'Roof Insulation - MRD'!$E$2</f>
        <v/>
      </c>
      <c r="F2" s="1070"/>
      <c r="G2" s="1071"/>
    </row>
    <row r="3" spans="2:8" ht="27.75" customHeight="1" x14ac:dyDescent="0.35">
      <c r="C3" s="148"/>
      <c r="D3" s="780"/>
      <c r="E3" s="1072" t="s">
        <v>644</v>
      </c>
      <c r="F3" s="1072"/>
      <c r="G3" s="1073"/>
    </row>
    <row r="4" spans="2:8" x14ac:dyDescent="0.25">
      <c r="C4" s="99"/>
      <c r="D4" s="99"/>
      <c r="E4" s="99"/>
      <c r="F4" s="99"/>
      <c r="G4" s="99"/>
    </row>
    <row r="5" spans="2:8" x14ac:dyDescent="0.25">
      <c r="C5" s="775" t="s">
        <v>645</v>
      </c>
      <c r="D5" s="781" t="str">
        <f>IF('Roof Insulation - MRD'!$D$5="", "", 'Roof Insulation - MRD'!$D$5)</f>
        <v/>
      </c>
      <c r="E5" s="706"/>
      <c r="F5" s="775" t="s">
        <v>646</v>
      </c>
      <c r="G5" s="782" t="str">
        <f>IF('Roof Insulation - MRD'!$I$5="", "", 'Roof Insulation - MRD'!$I$5)</f>
        <v/>
      </c>
    </row>
    <row r="6" spans="2:8" x14ac:dyDescent="0.25">
      <c r="C6" s="775" t="s">
        <v>134</v>
      </c>
      <c r="D6" s="776" t="str">
        <f>IF('Roof Insulation - MRD'!$D$6="",  "", 'Roof Insulation - MRD'!$D$6)</f>
        <v/>
      </c>
      <c r="E6" s="706"/>
      <c r="F6" s="775" t="s">
        <v>647</v>
      </c>
      <c r="G6" s="788" t="str">
        <f>IF('Roof Insulation - MRD'!$I$6="", "", 'Roof Insulation - MRD'!$I$6)</f>
        <v/>
      </c>
    </row>
    <row r="7" spans="2:8" x14ac:dyDescent="0.25">
      <c r="C7" s="775" t="s">
        <v>648</v>
      </c>
      <c r="D7" s="776" t="str">
        <f>IF('Roof Insulation - MRD'!$D$7="", "", 'Roof Insulation - MRD'!$D$7)</f>
        <v/>
      </c>
      <c r="E7" s="706"/>
      <c r="F7" s="775" t="s">
        <v>649</v>
      </c>
      <c r="G7" s="788" t="str">
        <f>IF('Roof Insulation - MRD'!$I$7="", "", 'Roof Insulation - MRD'!$I$7)</f>
        <v/>
      </c>
    </row>
    <row r="8" spans="2:8" x14ac:dyDescent="0.25">
      <c r="C8" s="99"/>
      <c r="D8" s="99"/>
      <c r="E8" s="99"/>
      <c r="F8" s="99"/>
      <c r="G8" s="99"/>
    </row>
    <row r="9" spans="2:8" s="805" customFormat="1" ht="42" customHeight="1" x14ac:dyDescent="0.2">
      <c r="B9" s="803" t="s">
        <v>133</v>
      </c>
      <c r="C9" s="803" t="s">
        <v>134</v>
      </c>
      <c r="D9" s="803" t="s">
        <v>135</v>
      </c>
      <c r="E9" s="803" t="s">
        <v>393</v>
      </c>
      <c r="F9" s="804" t="str">
        <f>IF('Roof Insulation'!$D$6="Gut Rehab", "", "Is The Existing Insulation Being Removed?")</f>
        <v>Is The Existing Insulation Being Removed?</v>
      </c>
      <c r="G9" s="804" t="s">
        <v>394</v>
      </c>
      <c r="H9" s="803" t="s">
        <v>678</v>
      </c>
    </row>
    <row r="10" spans="2:8" s="812" customFormat="1" ht="18" customHeight="1" x14ac:dyDescent="0.25">
      <c r="B10" s="809">
        <v>1</v>
      </c>
      <c r="C10" s="809" t="str">
        <f>IF('Roof Insulation'!D28="", "", 'Roof Insulation'!D28)</f>
        <v/>
      </c>
      <c r="D10" s="809" t="str">
        <f>IF('Roof Insulation'!E28="", "", 'Roof Insulation'!E28)</f>
        <v/>
      </c>
      <c r="E10" s="810" t="str">
        <f>IF('Roof Insulation'!G28="", "",'Roof Insulation'!G28)</f>
        <v/>
      </c>
      <c r="F10" s="809" t="str">
        <f>IF('Roof Insulation'!H28="", "", 'Roof Insulation'!H28)</f>
        <v/>
      </c>
      <c r="G10" s="811" t="str">
        <f>IF('Roof Insulation'!I28="", "", 'Roof Insulation'!I28)</f>
        <v/>
      </c>
      <c r="H10" s="401"/>
    </row>
    <row r="11" spans="2:8" s="812" customFormat="1" ht="18" customHeight="1" x14ac:dyDescent="0.25">
      <c r="B11" s="809">
        <v>2</v>
      </c>
      <c r="C11" s="809" t="str">
        <f>IF('Roof Insulation'!D29="", "", 'Roof Insulation'!D29)</f>
        <v/>
      </c>
      <c r="D11" s="809" t="str">
        <f>IF('Roof Insulation'!E29="", "", 'Roof Insulation'!E29)</f>
        <v/>
      </c>
      <c r="E11" s="810" t="str">
        <f>IF('Roof Insulation'!G29="", "",'Roof Insulation'!G29)</f>
        <v/>
      </c>
      <c r="F11" s="809" t="str">
        <f>IF('Roof Insulation'!H29="", "", 'Roof Insulation'!H29)</f>
        <v/>
      </c>
      <c r="G11" s="811" t="str">
        <f>IF('Roof Insulation'!I29="", "", 'Roof Insulation'!I29)</f>
        <v/>
      </c>
      <c r="H11" s="401"/>
    </row>
    <row r="12" spans="2:8" s="812" customFormat="1" ht="18" customHeight="1" x14ac:dyDescent="0.25">
      <c r="B12" s="809">
        <v>3</v>
      </c>
      <c r="C12" s="809" t="str">
        <f>IF('Roof Insulation'!D30="", "", 'Roof Insulation'!D30)</f>
        <v/>
      </c>
      <c r="D12" s="809" t="str">
        <f>IF('Roof Insulation'!E30="", "", 'Roof Insulation'!E30)</f>
        <v/>
      </c>
      <c r="E12" s="810" t="str">
        <f>IF('Roof Insulation'!G30="", "",'Roof Insulation'!G30)</f>
        <v/>
      </c>
      <c r="F12" s="809" t="str">
        <f>IF('Roof Insulation'!H30="", "", 'Roof Insulation'!H30)</f>
        <v/>
      </c>
      <c r="G12" s="811" t="str">
        <f>IF('Roof Insulation'!I30="", "", 'Roof Insulation'!I30)</f>
        <v/>
      </c>
      <c r="H12" s="401"/>
    </row>
    <row r="13" spans="2:8" s="812" customFormat="1" ht="18" customHeight="1" x14ac:dyDescent="0.25">
      <c r="B13" s="809">
        <v>4</v>
      </c>
      <c r="C13" s="809" t="str">
        <f>IF('Roof Insulation'!D31="", "", 'Roof Insulation'!D31)</f>
        <v/>
      </c>
      <c r="D13" s="809" t="str">
        <f>IF('Roof Insulation'!E31="", "", 'Roof Insulation'!E31)</f>
        <v/>
      </c>
      <c r="E13" s="810" t="str">
        <f>IF('Roof Insulation'!G31="", "",'Roof Insulation'!G31)</f>
        <v/>
      </c>
      <c r="F13" s="809" t="str">
        <f>IF('Roof Insulation'!H31="", "", 'Roof Insulation'!H31)</f>
        <v/>
      </c>
      <c r="G13" s="811" t="str">
        <f>IF('Roof Insulation'!I31="", "", 'Roof Insulation'!I31)</f>
        <v/>
      </c>
      <c r="H13" s="401"/>
    </row>
    <row r="14" spans="2:8" s="812" customFormat="1" ht="18" customHeight="1" x14ac:dyDescent="0.25">
      <c r="B14" s="809">
        <v>5</v>
      </c>
      <c r="C14" s="809" t="str">
        <f>IF('Roof Insulation'!D32="", "", 'Roof Insulation'!D32)</f>
        <v/>
      </c>
      <c r="D14" s="809" t="str">
        <f>IF('Roof Insulation'!E32="", "", 'Roof Insulation'!E32)</f>
        <v/>
      </c>
      <c r="E14" s="810" t="str">
        <f>IF('Roof Insulation'!G32="", "",'Roof Insulation'!G32)</f>
        <v/>
      </c>
      <c r="F14" s="809" t="str">
        <f>IF('Roof Insulation'!H32="", "", 'Roof Insulation'!H32)</f>
        <v/>
      </c>
      <c r="G14" s="811" t="str">
        <f>IF('Roof Insulation'!I32="", "", 'Roof Insulation'!I32)</f>
        <v/>
      </c>
      <c r="H14" s="401"/>
    </row>
    <row r="15" spans="2:8" s="812" customFormat="1" ht="18" customHeight="1" x14ac:dyDescent="0.25">
      <c r="B15" s="809">
        <v>6</v>
      </c>
      <c r="C15" s="809" t="str">
        <f>IF('Roof Insulation'!D33="", "", 'Roof Insulation'!D33)</f>
        <v/>
      </c>
      <c r="D15" s="809" t="str">
        <f>IF('Roof Insulation'!E33="", "", 'Roof Insulation'!E33)</f>
        <v/>
      </c>
      <c r="E15" s="810" t="str">
        <f>IF('Roof Insulation'!G33="", "",'Roof Insulation'!G33)</f>
        <v/>
      </c>
      <c r="F15" s="809" t="str">
        <f>IF('Roof Insulation'!H33="", "", 'Roof Insulation'!H33)</f>
        <v/>
      </c>
      <c r="G15" s="811" t="str">
        <f>IF('Roof Insulation'!I33="", "", 'Roof Insulation'!I33)</f>
        <v/>
      </c>
      <c r="H15" s="401"/>
    </row>
    <row r="16" spans="2:8" s="812" customFormat="1" ht="18" customHeight="1" x14ac:dyDescent="0.25">
      <c r="B16" s="809">
        <v>7</v>
      </c>
      <c r="C16" s="809" t="str">
        <f>IF('Roof Insulation'!D34="", "", 'Roof Insulation'!D34)</f>
        <v/>
      </c>
      <c r="D16" s="809" t="str">
        <f>IF('Roof Insulation'!E34="", "", 'Roof Insulation'!E34)</f>
        <v/>
      </c>
      <c r="E16" s="810" t="str">
        <f>IF('Roof Insulation'!G34="", "",'Roof Insulation'!G34)</f>
        <v/>
      </c>
      <c r="F16" s="809" t="str">
        <f>IF('Roof Insulation'!H34="", "", 'Roof Insulation'!H34)</f>
        <v/>
      </c>
      <c r="G16" s="811" t="str">
        <f>IF('Roof Insulation'!I34="", "", 'Roof Insulation'!I34)</f>
        <v/>
      </c>
      <c r="H16" s="401"/>
    </row>
    <row r="17" spans="2:8" s="812" customFormat="1" ht="18" customHeight="1" x14ac:dyDescent="0.25">
      <c r="B17" s="809">
        <v>8</v>
      </c>
      <c r="C17" s="809" t="str">
        <f>IF('Roof Insulation'!D35="", "", 'Roof Insulation'!D35)</f>
        <v/>
      </c>
      <c r="D17" s="809" t="str">
        <f>IF('Roof Insulation'!E35="", "", 'Roof Insulation'!E35)</f>
        <v/>
      </c>
      <c r="E17" s="810" t="str">
        <f>IF('Roof Insulation'!G35="", "",'Roof Insulation'!G35)</f>
        <v/>
      </c>
      <c r="F17" s="809" t="str">
        <f>IF('Roof Insulation'!H35="", "", 'Roof Insulation'!H35)</f>
        <v/>
      </c>
      <c r="G17" s="811" t="str">
        <f>IF('Roof Insulation'!I35="", "", 'Roof Insulation'!I35)</f>
        <v/>
      </c>
      <c r="H17" s="401"/>
    </row>
    <row r="18" spans="2:8" s="812" customFormat="1" ht="18" customHeight="1" x14ac:dyDescent="0.25">
      <c r="B18" s="809">
        <v>9</v>
      </c>
      <c r="C18" s="809" t="str">
        <f>IF('Roof Insulation'!D36="", "", 'Roof Insulation'!D36)</f>
        <v/>
      </c>
      <c r="D18" s="809" t="str">
        <f>IF('Roof Insulation'!E36="", "", 'Roof Insulation'!E36)</f>
        <v/>
      </c>
      <c r="E18" s="810" t="str">
        <f>IF('Roof Insulation'!G36="", "",'Roof Insulation'!G36)</f>
        <v/>
      </c>
      <c r="F18" s="809" t="str">
        <f>IF('Roof Insulation'!H36="", "", 'Roof Insulation'!H36)</f>
        <v/>
      </c>
      <c r="G18" s="811" t="str">
        <f>IF('Roof Insulation'!I36="", "", 'Roof Insulation'!I36)</f>
        <v/>
      </c>
      <c r="H18" s="401"/>
    </row>
    <row r="19" spans="2:8" s="812" customFormat="1" ht="18" customHeight="1" x14ac:dyDescent="0.25">
      <c r="B19" s="809">
        <v>10</v>
      </c>
      <c r="C19" s="809" t="str">
        <f>IF('Roof Insulation'!D37="", "", 'Roof Insulation'!D37)</f>
        <v/>
      </c>
      <c r="D19" s="809" t="str">
        <f>IF('Roof Insulation'!E37="", "", 'Roof Insulation'!E37)</f>
        <v/>
      </c>
      <c r="E19" s="810" t="str">
        <f>IF('Roof Insulation'!G37="", "",'Roof Insulation'!G37)</f>
        <v/>
      </c>
      <c r="F19" s="809" t="str">
        <f>IF('Roof Insulation'!H37="", "", 'Roof Insulation'!H37)</f>
        <v/>
      </c>
      <c r="G19" s="811" t="str">
        <f>IF('Roof Insulation'!I37="", "", 'Roof Insulation'!I37)</f>
        <v/>
      </c>
      <c r="H19" s="401"/>
    </row>
    <row r="20" spans="2:8" s="812" customFormat="1" ht="18" customHeight="1" x14ac:dyDescent="0.25">
      <c r="B20" s="809">
        <v>11</v>
      </c>
      <c r="C20" s="809" t="str">
        <f>IF('Roof Insulation'!D38="", "", 'Roof Insulation'!D38)</f>
        <v/>
      </c>
      <c r="D20" s="809" t="str">
        <f>IF('Roof Insulation'!E38="", "", 'Roof Insulation'!E38)</f>
        <v/>
      </c>
      <c r="E20" s="810" t="str">
        <f>IF('Roof Insulation'!G38="", "",'Roof Insulation'!G38)</f>
        <v/>
      </c>
      <c r="F20" s="809" t="str">
        <f>IF('Roof Insulation'!H38="", "", 'Roof Insulation'!H38)</f>
        <v/>
      </c>
      <c r="G20" s="811" t="str">
        <f>IF('Roof Insulation'!I38="", "", 'Roof Insulation'!I38)</f>
        <v/>
      </c>
      <c r="H20" s="401"/>
    </row>
    <row r="21" spans="2:8" s="812" customFormat="1" ht="18" customHeight="1" x14ac:dyDescent="0.25">
      <c r="B21" s="809">
        <v>12</v>
      </c>
      <c r="C21" s="809" t="str">
        <f>IF('Roof Insulation'!D39="", "", 'Roof Insulation'!D39)</f>
        <v/>
      </c>
      <c r="D21" s="809" t="str">
        <f>IF('Roof Insulation'!E39="", "", 'Roof Insulation'!E39)</f>
        <v/>
      </c>
      <c r="E21" s="810" t="str">
        <f>IF('Roof Insulation'!G39="", "",'Roof Insulation'!G39)</f>
        <v/>
      </c>
      <c r="F21" s="809" t="str">
        <f>IF('Roof Insulation'!H39="", "", 'Roof Insulation'!H39)</f>
        <v/>
      </c>
      <c r="G21" s="811" t="str">
        <f>IF('Roof Insulation'!I39="", "", 'Roof Insulation'!I39)</f>
        <v/>
      </c>
      <c r="H21" s="401"/>
    </row>
    <row r="22" spans="2:8" s="812" customFormat="1" ht="18" customHeight="1" x14ac:dyDescent="0.25">
      <c r="B22" s="809">
        <v>13</v>
      </c>
      <c r="C22" s="809" t="str">
        <f>IF('Roof Insulation'!D40="", "", 'Roof Insulation'!D40)</f>
        <v/>
      </c>
      <c r="D22" s="809" t="str">
        <f>IF('Roof Insulation'!E40="", "", 'Roof Insulation'!E40)</f>
        <v/>
      </c>
      <c r="E22" s="810" t="str">
        <f>IF('Roof Insulation'!G40="", "",'Roof Insulation'!G40)</f>
        <v/>
      </c>
      <c r="F22" s="809" t="str">
        <f>IF('Roof Insulation'!H40="", "", 'Roof Insulation'!H40)</f>
        <v/>
      </c>
      <c r="G22" s="811" t="str">
        <f>IF('Roof Insulation'!I40="", "", 'Roof Insulation'!I40)</f>
        <v/>
      </c>
      <c r="H22" s="401"/>
    </row>
    <row r="23" spans="2:8" s="812" customFormat="1" ht="18" customHeight="1" x14ac:dyDescent="0.25">
      <c r="B23" s="809">
        <v>14</v>
      </c>
      <c r="C23" s="809" t="str">
        <f>IF('Roof Insulation'!D41="", "", 'Roof Insulation'!D41)</f>
        <v/>
      </c>
      <c r="D23" s="809" t="str">
        <f>IF('Roof Insulation'!E41="", "", 'Roof Insulation'!E41)</f>
        <v/>
      </c>
      <c r="E23" s="810" t="str">
        <f>IF('Roof Insulation'!G41="", "",'Roof Insulation'!G41)</f>
        <v/>
      </c>
      <c r="F23" s="809" t="str">
        <f>IF('Roof Insulation'!H41="", "", 'Roof Insulation'!H41)</f>
        <v/>
      </c>
      <c r="G23" s="811" t="str">
        <f>IF('Roof Insulation'!I41="", "", 'Roof Insulation'!I41)</f>
        <v/>
      </c>
      <c r="H23" s="401"/>
    </row>
    <row r="24" spans="2:8" s="812" customFormat="1" ht="18" customHeight="1" x14ac:dyDescent="0.25">
      <c r="B24" s="809">
        <v>15</v>
      </c>
      <c r="C24" s="809" t="str">
        <f>IF('Roof Insulation'!D42="", "", 'Roof Insulation'!D42)</f>
        <v/>
      </c>
      <c r="D24" s="809" t="str">
        <f>IF('Roof Insulation'!E42="", "", 'Roof Insulation'!E42)</f>
        <v/>
      </c>
      <c r="E24" s="810" t="str">
        <f>IF('Roof Insulation'!G42="", "",'Roof Insulation'!G42)</f>
        <v/>
      </c>
      <c r="F24" s="809" t="str">
        <f>IF('Roof Insulation'!H42="", "", 'Roof Insulation'!H42)</f>
        <v/>
      </c>
      <c r="G24" s="811" t="str">
        <f>IF('Roof Insulation'!I42="", "", 'Roof Insulation'!I42)</f>
        <v/>
      </c>
      <c r="H24" s="401"/>
    </row>
    <row r="25" spans="2:8" s="812" customFormat="1" ht="18" customHeight="1" x14ac:dyDescent="0.25">
      <c r="B25" s="809">
        <v>16</v>
      </c>
      <c r="C25" s="809" t="str">
        <f>IF('Roof Insulation'!D43="", "", 'Roof Insulation'!D43)</f>
        <v/>
      </c>
      <c r="D25" s="809" t="str">
        <f>IF('Roof Insulation'!E43="", "", 'Roof Insulation'!E43)</f>
        <v/>
      </c>
      <c r="E25" s="810" t="str">
        <f>IF('Roof Insulation'!G43="", "",'Roof Insulation'!G43)</f>
        <v/>
      </c>
      <c r="F25" s="809" t="str">
        <f>IF('Roof Insulation'!H43="", "", 'Roof Insulation'!H43)</f>
        <v/>
      </c>
      <c r="G25" s="811" t="str">
        <f>IF('Roof Insulation'!I43="", "", 'Roof Insulation'!I43)</f>
        <v/>
      </c>
      <c r="H25" s="401"/>
    </row>
    <row r="26" spans="2:8" s="812" customFormat="1" ht="18" customHeight="1" x14ac:dyDescent="0.25">
      <c r="B26" s="809">
        <v>17</v>
      </c>
      <c r="C26" s="809" t="str">
        <f>IF('Roof Insulation'!D44="", "", 'Roof Insulation'!D44)</f>
        <v/>
      </c>
      <c r="D26" s="809" t="str">
        <f>IF('Roof Insulation'!E44="", "", 'Roof Insulation'!E44)</f>
        <v/>
      </c>
      <c r="E26" s="810" t="str">
        <f>IF('Roof Insulation'!G44="", "",'Roof Insulation'!G44)</f>
        <v/>
      </c>
      <c r="F26" s="809" t="str">
        <f>IF('Roof Insulation'!H44="", "", 'Roof Insulation'!H44)</f>
        <v/>
      </c>
      <c r="G26" s="811" t="str">
        <f>IF('Roof Insulation'!I44="", "", 'Roof Insulation'!I44)</f>
        <v/>
      </c>
      <c r="H26" s="401"/>
    </row>
    <row r="27" spans="2:8" s="812" customFormat="1" ht="18" customHeight="1" x14ac:dyDescent="0.25">
      <c r="B27" s="809">
        <v>18</v>
      </c>
      <c r="C27" s="809" t="str">
        <f>IF('Roof Insulation'!D45="", "", 'Roof Insulation'!D45)</f>
        <v/>
      </c>
      <c r="D27" s="809" t="str">
        <f>IF('Roof Insulation'!E45="", "", 'Roof Insulation'!E45)</f>
        <v/>
      </c>
      <c r="E27" s="810" t="str">
        <f>IF('Roof Insulation'!G45="", "",'Roof Insulation'!G45)</f>
        <v/>
      </c>
      <c r="F27" s="809" t="str">
        <f>IF('Roof Insulation'!H45="", "", 'Roof Insulation'!H45)</f>
        <v/>
      </c>
      <c r="G27" s="811" t="str">
        <f>IF('Roof Insulation'!I45="", "", 'Roof Insulation'!I45)</f>
        <v/>
      </c>
      <c r="H27" s="401"/>
    </row>
    <row r="28" spans="2:8" s="812" customFormat="1" ht="18" customHeight="1" x14ac:dyDescent="0.25">
      <c r="B28" s="809">
        <v>19</v>
      </c>
      <c r="C28" s="809" t="str">
        <f>IF('Roof Insulation'!D46="", "", 'Roof Insulation'!D46)</f>
        <v/>
      </c>
      <c r="D28" s="809" t="str">
        <f>IF('Roof Insulation'!E46="", "", 'Roof Insulation'!E46)</f>
        <v/>
      </c>
      <c r="E28" s="810" t="str">
        <f>IF('Roof Insulation'!G46="", "",'Roof Insulation'!G46)</f>
        <v/>
      </c>
      <c r="F28" s="809" t="str">
        <f>IF('Roof Insulation'!H46="", "", 'Roof Insulation'!H46)</f>
        <v/>
      </c>
      <c r="G28" s="811" t="str">
        <f>IF('Roof Insulation'!I46="", "", 'Roof Insulation'!I46)</f>
        <v/>
      </c>
      <c r="H28" s="401"/>
    </row>
    <row r="29" spans="2:8" s="812" customFormat="1" ht="18" customHeight="1" x14ac:dyDescent="0.25">
      <c r="B29" s="809">
        <v>20</v>
      </c>
      <c r="C29" s="809" t="str">
        <f>IF('Roof Insulation'!D47="", "", 'Roof Insulation'!D47)</f>
        <v/>
      </c>
      <c r="D29" s="809" t="str">
        <f>IF('Roof Insulation'!E47="", "", 'Roof Insulation'!E47)</f>
        <v/>
      </c>
      <c r="E29" s="810" t="str">
        <f>IF('Roof Insulation'!G47="", "",'Roof Insulation'!G47)</f>
        <v/>
      </c>
      <c r="F29" s="809" t="str">
        <f>IF('Roof Insulation'!H47="", "", 'Roof Insulation'!H47)</f>
        <v/>
      </c>
      <c r="G29" s="811" t="str">
        <f>IF('Roof Insulation'!I47="", "", 'Roof Insulation'!I47)</f>
        <v/>
      </c>
      <c r="H29" s="401"/>
    </row>
    <row r="30" spans="2:8" s="812" customFormat="1" ht="18" customHeight="1" x14ac:dyDescent="0.25">
      <c r="B30" s="809">
        <v>21</v>
      </c>
      <c r="C30" s="809" t="str">
        <f>IF('Roof Insulation'!D48="", "", 'Roof Insulation'!D48)</f>
        <v/>
      </c>
      <c r="D30" s="809" t="str">
        <f>IF('Roof Insulation'!E48="", "", 'Roof Insulation'!E48)</f>
        <v/>
      </c>
      <c r="E30" s="810" t="str">
        <f>IF('Roof Insulation'!G48="", "",'Roof Insulation'!G48)</f>
        <v/>
      </c>
      <c r="F30" s="809" t="str">
        <f>IF('Roof Insulation'!H48="", "", 'Roof Insulation'!H48)</f>
        <v/>
      </c>
      <c r="G30" s="811" t="str">
        <f>IF('Roof Insulation'!I48="", "", 'Roof Insulation'!I48)</f>
        <v/>
      </c>
      <c r="H30" s="401"/>
    </row>
    <row r="31" spans="2:8" s="812" customFormat="1" ht="18" customHeight="1" x14ac:dyDescent="0.25">
      <c r="B31" s="809">
        <v>22</v>
      </c>
      <c r="C31" s="809" t="str">
        <f>IF('Roof Insulation'!D49="", "", 'Roof Insulation'!D49)</f>
        <v/>
      </c>
      <c r="D31" s="809" t="str">
        <f>IF('Roof Insulation'!E49="", "", 'Roof Insulation'!E49)</f>
        <v/>
      </c>
      <c r="E31" s="810" t="str">
        <f>IF('Roof Insulation'!G49="", "",'Roof Insulation'!G49)</f>
        <v/>
      </c>
      <c r="F31" s="809" t="str">
        <f>IF('Roof Insulation'!H49="", "", 'Roof Insulation'!H49)</f>
        <v/>
      </c>
      <c r="G31" s="811" t="str">
        <f>IF('Roof Insulation'!I49="", "", 'Roof Insulation'!I49)</f>
        <v/>
      </c>
      <c r="H31" s="401"/>
    </row>
    <row r="32" spans="2:8" s="812" customFormat="1" ht="18" customHeight="1" x14ac:dyDescent="0.25">
      <c r="B32" s="809">
        <v>23</v>
      </c>
      <c r="C32" s="809" t="str">
        <f>IF('Roof Insulation'!D50="", "", 'Roof Insulation'!D50)</f>
        <v/>
      </c>
      <c r="D32" s="809" t="str">
        <f>IF('Roof Insulation'!E50="", "", 'Roof Insulation'!E50)</f>
        <v/>
      </c>
      <c r="E32" s="810" t="str">
        <f>IF('Roof Insulation'!G50="", "",'Roof Insulation'!G50)</f>
        <v/>
      </c>
      <c r="F32" s="809" t="str">
        <f>IF('Roof Insulation'!H50="", "", 'Roof Insulation'!H50)</f>
        <v/>
      </c>
      <c r="G32" s="811" t="str">
        <f>IF('Roof Insulation'!I50="", "", 'Roof Insulation'!I50)</f>
        <v/>
      </c>
      <c r="H32" s="401"/>
    </row>
    <row r="33" spans="2:8" s="812" customFormat="1" ht="18" customHeight="1" x14ac:dyDescent="0.25">
      <c r="B33" s="809">
        <v>24</v>
      </c>
      <c r="C33" s="809" t="str">
        <f>IF('Roof Insulation'!D51="", "", 'Roof Insulation'!D51)</f>
        <v/>
      </c>
      <c r="D33" s="809" t="str">
        <f>IF('Roof Insulation'!E51="", "", 'Roof Insulation'!E51)</f>
        <v/>
      </c>
      <c r="E33" s="810" t="str">
        <f>IF('Roof Insulation'!G51="", "",'Roof Insulation'!G51)</f>
        <v/>
      </c>
      <c r="F33" s="809" t="str">
        <f>IF('Roof Insulation'!H51="", "", 'Roof Insulation'!H51)</f>
        <v/>
      </c>
      <c r="G33" s="811" t="str">
        <f>IF('Roof Insulation'!I51="", "", 'Roof Insulation'!I51)</f>
        <v/>
      </c>
      <c r="H33" s="401"/>
    </row>
    <row r="34" spans="2:8" s="812" customFormat="1" ht="18" customHeight="1" x14ac:dyDescent="0.25">
      <c r="B34" s="809">
        <v>25</v>
      </c>
      <c r="C34" s="809" t="str">
        <f>IF('Roof Insulation'!D52="", "", 'Roof Insulation'!D52)</f>
        <v/>
      </c>
      <c r="D34" s="809" t="str">
        <f>IF('Roof Insulation'!E52="", "", 'Roof Insulation'!E52)</f>
        <v/>
      </c>
      <c r="E34" s="810" t="str">
        <f>IF('Roof Insulation'!G52="", "",'Roof Insulation'!G52)</f>
        <v/>
      </c>
      <c r="F34" s="809" t="str">
        <f>IF('Roof Insulation'!H52="", "", 'Roof Insulation'!H52)</f>
        <v/>
      </c>
      <c r="G34" s="811" t="str">
        <f>IF('Roof Insulation'!I52="", "", 'Roof Insulation'!I52)</f>
        <v/>
      </c>
      <c r="H34" s="401"/>
    </row>
    <row r="35" spans="2:8" s="812" customFormat="1" ht="18" customHeight="1" x14ac:dyDescent="0.25">
      <c r="B35" s="809">
        <v>26</v>
      </c>
      <c r="C35" s="809" t="str">
        <f>IF('Roof Insulation'!D53="", "", 'Roof Insulation'!D53)</f>
        <v/>
      </c>
      <c r="D35" s="809" t="str">
        <f>IF('Roof Insulation'!E53="", "", 'Roof Insulation'!E53)</f>
        <v/>
      </c>
      <c r="E35" s="810" t="str">
        <f>IF('Roof Insulation'!G53="", "",'Roof Insulation'!G53)</f>
        <v/>
      </c>
      <c r="F35" s="809" t="str">
        <f>IF('Roof Insulation'!H53="", "", 'Roof Insulation'!H53)</f>
        <v/>
      </c>
      <c r="G35" s="811" t="str">
        <f>IF('Roof Insulation'!I53="", "", 'Roof Insulation'!I53)</f>
        <v/>
      </c>
      <c r="H35" s="401"/>
    </row>
    <row r="36" spans="2:8" s="812" customFormat="1" ht="18" customHeight="1" x14ac:dyDescent="0.25">
      <c r="B36" s="809">
        <v>27</v>
      </c>
      <c r="C36" s="809" t="str">
        <f>IF('Roof Insulation'!D54="", "", 'Roof Insulation'!D54)</f>
        <v/>
      </c>
      <c r="D36" s="809" t="str">
        <f>IF('Roof Insulation'!E54="", "", 'Roof Insulation'!E54)</f>
        <v/>
      </c>
      <c r="E36" s="810" t="str">
        <f>IF('Roof Insulation'!G54="", "",'Roof Insulation'!G54)</f>
        <v/>
      </c>
      <c r="F36" s="809" t="str">
        <f>IF('Roof Insulation'!H54="", "", 'Roof Insulation'!H54)</f>
        <v/>
      </c>
      <c r="G36" s="811" t="str">
        <f>IF('Roof Insulation'!I54="", "", 'Roof Insulation'!I54)</f>
        <v/>
      </c>
      <c r="H36" s="401"/>
    </row>
    <row r="37" spans="2:8" s="812" customFormat="1" ht="18" customHeight="1" x14ac:dyDescent="0.25">
      <c r="B37" s="809">
        <v>28</v>
      </c>
      <c r="C37" s="809" t="str">
        <f>IF('Roof Insulation'!D55="", "", 'Roof Insulation'!D55)</f>
        <v/>
      </c>
      <c r="D37" s="809" t="str">
        <f>IF('Roof Insulation'!E55="", "", 'Roof Insulation'!E55)</f>
        <v/>
      </c>
      <c r="E37" s="810" t="str">
        <f>IF('Roof Insulation'!G55="", "",'Roof Insulation'!G55)</f>
        <v/>
      </c>
      <c r="F37" s="809" t="str">
        <f>IF('Roof Insulation'!H55="", "", 'Roof Insulation'!H55)</f>
        <v/>
      </c>
      <c r="G37" s="811" t="str">
        <f>IF('Roof Insulation'!I55="", "", 'Roof Insulation'!I55)</f>
        <v/>
      </c>
      <c r="H37" s="401"/>
    </row>
    <row r="38" spans="2:8" s="812" customFormat="1" ht="18" customHeight="1" x14ac:dyDescent="0.25">
      <c r="B38" s="809">
        <v>29</v>
      </c>
      <c r="C38" s="809" t="str">
        <f>IF('Roof Insulation'!D56="", "", 'Roof Insulation'!D56)</f>
        <v/>
      </c>
      <c r="D38" s="809" t="str">
        <f>IF('Roof Insulation'!E56="", "", 'Roof Insulation'!E56)</f>
        <v/>
      </c>
      <c r="E38" s="810" t="str">
        <f>IF('Roof Insulation'!G56="", "",'Roof Insulation'!G56)</f>
        <v/>
      </c>
      <c r="F38" s="809" t="str">
        <f>IF('Roof Insulation'!H56="", "", 'Roof Insulation'!H56)</f>
        <v/>
      </c>
      <c r="G38" s="811" t="str">
        <f>IF('Roof Insulation'!I56="", "", 'Roof Insulation'!I56)</f>
        <v/>
      </c>
      <c r="H38" s="401"/>
    </row>
    <row r="39" spans="2:8" s="812" customFormat="1" ht="18" customHeight="1" x14ac:dyDescent="0.25">
      <c r="B39" s="809">
        <v>30</v>
      </c>
      <c r="C39" s="809" t="str">
        <f>IF('Roof Insulation'!D57="", "", 'Roof Insulation'!D57)</f>
        <v/>
      </c>
      <c r="D39" s="809" t="str">
        <f>IF('Roof Insulation'!E57="", "", 'Roof Insulation'!E57)</f>
        <v/>
      </c>
      <c r="E39" s="810" t="str">
        <f>IF('Roof Insulation'!G57="", "",'Roof Insulation'!G57)</f>
        <v/>
      </c>
      <c r="F39" s="809" t="str">
        <f>IF('Roof Insulation'!H57="", "", 'Roof Insulation'!H57)</f>
        <v/>
      </c>
      <c r="G39" s="811" t="str">
        <f>IF('Roof Insulation'!I57="", "", 'Roof Insulation'!I57)</f>
        <v/>
      </c>
      <c r="H39" s="401"/>
    </row>
    <row r="40" spans="2:8" s="812" customFormat="1" ht="18" customHeight="1" x14ac:dyDescent="0.25">
      <c r="B40" s="809">
        <v>31</v>
      </c>
      <c r="C40" s="809" t="str">
        <f>IF('Roof Insulation'!D58="", "", 'Roof Insulation'!D58)</f>
        <v/>
      </c>
      <c r="D40" s="809" t="str">
        <f>IF('Roof Insulation'!E58="", "", 'Roof Insulation'!E58)</f>
        <v/>
      </c>
      <c r="E40" s="810" t="str">
        <f>IF('Roof Insulation'!G58="", "",'Roof Insulation'!G58)</f>
        <v/>
      </c>
      <c r="F40" s="809" t="str">
        <f>IF('Roof Insulation'!H58="", "", 'Roof Insulation'!H58)</f>
        <v/>
      </c>
      <c r="G40" s="811" t="str">
        <f>IF('Roof Insulation'!I58="", "", 'Roof Insulation'!I58)</f>
        <v/>
      </c>
      <c r="H40" s="401"/>
    </row>
    <row r="41" spans="2:8" s="812" customFormat="1" ht="18" customHeight="1" x14ac:dyDescent="0.25">
      <c r="B41" s="809">
        <v>32</v>
      </c>
      <c r="C41" s="809" t="str">
        <f>IF('Roof Insulation'!D59="", "", 'Roof Insulation'!D59)</f>
        <v/>
      </c>
      <c r="D41" s="809" t="str">
        <f>IF('Roof Insulation'!E59="", "", 'Roof Insulation'!E59)</f>
        <v/>
      </c>
      <c r="E41" s="810" t="str">
        <f>IF('Roof Insulation'!G59="", "",'Roof Insulation'!G59)</f>
        <v/>
      </c>
      <c r="F41" s="809" t="str">
        <f>IF('Roof Insulation'!H59="", "", 'Roof Insulation'!H59)</f>
        <v/>
      </c>
      <c r="G41" s="811" t="str">
        <f>IF('Roof Insulation'!I59="", "", 'Roof Insulation'!I59)</f>
        <v/>
      </c>
      <c r="H41" s="401"/>
    </row>
    <row r="42" spans="2:8" s="812" customFormat="1" ht="18" customHeight="1" x14ac:dyDescent="0.25">
      <c r="B42" s="809">
        <v>33</v>
      </c>
      <c r="C42" s="809" t="str">
        <f>IF('Roof Insulation'!D60="", "", 'Roof Insulation'!D60)</f>
        <v/>
      </c>
      <c r="D42" s="809" t="str">
        <f>IF('Roof Insulation'!E60="", "", 'Roof Insulation'!E60)</f>
        <v/>
      </c>
      <c r="E42" s="810" t="str">
        <f>IF('Roof Insulation'!G60="", "",'Roof Insulation'!G60)</f>
        <v/>
      </c>
      <c r="F42" s="809" t="str">
        <f>IF('Roof Insulation'!H60="", "", 'Roof Insulation'!H60)</f>
        <v/>
      </c>
      <c r="G42" s="811" t="str">
        <f>IF('Roof Insulation'!I60="", "", 'Roof Insulation'!I60)</f>
        <v/>
      </c>
      <c r="H42" s="401"/>
    </row>
    <row r="43" spans="2:8" s="812" customFormat="1" ht="18" customHeight="1" x14ac:dyDescent="0.25">
      <c r="B43" s="809">
        <v>34</v>
      </c>
      <c r="C43" s="809" t="str">
        <f>IF('Roof Insulation'!D61="", "", 'Roof Insulation'!D61)</f>
        <v/>
      </c>
      <c r="D43" s="809" t="str">
        <f>IF('Roof Insulation'!E61="", "", 'Roof Insulation'!E61)</f>
        <v/>
      </c>
      <c r="E43" s="810" t="str">
        <f>IF('Roof Insulation'!G61="", "",'Roof Insulation'!G61)</f>
        <v/>
      </c>
      <c r="F43" s="809" t="str">
        <f>IF('Roof Insulation'!H61="", "", 'Roof Insulation'!H61)</f>
        <v/>
      </c>
      <c r="G43" s="811" t="str">
        <f>IF('Roof Insulation'!I61="", "", 'Roof Insulation'!I61)</f>
        <v/>
      </c>
      <c r="H43" s="401"/>
    </row>
    <row r="44" spans="2:8" s="812" customFormat="1" ht="18" customHeight="1" x14ac:dyDescent="0.25">
      <c r="B44" s="809">
        <v>35</v>
      </c>
      <c r="C44" s="809" t="str">
        <f>IF('Roof Insulation'!D62="", "", 'Roof Insulation'!D62)</f>
        <v/>
      </c>
      <c r="D44" s="809" t="str">
        <f>IF('Roof Insulation'!E62="", "", 'Roof Insulation'!E62)</f>
        <v/>
      </c>
      <c r="E44" s="810" t="str">
        <f>IF('Roof Insulation'!G62="", "",'Roof Insulation'!G62)</f>
        <v/>
      </c>
      <c r="F44" s="809" t="str">
        <f>IF('Roof Insulation'!H62="", "", 'Roof Insulation'!H62)</f>
        <v/>
      </c>
      <c r="G44" s="811" t="str">
        <f>IF('Roof Insulation'!I62="", "", 'Roof Insulation'!I62)</f>
        <v/>
      </c>
      <c r="H44" s="401"/>
    </row>
    <row r="45" spans="2:8" s="812" customFormat="1" ht="18" customHeight="1" x14ac:dyDescent="0.25">
      <c r="B45" s="809">
        <v>36</v>
      </c>
      <c r="C45" s="809" t="str">
        <f>IF('Roof Insulation'!D63="", "", 'Roof Insulation'!D63)</f>
        <v/>
      </c>
      <c r="D45" s="809" t="str">
        <f>IF('Roof Insulation'!E63="", "", 'Roof Insulation'!E63)</f>
        <v/>
      </c>
      <c r="E45" s="810" t="str">
        <f>IF('Roof Insulation'!G63="", "",'Roof Insulation'!G63)</f>
        <v/>
      </c>
      <c r="F45" s="809" t="str">
        <f>IF('Roof Insulation'!H63="", "", 'Roof Insulation'!H63)</f>
        <v/>
      </c>
      <c r="G45" s="811" t="str">
        <f>IF('Roof Insulation'!I63="", "", 'Roof Insulation'!I63)</f>
        <v/>
      </c>
      <c r="H45" s="401"/>
    </row>
    <row r="46" spans="2:8" s="812" customFormat="1" ht="18" customHeight="1" x14ac:dyDescent="0.25">
      <c r="B46" s="809">
        <v>37</v>
      </c>
      <c r="C46" s="809" t="str">
        <f>IF('Roof Insulation'!D64="", "", 'Roof Insulation'!D64)</f>
        <v/>
      </c>
      <c r="D46" s="809" t="str">
        <f>IF('Roof Insulation'!E64="", "", 'Roof Insulation'!E64)</f>
        <v/>
      </c>
      <c r="E46" s="810" t="str">
        <f>IF('Roof Insulation'!G64="", "",'Roof Insulation'!G64)</f>
        <v/>
      </c>
      <c r="F46" s="809" t="str">
        <f>IF('Roof Insulation'!H64="", "", 'Roof Insulation'!H64)</f>
        <v/>
      </c>
      <c r="G46" s="811" t="str">
        <f>IF('Roof Insulation'!I64="", "", 'Roof Insulation'!I64)</f>
        <v/>
      </c>
      <c r="H46" s="401"/>
    </row>
    <row r="47" spans="2:8" s="812" customFormat="1" ht="18" customHeight="1" x14ac:dyDescent="0.25">
      <c r="B47" s="809">
        <v>38</v>
      </c>
      <c r="C47" s="809" t="str">
        <f>IF('Roof Insulation'!D65="", "", 'Roof Insulation'!D65)</f>
        <v/>
      </c>
      <c r="D47" s="809" t="str">
        <f>IF('Roof Insulation'!E65="", "", 'Roof Insulation'!E65)</f>
        <v/>
      </c>
      <c r="E47" s="810" t="str">
        <f>IF('Roof Insulation'!G65="", "",'Roof Insulation'!G65)</f>
        <v/>
      </c>
      <c r="F47" s="809" t="str">
        <f>IF('Roof Insulation'!H65="", "", 'Roof Insulation'!H65)</f>
        <v/>
      </c>
      <c r="G47" s="811" t="str">
        <f>IF('Roof Insulation'!I65="", "", 'Roof Insulation'!I65)</f>
        <v/>
      </c>
      <c r="H47" s="401"/>
    </row>
    <row r="48" spans="2:8" s="812" customFormat="1" ht="18" customHeight="1" x14ac:dyDescent="0.25">
      <c r="B48" s="809">
        <v>39</v>
      </c>
      <c r="C48" s="809" t="str">
        <f>IF('Roof Insulation'!D66="", "", 'Roof Insulation'!D66)</f>
        <v/>
      </c>
      <c r="D48" s="809" t="str">
        <f>IF('Roof Insulation'!E66="", "", 'Roof Insulation'!E66)</f>
        <v/>
      </c>
      <c r="E48" s="810" t="str">
        <f>IF('Roof Insulation'!G66="", "",'Roof Insulation'!G66)</f>
        <v/>
      </c>
      <c r="F48" s="809" t="str">
        <f>IF('Roof Insulation'!H66="", "", 'Roof Insulation'!H66)</f>
        <v/>
      </c>
      <c r="G48" s="811" t="str">
        <f>IF('Roof Insulation'!I66="", "", 'Roof Insulation'!I66)</f>
        <v/>
      </c>
      <c r="H48" s="401"/>
    </row>
    <row r="49" spans="2:8" s="812" customFormat="1" ht="18" customHeight="1" x14ac:dyDescent="0.25">
      <c r="B49" s="809">
        <v>40</v>
      </c>
      <c r="C49" s="809" t="str">
        <f>IF('Roof Insulation'!D67="", "", 'Roof Insulation'!D67)</f>
        <v/>
      </c>
      <c r="D49" s="809" t="str">
        <f>IF('Roof Insulation'!E67="", "", 'Roof Insulation'!E67)</f>
        <v/>
      </c>
      <c r="E49" s="810" t="str">
        <f>IF('Roof Insulation'!G67="", "",'Roof Insulation'!G67)</f>
        <v/>
      </c>
      <c r="F49" s="809" t="str">
        <f>IF('Roof Insulation'!H67="", "", 'Roof Insulation'!H67)</f>
        <v/>
      </c>
      <c r="G49" s="811" t="str">
        <f>IF('Roof Insulation'!I67="", "", 'Roof Insulation'!I67)</f>
        <v/>
      </c>
      <c r="H49" s="401"/>
    </row>
    <row r="50" spans="2:8" s="812" customFormat="1" ht="18" customHeight="1" x14ac:dyDescent="0.25">
      <c r="B50" s="809">
        <v>41</v>
      </c>
      <c r="C50" s="809" t="str">
        <f>IF('Roof Insulation'!D68="", "", 'Roof Insulation'!D68)</f>
        <v/>
      </c>
      <c r="D50" s="809" t="str">
        <f>IF('Roof Insulation'!E68="", "", 'Roof Insulation'!E68)</f>
        <v/>
      </c>
      <c r="E50" s="810" t="str">
        <f>IF('Roof Insulation'!G68="", "",'Roof Insulation'!G68)</f>
        <v/>
      </c>
      <c r="F50" s="809" t="str">
        <f>IF('Roof Insulation'!H68="", "", 'Roof Insulation'!H68)</f>
        <v/>
      </c>
      <c r="G50" s="811" t="str">
        <f>IF('Roof Insulation'!I68="", "", 'Roof Insulation'!I68)</f>
        <v/>
      </c>
      <c r="H50" s="401"/>
    </row>
    <row r="51" spans="2:8" s="812" customFormat="1" ht="18" customHeight="1" x14ac:dyDescent="0.25">
      <c r="B51" s="809">
        <v>42</v>
      </c>
      <c r="C51" s="809" t="str">
        <f>IF('Roof Insulation'!D69="", "", 'Roof Insulation'!D69)</f>
        <v/>
      </c>
      <c r="D51" s="809" t="str">
        <f>IF('Roof Insulation'!E69="", "", 'Roof Insulation'!E69)</f>
        <v/>
      </c>
      <c r="E51" s="810" t="str">
        <f>IF('Roof Insulation'!G69="", "",'Roof Insulation'!G69)</f>
        <v/>
      </c>
      <c r="F51" s="809" t="str">
        <f>IF('Roof Insulation'!H69="", "", 'Roof Insulation'!H69)</f>
        <v/>
      </c>
      <c r="G51" s="811" t="str">
        <f>IF('Roof Insulation'!I69="", "", 'Roof Insulation'!I69)</f>
        <v/>
      </c>
      <c r="H51" s="401"/>
    </row>
    <row r="52" spans="2:8" s="812" customFormat="1" ht="18" customHeight="1" x14ac:dyDescent="0.25">
      <c r="B52" s="809">
        <v>43</v>
      </c>
      <c r="C52" s="809" t="str">
        <f>IF('Roof Insulation'!D70="", "", 'Roof Insulation'!D70)</f>
        <v/>
      </c>
      <c r="D52" s="809" t="str">
        <f>IF('Roof Insulation'!E70="", "", 'Roof Insulation'!E70)</f>
        <v/>
      </c>
      <c r="E52" s="810" t="str">
        <f>IF('Roof Insulation'!G70="", "",'Roof Insulation'!G70)</f>
        <v/>
      </c>
      <c r="F52" s="809" t="str">
        <f>IF('Roof Insulation'!H70="", "", 'Roof Insulation'!H70)</f>
        <v/>
      </c>
      <c r="G52" s="811" t="str">
        <f>IF('Roof Insulation'!I70="", "", 'Roof Insulation'!I70)</f>
        <v/>
      </c>
      <c r="H52" s="401"/>
    </row>
    <row r="53" spans="2:8" s="812" customFormat="1" ht="18" customHeight="1" x14ac:dyDescent="0.25">
      <c r="B53" s="809">
        <v>44</v>
      </c>
      <c r="C53" s="809" t="str">
        <f>IF('Roof Insulation'!D71="", "", 'Roof Insulation'!D71)</f>
        <v/>
      </c>
      <c r="D53" s="809" t="str">
        <f>IF('Roof Insulation'!E71="", "", 'Roof Insulation'!E71)</f>
        <v/>
      </c>
      <c r="E53" s="810" t="str">
        <f>IF('Roof Insulation'!G71="", "",'Roof Insulation'!G71)</f>
        <v/>
      </c>
      <c r="F53" s="809" t="str">
        <f>IF('Roof Insulation'!H71="", "", 'Roof Insulation'!H71)</f>
        <v/>
      </c>
      <c r="G53" s="811" t="str">
        <f>IF('Roof Insulation'!I71="", "", 'Roof Insulation'!I71)</f>
        <v/>
      </c>
      <c r="H53" s="401"/>
    </row>
    <row r="54" spans="2:8" s="812" customFormat="1" ht="18" customHeight="1" x14ac:dyDescent="0.25">
      <c r="B54" s="809">
        <v>45</v>
      </c>
      <c r="C54" s="809" t="str">
        <f>IF('Roof Insulation'!D72="", "", 'Roof Insulation'!D72)</f>
        <v/>
      </c>
      <c r="D54" s="809" t="str">
        <f>IF('Roof Insulation'!E72="", "", 'Roof Insulation'!E72)</f>
        <v/>
      </c>
      <c r="E54" s="810" t="str">
        <f>IF('Roof Insulation'!G72="", "",'Roof Insulation'!G72)</f>
        <v/>
      </c>
      <c r="F54" s="809" t="str">
        <f>IF('Roof Insulation'!H72="", "", 'Roof Insulation'!H72)</f>
        <v/>
      </c>
      <c r="G54" s="811" t="str">
        <f>IF('Roof Insulation'!I72="", "", 'Roof Insulation'!I72)</f>
        <v/>
      </c>
      <c r="H54" s="401"/>
    </row>
    <row r="55" spans="2:8" s="812" customFormat="1" ht="18" customHeight="1" x14ac:dyDescent="0.25">
      <c r="B55" s="809">
        <v>46</v>
      </c>
      <c r="C55" s="809" t="str">
        <f>IF('Roof Insulation'!D73="", "", 'Roof Insulation'!D73)</f>
        <v/>
      </c>
      <c r="D55" s="809" t="str">
        <f>IF('Roof Insulation'!E73="", "", 'Roof Insulation'!E73)</f>
        <v/>
      </c>
      <c r="E55" s="810" t="str">
        <f>IF('Roof Insulation'!G73="", "",'Roof Insulation'!G73)</f>
        <v/>
      </c>
      <c r="F55" s="809" t="str">
        <f>IF('Roof Insulation'!H73="", "", 'Roof Insulation'!H73)</f>
        <v/>
      </c>
      <c r="G55" s="811" t="str">
        <f>IF('Roof Insulation'!I73="", "", 'Roof Insulation'!I73)</f>
        <v/>
      </c>
      <c r="H55" s="401"/>
    </row>
    <row r="56" spans="2:8" s="812" customFormat="1" ht="18" customHeight="1" x14ac:dyDescent="0.25">
      <c r="B56" s="809">
        <v>47</v>
      </c>
      <c r="C56" s="809" t="str">
        <f>IF('Roof Insulation'!D74="", "", 'Roof Insulation'!D74)</f>
        <v/>
      </c>
      <c r="D56" s="809" t="str">
        <f>IF('Roof Insulation'!E74="", "", 'Roof Insulation'!E74)</f>
        <v/>
      </c>
      <c r="E56" s="810" t="str">
        <f>IF('Roof Insulation'!G74="", "",'Roof Insulation'!G74)</f>
        <v/>
      </c>
      <c r="F56" s="809" t="str">
        <f>IF('Roof Insulation'!H74="", "", 'Roof Insulation'!H74)</f>
        <v/>
      </c>
      <c r="G56" s="811" t="str">
        <f>IF('Roof Insulation'!I74="", "", 'Roof Insulation'!I74)</f>
        <v/>
      </c>
      <c r="H56" s="401"/>
    </row>
    <row r="57" spans="2:8" s="812" customFormat="1" ht="18" customHeight="1" x14ac:dyDescent="0.25">
      <c r="B57" s="809">
        <v>48</v>
      </c>
      <c r="C57" s="809" t="str">
        <f>IF('Roof Insulation'!D75="", "", 'Roof Insulation'!D75)</f>
        <v/>
      </c>
      <c r="D57" s="809" t="str">
        <f>IF('Roof Insulation'!E75="", "", 'Roof Insulation'!E75)</f>
        <v/>
      </c>
      <c r="E57" s="810" t="str">
        <f>IF('Roof Insulation'!G75="", "",'Roof Insulation'!G75)</f>
        <v/>
      </c>
      <c r="F57" s="809" t="str">
        <f>IF('Roof Insulation'!H75="", "", 'Roof Insulation'!H75)</f>
        <v/>
      </c>
      <c r="G57" s="811" t="str">
        <f>IF('Roof Insulation'!I75="", "", 'Roof Insulation'!I75)</f>
        <v/>
      </c>
      <c r="H57" s="401"/>
    </row>
    <row r="58" spans="2:8" s="812" customFormat="1" ht="18" customHeight="1" x14ac:dyDescent="0.25">
      <c r="B58" s="809">
        <v>49</v>
      </c>
      <c r="C58" s="809" t="str">
        <f>IF('Roof Insulation'!D76="", "", 'Roof Insulation'!D76)</f>
        <v/>
      </c>
      <c r="D58" s="809" t="str">
        <f>IF('Roof Insulation'!E76="", "", 'Roof Insulation'!E76)</f>
        <v/>
      </c>
      <c r="E58" s="810" t="str">
        <f>IF('Roof Insulation'!G76="", "",'Roof Insulation'!G76)</f>
        <v/>
      </c>
      <c r="F58" s="809" t="str">
        <f>IF('Roof Insulation'!H76="", "", 'Roof Insulation'!H76)</f>
        <v/>
      </c>
      <c r="G58" s="811" t="str">
        <f>IF('Roof Insulation'!I76="", "", 'Roof Insulation'!I76)</f>
        <v/>
      </c>
      <c r="H58" s="401"/>
    </row>
    <row r="59" spans="2:8" s="812" customFormat="1" ht="18.75" customHeight="1" x14ac:dyDescent="0.25">
      <c r="B59" s="809">
        <v>50</v>
      </c>
      <c r="C59" s="809" t="str">
        <f>IF('Roof Insulation'!D77="", "", 'Roof Insulation'!D77)</f>
        <v/>
      </c>
      <c r="D59" s="809" t="str">
        <f>IF('Roof Insulation'!E77="", "", 'Roof Insulation'!E77)</f>
        <v/>
      </c>
      <c r="E59" s="810" t="str">
        <f>IF('Roof Insulation'!G77="", "",'Roof Insulation'!G77)</f>
        <v/>
      </c>
      <c r="F59" s="809" t="str">
        <f>IF('Roof Insulation'!H77="", "", 'Roof Insulation'!H77)</f>
        <v/>
      </c>
      <c r="G59" s="811" t="str">
        <f>IF('Roof Insulation'!I77="", "", 'Roof Insulation'!I77)</f>
        <v/>
      </c>
      <c r="H59" s="401"/>
    </row>
    <row r="60" spans="2:8" s="814" customFormat="1" ht="18.75" customHeight="1" x14ac:dyDescent="0.2">
      <c r="B60" s="813"/>
      <c r="C60" s="813"/>
      <c r="D60" s="813"/>
      <c r="E60" s="813"/>
      <c r="F60" s="813"/>
      <c r="G60" s="813"/>
      <c r="H60" s="813"/>
    </row>
  </sheetData>
  <sheetProtection algorithmName="SHA-512" hashValue="JSq4E7FWZKgD7ICG+BN+E1TumK4Wpz0Dy5uiTPtTUlwK8qBOy+cNCaB+N+cuYJmupCoi2moSuAslHi/jajOKsw==" saltValue="AcCCUthA783O6ZhuEM7CXg==" spinCount="100000" sheet="1" formatColumns="0" formatRows="0" insertRows="0" deleteRows="0"/>
  <mergeCells count="3">
    <mergeCell ref="E2:G2"/>
    <mergeCell ref="E3:G3"/>
    <mergeCell ref="C1:G1"/>
  </mergeCells>
  <conditionalFormatting sqref="F10:F59">
    <cfRule type="expression" dxfId="26" priority="1">
      <formula>$F$9=""</formula>
    </cfRule>
  </conditionalFormatting>
  <conditionalFormatting sqref="G6:G7">
    <cfRule type="expression" dxfId="25" priority="5">
      <formula>ISBLANK($G$6)</formula>
    </cfRule>
  </conditionalFormatting>
  <pageMargins left="0.7" right="0.7" top="0.75" bottom="0.75" header="0.3" footer="0.3"/>
  <pageSetup scale="65" orientation="portrait" r:id="rId1"/>
  <headerFooter>
    <oddFooter>&amp;LMINIMUM REQUIREMENTS DOCUMENT&amp;RROOF INSULATION  MRD - APPENDIX</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BF822-D56A-4285-A26E-B2E88231B7CB}">
  <dimension ref="C1:J70"/>
  <sheetViews>
    <sheetView zoomScale="120" zoomScaleNormal="120" workbookViewId="0">
      <selection activeCell="D13" sqref="D13:I13"/>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IFERROR(IF('Wall Insulation'!$AK$26=0, "", IF('Wall Insulation'!$AK$26="LCI", "New York - Electric and Gas Large Commercial and Industrial Program", "New York - Electric and Gas Small Business Program")),"")</f>
        <v/>
      </c>
      <c r="F2" s="1070"/>
      <c r="G2" s="1070"/>
      <c r="H2" s="1070"/>
      <c r="I2" s="1071"/>
      <c r="J2" s="789"/>
    </row>
    <row r="3" spans="3:10" ht="27.75" customHeight="1" x14ac:dyDescent="0.35">
      <c r="C3" s="148"/>
      <c r="D3" s="780"/>
      <c r="E3" s="802"/>
      <c r="F3" s="1072" t="s">
        <v>644</v>
      </c>
      <c r="G3" s="1072"/>
      <c r="H3" s="1072"/>
      <c r="I3" s="1073"/>
      <c r="J3" s="790"/>
    </row>
    <row r="4" spans="3:10" ht="5.25" customHeight="1" x14ac:dyDescent="0.25">
      <c r="C4" s="99"/>
      <c r="D4" s="99"/>
      <c r="E4" s="99"/>
      <c r="F4" s="99"/>
      <c r="G4" s="99"/>
      <c r="H4" s="99"/>
      <c r="I4" s="99"/>
      <c r="J4" s="790"/>
    </row>
    <row r="5" spans="3:10" x14ac:dyDescent="0.25">
      <c r="C5" s="775" t="s">
        <v>645</v>
      </c>
      <c r="D5" s="781" t="str">
        <f>IF('App Cust Info'!$B$12="", "", 'App Cust Info'!$B$12)</f>
        <v/>
      </c>
      <c r="E5" s="777"/>
      <c r="F5" s="777"/>
      <c r="G5" s="777"/>
      <c r="H5" s="775" t="s">
        <v>646</v>
      </c>
      <c r="I5" s="782" t="str">
        <f>IF($D$5="", "", 'Wall Insulation'!$D$6)</f>
        <v/>
      </c>
      <c r="J5" s="790"/>
    </row>
    <row r="6" spans="3:10" x14ac:dyDescent="0.25">
      <c r="C6" s="775" t="s">
        <v>134</v>
      </c>
      <c r="D6" s="776" t="str">
        <f>IF($D$5="", "", 'App Cust Info'!$B$18&amp;", "&amp;'App Cust Info'!$F$18&amp;", "&amp;'App Cust Info'!$I$18&amp;" "&amp;'App Cust Info'!$K$18)</f>
        <v/>
      </c>
      <c r="E6" s="777"/>
      <c r="F6" s="777"/>
      <c r="G6" s="777"/>
      <c r="H6" s="775" t="s">
        <v>647</v>
      </c>
      <c r="I6" s="757"/>
      <c r="J6" s="790"/>
    </row>
    <row r="7" spans="3:10" x14ac:dyDescent="0.25">
      <c r="C7" s="775" t="s">
        <v>648</v>
      </c>
      <c r="D7" s="776" t="str">
        <f>IF($D$5="","","Wall Insulation")</f>
        <v/>
      </c>
      <c r="E7" s="777"/>
      <c r="F7" s="777"/>
      <c r="G7" s="777"/>
      <c r="H7" s="775" t="s">
        <v>649</v>
      </c>
      <c r="I7" s="757"/>
      <c r="J7" s="790"/>
    </row>
    <row r="8" spans="3:10" ht="6" customHeight="1" x14ac:dyDescent="0.25">
      <c r="C8" s="99"/>
      <c r="D8" s="99"/>
      <c r="E8" s="99"/>
      <c r="F8" s="99"/>
      <c r="G8" s="99"/>
      <c r="H8" s="99"/>
      <c r="I8" s="99"/>
      <c r="J8" s="790"/>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 'Wall Insulation'!$C$9)</f>
        <v/>
      </c>
      <c r="E14" s="1064"/>
      <c r="F14" s="793" t="str">
        <f>IF($D$5="","",'Wall Insulation'!$D$9)</f>
        <v/>
      </c>
      <c r="G14" s="763"/>
      <c r="H14" s="763"/>
      <c r="I14" s="764"/>
      <c r="J14" s="767"/>
    </row>
    <row r="15" spans="3:10" ht="27.75" customHeight="1" x14ac:dyDescent="0.25">
      <c r="C15" s="761"/>
      <c r="D15" s="1064" t="str">
        <f>IF($D$5="","",'Wall Insulation'!$C$8)</f>
        <v/>
      </c>
      <c r="E15" s="1064"/>
      <c r="F15" s="793" t="str">
        <f>IF($D$5="","",'Wall Insulation'!$D$8)</f>
        <v/>
      </c>
      <c r="G15" s="763"/>
      <c r="H15" s="763"/>
      <c r="I15" s="764"/>
      <c r="J15" s="767"/>
    </row>
    <row r="16" spans="3:10" ht="27.75" customHeight="1" x14ac:dyDescent="0.25">
      <c r="C16" s="761"/>
      <c r="D16" s="1064" t="str">
        <f>IF($D$5="", "", 'Wall Insulation'!$C$5)</f>
        <v/>
      </c>
      <c r="E16" s="1064"/>
      <c r="F16" s="793" t="str">
        <f>IF($D$5="", "", 'Wall Insulation'!$D$5)</f>
        <v/>
      </c>
      <c r="G16" s="763"/>
      <c r="H16" s="763"/>
      <c r="I16" s="764"/>
      <c r="J16" s="767"/>
    </row>
    <row r="17" spans="3:10" ht="27.75" customHeight="1" x14ac:dyDescent="0.25">
      <c r="C17" s="761"/>
      <c r="D17" s="1064" t="str">
        <f>IF($D$5="", "", 'Wall Insulation'!$C$11)</f>
        <v/>
      </c>
      <c r="E17" s="1064"/>
      <c r="F17" s="794" t="str">
        <f>IF($D$5="", "", 'Wall Insulation'!$D$11)</f>
        <v/>
      </c>
      <c r="G17" s="763"/>
      <c r="H17" s="763"/>
      <c r="I17" s="764"/>
      <c r="J17" s="767"/>
    </row>
    <row r="18" spans="3:10" ht="27.75" customHeight="1" x14ac:dyDescent="0.25">
      <c r="C18" s="761"/>
      <c r="D18" s="1064" t="str">
        <f>IF($D$5="", "",'Wall Insulation'!$C$12)</f>
        <v/>
      </c>
      <c r="E18" s="1064"/>
      <c r="F18" s="795" t="str">
        <f>IF($D$5="", "",'Wall Insulation'!$D$12)</f>
        <v/>
      </c>
      <c r="G18" s="763"/>
      <c r="H18" s="763"/>
      <c r="I18" s="764"/>
      <c r="J18" s="767"/>
    </row>
    <row r="19" spans="3:10" ht="27.75" customHeight="1" x14ac:dyDescent="0.25">
      <c r="C19" s="761"/>
      <c r="D19" s="1064" t="str">
        <f>IF($D$5="", "",'Wall Insulation'!$C$14)</f>
        <v/>
      </c>
      <c r="E19" s="1064"/>
      <c r="F19" s="795" t="str">
        <f>IF($D$5="", "",'Wall Insulation'!$D$14)</f>
        <v/>
      </c>
      <c r="G19" s="763"/>
      <c r="H19" s="763"/>
      <c r="I19" s="764"/>
      <c r="J19" s="767"/>
    </row>
    <row r="20" spans="3:10" ht="27.75" customHeight="1" x14ac:dyDescent="0.25">
      <c r="C20" s="761"/>
      <c r="D20" s="1064" t="str">
        <f>IF($D$5="", "", 'Wall Insulation'!$C$15)</f>
        <v/>
      </c>
      <c r="E20" s="1064"/>
      <c r="F20" s="795" t="str">
        <f>IF($D$5="", "", 'Wall Insulation'!$D$15)</f>
        <v/>
      </c>
      <c r="G20" s="763"/>
      <c r="H20" s="763"/>
      <c r="I20" s="764"/>
      <c r="J20" s="767"/>
    </row>
    <row r="21" spans="3:10" ht="27.75" customHeight="1" x14ac:dyDescent="0.25">
      <c r="C21" s="761"/>
      <c r="D21" s="796" t="str">
        <f>IF('Wall Insulation'!$D$2="", "", "VERIFY LINE BY LINE WALL INSULATION INVENTORY IN THE APPENDIX BELOW.")</f>
        <v/>
      </c>
      <c r="E21" s="797"/>
      <c r="F21" s="791"/>
      <c r="G21" s="759"/>
      <c r="H21" s="759"/>
      <c r="I21" s="760"/>
      <c r="J21" s="767"/>
    </row>
    <row r="22" spans="3:10" ht="27.75" customHeight="1" x14ac:dyDescent="0.25">
      <c r="C22" s="758" t="s">
        <v>651</v>
      </c>
      <c r="D22" s="1038" t="s">
        <v>654</v>
      </c>
      <c r="E22" s="1039"/>
      <c r="F22" s="1039"/>
      <c r="G22" s="1039"/>
      <c r="H22" s="1039"/>
      <c r="I22" s="1040"/>
      <c r="J22" s="767"/>
    </row>
    <row r="23" spans="3:10" x14ac:dyDescent="0.25">
      <c r="C23" s="150"/>
      <c r="D23" s="1061" t="s">
        <v>655</v>
      </c>
      <c r="E23" s="1062"/>
      <c r="F23" s="1062"/>
      <c r="G23" s="1062"/>
      <c r="H23" s="1062"/>
      <c r="I23" s="1063"/>
      <c r="J23" s="798"/>
    </row>
    <row r="24" spans="3:10" ht="27.75" customHeight="1" x14ac:dyDescent="0.25">
      <c r="C24" s="758" t="s">
        <v>651</v>
      </c>
      <c r="D24" s="1038" t="s">
        <v>656</v>
      </c>
      <c r="E24" s="1039"/>
      <c r="F24" s="1039"/>
      <c r="G24" s="1039"/>
      <c r="H24" s="1039"/>
      <c r="I24" s="1040"/>
      <c r="J24" s="767"/>
    </row>
    <row r="25" spans="3:10" x14ac:dyDescent="0.25">
      <c r="C25" s="150"/>
      <c r="D25" s="1041" t="s">
        <v>657</v>
      </c>
      <c r="E25" s="1042"/>
      <c r="F25" s="1042"/>
      <c r="G25" s="1042"/>
      <c r="H25" s="1042"/>
      <c r="I25" s="1043"/>
      <c r="J25" s="799"/>
    </row>
    <row r="26" spans="3:10" ht="51.75" customHeight="1" x14ac:dyDescent="0.25">
      <c r="C26" s="758" t="s">
        <v>651</v>
      </c>
      <c r="D26" s="1038" t="s">
        <v>658</v>
      </c>
      <c r="E26" s="1039"/>
      <c r="F26" s="1039"/>
      <c r="G26" s="1039"/>
      <c r="H26" s="1039"/>
      <c r="I26" s="1040"/>
      <c r="J26" s="767"/>
    </row>
    <row r="27" spans="3:10" x14ac:dyDescent="0.25">
      <c r="C27" s="150"/>
      <c r="D27" s="1041" t="s">
        <v>659</v>
      </c>
      <c r="E27" s="1042"/>
      <c r="F27" s="1042"/>
      <c r="G27" s="1042"/>
      <c r="H27" s="1042"/>
      <c r="I27" s="1043"/>
      <c r="J27" s="799"/>
    </row>
    <row r="28" spans="3:10" ht="33.75" customHeight="1" x14ac:dyDescent="0.25">
      <c r="C28" s="758" t="s">
        <v>651</v>
      </c>
      <c r="D28" s="1065" t="s">
        <v>660</v>
      </c>
      <c r="E28" s="1066"/>
      <c r="F28" s="1066"/>
      <c r="G28" s="1066"/>
      <c r="H28" s="1066"/>
      <c r="I28" s="1067"/>
      <c r="J28" s="767"/>
    </row>
    <row r="29" spans="3:10" ht="95.25" customHeight="1" x14ac:dyDescent="0.25">
      <c r="C29" s="150"/>
      <c r="D29" s="1052" t="s">
        <v>661</v>
      </c>
      <c r="E29" s="1053"/>
      <c r="F29" s="1053"/>
      <c r="G29" s="1053"/>
      <c r="H29" s="1053"/>
      <c r="I29" s="1054"/>
      <c r="J29" s="800"/>
    </row>
    <row r="31" spans="3:10" ht="22.5" customHeight="1" x14ac:dyDescent="0.4">
      <c r="C31" s="1068"/>
      <c r="D31" s="1069"/>
      <c r="E31" s="399">
        <f ca="1">TODAY()</f>
        <v>46212</v>
      </c>
    </row>
    <row r="32" spans="3:10" ht="24.75" customHeight="1" x14ac:dyDescent="0.25">
      <c r="C32" s="1045" t="s">
        <v>662</v>
      </c>
      <c r="D32" s="1045"/>
      <c r="E32" s="765" t="s">
        <v>70</v>
      </c>
    </row>
    <row r="34" spans="3:10" x14ac:dyDescent="0.25">
      <c r="C34" s="1049" t="s">
        <v>663</v>
      </c>
      <c r="D34" s="1049"/>
      <c r="E34" s="1049"/>
      <c r="F34" s="1049"/>
      <c r="G34" s="1049"/>
      <c r="H34" s="1049"/>
      <c r="I34" s="1049"/>
      <c r="J34" s="766"/>
    </row>
    <row r="35" spans="3:10" ht="18" customHeight="1" x14ac:dyDescent="0.25">
      <c r="C35" s="1050" t="s">
        <v>664</v>
      </c>
      <c r="D35" s="1050"/>
      <c r="E35" s="1050"/>
      <c r="F35" s="1050"/>
      <c r="G35" s="1050"/>
      <c r="H35" s="1050"/>
      <c r="I35" s="1050"/>
      <c r="J35" s="767"/>
    </row>
    <row r="36" spans="3:10" x14ac:dyDescent="0.25">
      <c r="C36" s="1050"/>
      <c r="D36" s="1050"/>
      <c r="E36" s="1050"/>
      <c r="F36" s="1050"/>
      <c r="G36" s="1050"/>
      <c r="H36" s="1050"/>
      <c r="I36" s="1050"/>
      <c r="J36" s="767"/>
    </row>
    <row r="37" spans="3:10" x14ac:dyDescent="0.25">
      <c r="C37" s="1050"/>
      <c r="D37" s="1050"/>
      <c r="E37" s="1050"/>
      <c r="F37" s="1050"/>
      <c r="G37" s="1050"/>
      <c r="H37" s="1050"/>
      <c r="I37" s="1050"/>
      <c r="J37" s="767"/>
    </row>
    <row r="38" spans="3:10" x14ac:dyDescent="0.25">
      <c r="C38" s="768"/>
      <c r="D38" s="768"/>
      <c r="E38" s="768"/>
      <c r="F38" s="768"/>
      <c r="G38" s="768"/>
      <c r="H38" s="768"/>
      <c r="I38" s="768"/>
      <c r="J38" s="768"/>
    </row>
    <row r="39" spans="3:10" x14ac:dyDescent="0.25">
      <c r="C39" s="151"/>
      <c r="D39" s="152"/>
      <c r="E39" s="153" t="s">
        <v>665</v>
      </c>
      <c r="F39" s="154" t="b">
        <v>0</v>
      </c>
      <c r="G39" s="400" t="s">
        <v>666</v>
      </c>
      <c r="H39" s="154" t="b">
        <v>0</v>
      </c>
      <c r="I39" s="155"/>
    </row>
    <row r="41" spans="3:10" ht="15" customHeight="1" x14ac:dyDescent="0.25">
      <c r="C41" s="769" t="s">
        <v>667</v>
      </c>
      <c r="D41" s="770"/>
      <c r="E41" s="770"/>
      <c r="F41" s="770"/>
      <c r="G41" s="770"/>
      <c r="H41" s="770"/>
      <c r="I41" s="771"/>
      <c r="J41" s="801"/>
    </row>
    <row r="42" spans="3:10" x14ac:dyDescent="0.25">
      <c r="C42" s="156" t="s">
        <v>668</v>
      </c>
      <c r="D42" s="157" t="b">
        <v>0</v>
      </c>
      <c r="E42" s="158" t="s">
        <v>669</v>
      </c>
      <c r="F42" s="157" t="b">
        <v>0</v>
      </c>
      <c r="G42" s="166"/>
      <c r="H42" s="166"/>
      <c r="I42" s="167"/>
    </row>
    <row r="43" spans="3:10" ht="10.5" customHeight="1" x14ac:dyDescent="0.25"/>
    <row r="44" spans="3:10" x14ac:dyDescent="0.25">
      <c r="C44" s="772" t="s">
        <v>670</v>
      </c>
    </row>
    <row r="45" spans="3:10" ht="6.75" customHeight="1" x14ac:dyDescent="0.25">
      <c r="C45" s="772"/>
    </row>
    <row r="46" spans="3:10" x14ac:dyDescent="0.25">
      <c r="C46" s="773" t="s">
        <v>671</v>
      </c>
      <c r="D46" s="160"/>
      <c r="E46" s="160"/>
      <c r="F46" s="160"/>
      <c r="G46" s="160"/>
      <c r="H46" s="160"/>
      <c r="I46" s="161"/>
    </row>
    <row r="47" spans="3:10" x14ac:dyDescent="0.25">
      <c r="C47" s="156" t="s">
        <v>668</v>
      </c>
      <c r="D47" s="157" t="b">
        <v>0</v>
      </c>
      <c r="E47" s="158" t="s">
        <v>669</v>
      </c>
      <c r="F47" s="157" t="b">
        <v>0</v>
      </c>
      <c r="G47" s="166"/>
      <c r="H47" s="166"/>
      <c r="I47" s="167"/>
    </row>
    <row r="49" spans="3:9" ht="24" customHeight="1" x14ac:dyDescent="0.25">
      <c r="C49" s="1047"/>
      <c r="D49" s="1048"/>
      <c r="E49" s="150"/>
      <c r="F49" s="1047"/>
      <c r="G49" s="1051"/>
      <c r="H49" s="150"/>
    </row>
    <row r="50" spans="3:9" x14ac:dyDescent="0.25">
      <c r="C50" s="1045" t="s">
        <v>672</v>
      </c>
      <c r="D50" s="1045"/>
      <c r="E50" s="765" t="s">
        <v>70</v>
      </c>
      <c r="F50" s="1046" t="s">
        <v>673</v>
      </c>
      <c r="G50" s="1046"/>
      <c r="H50" s="765" t="s">
        <v>70</v>
      </c>
    </row>
    <row r="52" spans="3:9" x14ac:dyDescent="0.25">
      <c r="C52" s="774" t="s">
        <v>674</v>
      </c>
    </row>
    <row r="53" spans="3:9" x14ac:dyDescent="0.25">
      <c r="C53" s="159"/>
      <c r="D53" s="160"/>
      <c r="E53" s="160"/>
      <c r="F53" s="160"/>
      <c r="G53" s="160"/>
      <c r="H53" s="160"/>
      <c r="I53" s="161"/>
    </row>
    <row r="54" spans="3:9" x14ac:dyDescent="0.25">
      <c r="C54" s="162"/>
      <c r="I54" s="164"/>
    </row>
    <row r="55" spans="3:9" x14ac:dyDescent="0.25">
      <c r="C55" s="162"/>
      <c r="I55" s="164"/>
    </row>
    <row r="56" spans="3:9" x14ac:dyDescent="0.25">
      <c r="C56" s="162"/>
      <c r="I56" s="164"/>
    </row>
    <row r="57" spans="3:9" x14ac:dyDescent="0.25">
      <c r="C57" s="162"/>
      <c r="I57" s="164"/>
    </row>
    <row r="58" spans="3:9" x14ac:dyDescent="0.25">
      <c r="C58" s="162"/>
      <c r="I58" s="164"/>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5"/>
      <c r="D70" s="166"/>
      <c r="E70" s="166"/>
      <c r="F70" s="166"/>
      <c r="G70" s="166"/>
      <c r="H70" s="166"/>
      <c r="I70" s="167"/>
    </row>
  </sheetData>
  <sheetProtection algorithmName="SHA-512" hashValue="2kV5t9qVwSrBqytF1+ZMyDRrI24O5XRv1uPALGY2p28x2fA/mzgMTyxjWEoS9pgojUU/ICiDQbRUEuRBmIMXSQ==" saltValue="BgrOAFEV5MTwe5UtYPJUAA==" spinCount="100000" sheet="1" objects="1" scenarios="1"/>
  <mergeCells count="28">
    <mergeCell ref="C1:I1"/>
    <mergeCell ref="C50:D50"/>
    <mergeCell ref="F50:G50"/>
    <mergeCell ref="D29:I29"/>
    <mergeCell ref="C31:D31"/>
    <mergeCell ref="C32:D32"/>
    <mergeCell ref="C34:I34"/>
    <mergeCell ref="C35:I37"/>
    <mergeCell ref="C49:D49"/>
    <mergeCell ref="F49:G49"/>
    <mergeCell ref="D28:I28"/>
    <mergeCell ref="D16:E16"/>
    <mergeCell ref="D17:E17"/>
    <mergeCell ref="D18:E18"/>
    <mergeCell ref="D19:E19"/>
    <mergeCell ref="D20:E20"/>
    <mergeCell ref="D27:I27"/>
    <mergeCell ref="D15:E15"/>
    <mergeCell ref="E2:I2"/>
    <mergeCell ref="F3:I3"/>
    <mergeCell ref="C9:I11"/>
    <mergeCell ref="D13:I13"/>
    <mergeCell ref="D14:E14"/>
    <mergeCell ref="D22:I22"/>
    <mergeCell ref="D23:I23"/>
    <mergeCell ref="D24:I24"/>
    <mergeCell ref="D25:I25"/>
    <mergeCell ref="D26:I26"/>
  </mergeCells>
  <conditionalFormatting sqref="F17:F20">
    <cfRule type="expression" dxfId="24" priority="2">
      <formula>$F$18="N/A"</formula>
    </cfRule>
  </conditionalFormatting>
  <conditionalFormatting sqref="F21">
    <cfRule type="expression" dxfId="23" priority="1">
      <formula>$F$20="N/A"</formula>
    </cfRule>
  </conditionalFormatting>
  <conditionalFormatting sqref="I6">
    <cfRule type="expression" dxfId="22" priority="4">
      <formula>ISBLANK($I$6)</formula>
    </cfRule>
  </conditionalFormatting>
  <conditionalFormatting sqref="I7">
    <cfRule type="expression" dxfId="21" priority="3">
      <formula>ISBLANK($I$7)</formula>
    </cfRule>
  </conditionalFormatting>
  <pageMargins left="0.25" right="0.25" top="0.75" bottom="0.75" header="0.3" footer="0.3"/>
  <pageSetup scale="84"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160770"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160771"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160772"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160773"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160774"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160775"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160776"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160777" r:id="rId12" name="Check Box 9">
              <controlPr locked="0" defaultSize="0" autoFill="0" autoLine="0" autoPict="0">
                <anchor moveWithCells="1">
                  <from>
                    <xdr:col>2</xdr:col>
                    <xdr:colOff>428625</xdr:colOff>
                    <xdr:row>28</xdr:row>
                    <xdr:rowOff>476250</xdr:rowOff>
                  </from>
                  <to>
                    <xdr:col>2</xdr:col>
                    <xdr:colOff>914400</xdr:colOff>
                    <xdr:row>28</xdr:row>
                    <xdr:rowOff>695325</xdr:rowOff>
                  </to>
                </anchor>
              </controlPr>
            </control>
          </mc:Choice>
        </mc:AlternateContent>
        <mc:AlternateContent xmlns:mc="http://schemas.openxmlformats.org/markup-compatibility/2006">
          <mc:Choice Requires="x14">
            <control shapeId="160778" r:id="rId13" name="Check Box 10">
              <controlPr locked="0" defaultSize="0" autoFill="0" autoLine="0" autoPict="0">
                <anchor moveWithCells="1">
                  <from>
                    <xdr:col>2</xdr:col>
                    <xdr:colOff>438150</xdr:colOff>
                    <xdr:row>28</xdr:row>
                    <xdr:rowOff>781050</xdr:rowOff>
                  </from>
                  <to>
                    <xdr:col>2</xdr:col>
                    <xdr:colOff>923925</xdr:colOff>
                    <xdr:row>28</xdr:row>
                    <xdr:rowOff>1000125</xdr:rowOff>
                  </to>
                </anchor>
              </controlPr>
            </control>
          </mc:Choice>
        </mc:AlternateContent>
        <mc:AlternateContent xmlns:mc="http://schemas.openxmlformats.org/markup-compatibility/2006">
          <mc:Choice Requires="x14">
            <control shapeId="160779" r:id="rId14" name="Check Box 11">
              <controlPr locked="0" defaultSize="0" autoFill="0" autoLine="0" autoPict="0">
                <anchor moveWithCells="1">
                  <from>
                    <xdr:col>2</xdr:col>
                    <xdr:colOff>66675</xdr:colOff>
                    <xdr:row>28</xdr:row>
                    <xdr:rowOff>476250</xdr:rowOff>
                  </from>
                  <to>
                    <xdr:col>2</xdr:col>
                    <xdr:colOff>552450</xdr:colOff>
                    <xdr:row>28</xdr:row>
                    <xdr:rowOff>695325</xdr:rowOff>
                  </to>
                </anchor>
              </controlPr>
            </control>
          </mc:Choice>
        </mc:AlternateContent>
        <mc:AlternateContent xmlns:mc="http://schemas.openxmlformats.org/markup-compatibility/2006">
          <mc:Choice Requires="x14">
            <control shapeId="160780" r:id="rId15" name="Check Box 12">
              <controlPr locked="0" defaultSize="0" autoFill="0" autoLine="0" autoPict="0">
                <anchor moveWithCells="1">
                  <from>
                    <xdr:col>2</xdr:col>
                    <xdr:colOff>66675</xdr:colOff>
                    <xdr:row>28</xdr:row>
                    <xdr:rowOff>781050</xdr:rowOff>
                  </from>
                  <to>
                    <xdr:col>2</xdr:col>
                    <xdr:colOff>552450</xdr:colOff>
                    <xdr:row>28</xdr:row>
                    <xdr:rowOff>1000125</xdr:rowOff>
                  </to>
                </anchor>
              </controlPr>
            </control>
          </mc:Choice>
        </mc:AlternateContent>
        <mc:AlternateContent xmlns:mc="http://schemas.openxmlformats.org/markup-compatibility/2006">
          <mc:Choice Requires="x14">
            <control shapeId="160781"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60782"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60783"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60784"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60785"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60786"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60787" r:id="rId22" name="Check Box 19">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60788" r:id="rId23" name="Check Box 20">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60789" r:id="rId24" name="Check Box 21">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60790" r:id="rId25" name="Check Box 22">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60791" r:id="rId26" name="Check Box 2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60792" r:id="rId27" name="Check Box 2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60793" r:id="rId28" name="Check Box 25">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60794" r:id="rId29" name="Check Box 26">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60795" r:id="rId30" name="Check Box 27">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160796" r:id="rId31" name="Check Box 28">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09B37-A5B8-41BB-8230-693E5D4C9F20}">
  <sheetPr>
    <pageSetUpPr fitToPage="1"/>
  </sheetPr>
  <dimension ref="B1:H60"/>
  <sheetViews>
    <sheetView zoomScale="120" zoomScaleNormal="120" workbookViewId="0">
      <selection activeCell="D12" sqref="D12"/>
    </sheetView>
  </sheetViews>
  <sheetFormatPr defaultColWidth="9.140625" defaultRowHeight="15" x14ac:dyDescent="0.25"/>
  <cols>
    <col min="1" max="1" width="4.28515625" style="1" customWidth="1"/>
    <col min="2" max="2" width="4.7109375" style="63" bestFit="1" customWidth="1"/>
    <col min="3" max="3" width="21.140625" style="63" customWidth="1"/>
    <col min="4" max="4" width="29.28515625" style="63" customWidth="1"/>
    <col min="5" max="5" width="24.140625" style="63" customWidth="1"/>
    <col min="6" max="6" width="23.140625" style="63" customWidth="1"/>
    <col min="7" max="7" width="22.28515625" style="63" customWidth="1"/>
    <col min="8" max="8" width="6.42578125" style="63" customWidth="1"/>
    <col min="9" max="16384" width="9.140625" style="1"/>
  </cols>
  <sheetData>
    <row r="1" spans="2:8" ht="15.75" x14ac:dyDescent="0.25">
      <c r="C1" s="1044" t="s">
        <v>48</v>
      </c>
      <c r="D1" s="1044"/>
      <c r="E1" s="1044"/>
      <c r="F1" s="1044"/>
      <c r="G1" s="1044"/>
    </row>
    <row r="2" spans="2:8" ht="27.75" customHeight="1" x14ac:dyDescent="0.25">
      <c r="C2" s="147"/>
      <c r="D2" s="779"/>
      <c r="E2" s="1070" t="str">
        <f>'Wall Insulation - MRD'!$E$2</f>
        <v/>
      </c>
      <c r="F2" s="1070"/>
      <c r="G2" s="1071"/>
    </row>
    <row r="3" spans="2:8" ht="27.75" customHeight="1" x14ac:dyDescent="0.35">
      <c r="C3" s="148"/>
      <c r="D3" s="780"/>
      <c r="E3" s="1072" t="s">
        <v>644</v>
      </c>
      <c r="F3" s="1072"/>
      <c r="G3" s="1073"/>
    </row>
    <row r="4" spans="2:8" x14ac:dyDescent="0.25">
      <c r="C4" s="99"/>
      <c r="D4" s="99"/>
      <c r="E4" s="99"/>
      <c r="F4" s="99"/>
      <c r="G4" s="99"/>
    </row>
    <row r="5" spans="2:8" x14ac:dyDescent="0.25">
      <c r="C5" s="775" t="s">
        <v>645</v>
      </c>
      <c r="D5" s="781" t="str">
        <f>IF('Wall Insulation - MRD'!$D$5="", "", 'Wall Insulation - MRD'!$D$5)</f>
        <v/>
      </c>
      <c r="E5" s="706"/>
      <c r="F5" s="775" t="s">
        <v>646</v>
      </c>
      <c r="G5" s="782" t="str">
        <f>IF('Wall Insulation - MRD'!$I$5="", "", 'Wall Insulation - MRD'!$I$5)</f>
        <v/>
      </c>
    </row>
    <row r="6" spans="2:8" x14ac:dyDescent="0.25">
      <c r="C6" s="775" t="s">
        <v>134</v>
      </c>
      <c r="D6" s="776" t="str">
        <f>IF('Wall Insulation - MRD'!$D$6="",  "", 'Wall Insulation - MRD'!$D$6)</f>
        <v/>
      </c>
      <c r="E6" s="706"/>
      <c r="F6" s="775" t="s">
        <v>647</v>
      </c>
      <c r="G6" s="788" t="str">
        <f>IF('Wall Insulation - MRD'!$I$6="", "", 'Wall Insulation - MRD'!$I$6)</f>
        <v/>
      </c>
    </row>
    <row r="7" spans="2:8" x14ac:dyDescent="0.25">
      <c r="C7" s="775" t="s">
        <v>648</v>
      </c>
      <c r="D7" s="776" t="str">
        <f>IF('Wall Insulation - MRD'!$D$7="", "", 'Wall Insulation - MRD'!$D$7)</f>
        <v/>
      </c>
      <c r="E7" s="706"/>
      <c r="F7" s="775" t="s">
        <v>649</v>
      </c>
      <c r="G7" s="788" t="str">
        <f>IF('Wall Insulation - MRD'!$I$7="", "", 'Wall Insulation - MRD'!$I$7)</f>
        <v/>
      </c>
    </row>
    <row r="8" spans="2:8" x14ac:dyDescent="0.25">
      <c r="C8" s="99"/>
      <c r="D8" s="99"/>
      <c r="E8" s="99"/>
      <c r="F8" s="99"/>
      <c r="G8" s="99"/>
    </row>
    <row r="9" spans="2:8" s="808" customFormat="1" ht="42" customHeight="1" x14ac:dyDescent="0.2">
      <c r="B9" s="806" t="s">
        <v>133</v>
      </c>
      <c r="C9" s="806" t="s">
        <v>134</v>
      </c>
      <c r="D9" s="806" t="s">
        <v>135</v>
      </c>
      <c r="E9" s="806" t="s">
        <v>393</v>
      </c>
      <c r="F9" s="807" t="str">
        <f>IF('Wall Insulation'!$D$6="Gut Rehab", "", "Is The Existing Insulation Being Removed?")</f>
        <v>Is The Existing Insulation Being Removed?</v>
      </c>
      <c r="G9" s="807" t="s">
        <v>394</v>
      </c>
      <c r="H9" s="806" t="s">
        <v>678</v>
      </c>
    </row>
    <row r="10" spans="2:8" s="812" customFormat="1" ht="18" customHeight="1" x14ac:dyDescent="0.25">
      <c r="B10" s="809">
        <v>1</v>
      </c>
      <c r="C10" s="809" t="str">
        <f>IF('Wall Insulation'!D28="", "", 'Wall Insulation'!D28)</f>
        <v/>
      </c>
      <c r="D10" s="809" t="str">
        <f>IF('Wall Insulation'!E28="", "", 'Wall Insulation'!E28)</f>
        <v/>
      </c>
      <c r="E10" s="810" t="str">
        <f>IF('Wall Insulation'!G28="", "",'Wall Insulation'!G28)</f>
        <v/>
      </c>
      <c r="F10" s="809" t="str">
        <f>IF('Wall Insulation'!H28="", "", 'Wall Insulation'!H28)</f>
        <v/>
      </c>
      <c r="G10" s="811" t="str">
        <f>IF('Wall Insulation'!I28="", "", 'Wall Insulation'!I28)</f>
        <v/>
      </c>
      <c r="H10" s="401"/>
    </row>
    <row r="11" spans="2:8" s="812" customFormat="1" ht="18" customHeight="1" x14ac:dyDescent="0.25">
      <c r="B11" s="809">
        <v>2</v>
      </c>
      <c r="C11" s="809" t="str">
        <f>IF('Wall Insulation'!D29="", "", 'Wall Insulation'!D29)</f>
        <v/>
      </c>
      <c r="D11" s="809" t="str">
        <f>IF('Wall Insulation'!E29="", "", 'Wall Insulation'!E29)</f>
        <v/>
      </c>
      <c r="E11" s="810" t="str">
        <f>IF('Wall Insulation'!G29="", "",'Wall Insulation'!G29)</f>
        <v/>
      </c>
      <c r="F11" s="809" t="str">
        <f>IF('Wall Insulation'!H29="", "", 'Wall Insulation'!H29)</f>
        <v/>
      </c>
      <c r="G11" s="811" t="str">
        <f>IF('Wall Insulation'!I29="", "", 'Wall Insulation'!I29)</f>
        <v/>
      </c>
      <c r="H11" s="401"/>
    </row>
    <row r="12" spans="2:8" s="812" customFormat="1" ht="18" customHeight="1" x14ac:dyDescent="0.25">
      <c r="B12" s="809">
        <v>3</v>
      </c>
      <c r="C12" s="809" t="str">
        <f>IF('Wall Insulation'!D30="", "", 'Wall Insulation'!D30)</f>
        <v/>
      </c>
      <c r="D12" s="809" t="str">
        <f>IF('Wall Insulation'!E30="", "", 'Wall Insulation'!E30)</f>
        <v/>
      </c>
      <c r="E12" s="810" t="str">
        <f>IF('Wall Insulation'!G30="", "",'Wall Insulation'!G30)</f>
        <v/>
      </c>
      <c r="F12" s="809" t="str">
        <f>IF('Wall Insulation'!H30="", "", 'Wall Insulation'!H30)</f>
        <v/>
      </c>
      <c r="G12" s="811" t="str">
        <f>IF('Wall Insulation'!I30="", "", 'Wall Insulation'!I30)</f>
        <v/>
      </c>
      <c r="H12" s="401"/>
    </row>
    <row r="13" spans="2:8" s="812" customFormat="1" ht="18" customHeight="1" x14ac:dyDescent="0.25">
      <c r="B13" s="809">
        <v>4</v>
      </c>
      <c r="C13" s="809" t="str">
        <f>IF('Wall Insulation'!D31="", "", 'Wall Insulation'!D31)</f>
        <v/>
      </c>
      <c r="D13" s="809" t="str">
        <f>IF('Wall Insulation'!E31="", "", 'Wall Insulation'!E31)</f>
        <v/>
      </c>
      <c r="E13" s="810" t="str">
        <f>IF('Wall Insulation'!G31="", "",'Wall Insulation'!G31)</f>
        <v/>
      </c>
      <c r="F13" s="809" t="str">
        <f>IF('Wall Insulation'!H31="", "", 'Wall Insulation'!H31)</f>
        <v/>
      </c>
      <c r="G13" s="811" t="str">
        <f>IF('Wall Insulation'!I31="", "", 'Wall Insulation'!I31)</f>
        <v/>
      </c>
      <c r="H13" s="401"/>
    </row>
    <row r="14" spans="2:8" s="812" customFormat="1" ht="18" customHeight="1" x14ac:dyDescent="0.25">
      <c r="B14" s="809">
        <v>5</v>
      </c>
      <c r="C14" s="809" t="str">
        <f>IF('Wall Insulation'!D32="", "", 'Wall Insulation'!D32)</f>
        <v/>
      </c>
      <c r="D14" s="809" t="str">
        <f>IF('Wall Insulation'!E32="", "", 'Wall Insulation'!E32)</f>
        <v/>
      </c>
      <c r="E14" s="810" t="str">
        <f>IF('Wall Insulation'!G32="", "",'Wall Insulation'!G32)</f>
        <v/>
      </c>
      <c r="F14" s="809" t="str">
        <f>IF('Wall Insulation'!H32="", "", 'Wall Insulation'!H32)</f>
        <v/>
      </c>
      <c r="G14" s="811" t="str">
        <f>IF('Wall Insulation'!I32="", "", 'Wall Insulation'!I32)</f>
        <v/>
      </c>
      <c r="H14" s="401"/>
    </row>
    <row r="15" spans="2:8" s="812" customFormat="1" ht="18" customHeight="1" x14ac:dyDescent="0.25">
      <c r="B15" s="809">
        <v>6</v>
      </c>
      <c r="C15" s="809" t="str">
        <f>IF('Wall Insulation'!D33="", "", 'Wall Insulation'!D33)</f>
        <v/>
      </c>
      <c r="D15" s="809" t="str">
        <f>IF('Wall Insulation'!E33="", "", 'Wall Insulation'!E33)</f>
        <v/>
      </c>
      <c r="E15" s="810" t="str">
        <f>IF('Wall Insulation'!G33="", "",'Wall Insulation'!G33)</f>
        <v/>
      </c>
      <c r="F15" s="809" t="str">
        <f>IF('Wall Insulation'!H33="", "", 'Wall Insulation'!H33)</f>
        <v/>
      </c>
      <c r="G15" s="811" t="str">
        <f>IF('Wall Insulation'!I33="", "", 'Wall Insulation'!I33)</f>
        <v/>
      </c>
      <c r="H15" s="401"/>
    </row>
    <row r="16" spans="2:8" s="812" customFormat="1" ht="18" customHeight="1" x14ac:dyDescent="0.25">
      <c r="B16" s="809">
        <v>7</v>
      </c>
      <c r="C16" s="809" t="str">
        <f>IF('Wall Insulation'!D34="", "", 'Wall Insulation'!D34)</f>
        <v/>
      </c>
      <c r="D16" s="809" t="str">
        <f>IF('Wall Insulation'!E34="", "", 'Wall Insulation'!E34)</f>
        <v/>
      </c>
      <c r="E16" s="810" t="str">
        <f>IF('Wall Insulation'!G34="", "",'Wall Insulation'!G34)</f>
        <v/>
      </c>
      <c r="F16" s="809" t="str">
        <f>IF('Wall Insulation'!H34="", "", 'Wall Insulation'!H34)</f>
        <v/>
      </c>
      <c r="G16" s="811" t="str">
        <f>IF('Wall Insulation'!I34="", "", 'Wall Insulation'!I34)</f>
        <v/>
      </c>
      <c r="H16" s="401"/>
    </row>
    <row r="17" spans="2:8" s="812" customFormat="1" ht="18" customHeight="1" x14ac:dyDescent="0.25">
      <c r="B17" s="809">
        <v>8</v>
      </c>
      <c r="C17" s="809" t="str">
        <f>IF('Wall Insulation'!D35="", "", 'Wall Insulation'!D35)</f>
        <v/>
      </c>
      <c r="D17" s="809" t="str">
        <f>IF('Wall Insulation'!E35="", "", 'Wall Insulation'!E35)</f>
        <v/>
      </c>
      <c r="E17" s="810" t="str">
        <f>IF('Wall Insulation'!G35="", "",'Wall Insulation'!G35)</f>
        <v/>
      </c>
      <c r="F17" s="809" t="str">
        <f>IF('Wall Insulation'!H35="", "", 'Wall Insulation'!H35)</f>
        <v/>
      </c>
      <c r="G17" s="811" t="str">
        <f>IF('Wall Insulation'!I35="", "", 'Wall Insulation'!I35)</f>
        <v/>
      </c>
      <c r="H17" s="401"/>
    </row>
    <row r="18" spans="2:8" s="812" customFormat="1" ht="18" customHeight="1" x14ac:dyDescent="0.25">
      <c r="B18" s="809">
        <v>9</v>
      </c>
      <c r="C18" s="809" t="str">
        <f>IF('Wall Insulation'!D36="", "", 'Wall Insulation'!D36)</f>
        <v/>
      </c>
      <c r="D18" s="809" t="str">
        <f>IF('Wall Insulation'!E36="", "", 'Wall Insulation'!E36)</f>
        <v/>
      </c>
      <c r="E18" s="810" t="str">
        <f>IF('Wall Insulation'!G36="", "",'Wall Insulation'!G36)</f>
        <v/>
      </c>
      <c r="F18" s="809" t="str">
        <f>IF('Wall Insulation'!H36="", "", 'Wall Insulation'!H36)</f>
        <v/>
      </c>
      <c r="G18" s="811" t="str">
        <f>IF('Wall Insulation'!I36="", "", 'Wall Insulation'!I36)</f>
        <v/>
      </c>
      <c r="H18" s="401"/>
    </row>
    <row r="19" spans="2:8" s="812" customFormat="1" ht="18" customHeight="1" x14ac:dyDescent="0.25">
      <c r="B19" s="809">
        <v>10</v>
      </c>
      <c r="C19" s="809" t="str">
        <f>IF('Wall Insulation'!D37="", "", 'Wall Insulation'!D37)</f>
        <v/>
      </c>
      <c r="D19" s="809" t="str">
        <f>IF('Wall Insulation'!E37="", "", 'Wall Insulation'!E37)</f>
        <v/>
      </c>
      <c r="E19" s="810" t="str">
        <f>IF('Wall Insulation'!G37="", "",'Wall Insulation'!G37)</f>
        <v/>
      </c>
      <c r="F19" s="809" t="str">
        <f>IF('Wall Insulation'!H37="", "", 'Wall Insulation'!H37)</f>
        <v/>
      </c>
      <c r="G19" s="811" t="str">
        <f>IF('Wall Insulation'!I37="", "", 'Wall Insulation'!I37)</f>
        <v/>
      </c>
      <c r="H19" s="401"/>
    </row>
    <row r="20" spans="2:8" s="812" customFormat="1" ht="18" customHeight="1" x14ac:dyDescent="0.25">
      <c r="B20" s="809">
        <v>11</v>
      </c>
      <c r="C20" s="809" t="str">
        <f>IF('Wall Insulation'!D38="", "", 'Wall Insulation'!D38)</f>
        <v/>
      </c>
      <c r="D20" s="809" t="str">
        <f>IF('Wall Insulation'!E38="", "", 'Wall Insulation'!E38)</f>
        <v/>
      </c>
      <c r="E20" s="810" t="str">
        <f>IF('Wall Insulation'!G38="", "",'Wall Insulation'!G38)</f>
        <v/>
      </c>
      <c r="F20" s="809" t="str">
        <f>IF('Wall Insulation'!H38="", "", 'Wall Insulation'!H38)</f>
        <v/>
      </c>
      <c r="G20" s="811" t="str">
        <f>IF('Wall Insulation'!I38="", "", 'Wall Insulation'!I38)</f>
        <v/>
      </c>
      <c r="H20" s="401"/>
    </row>
    <row r="21" spans="2:8" s="812" customFormat="1" ht="18" customHeight="1" x14ac:dyDescent="0.25">
      <c r="B21" s="809">
        <v>12</v>
      </c>
      <c r="C21" s="809" t="str">
        <f>IF('Wall Insulation'!D39="", "", 'Wall Insulation'!D39)</f>
        <v/>
      </c>
      <c r="D21" s="809" t="str">
        <f>IF('Wall Insulation'!E39="", "", 'Wall Insulation'!E39)</f>
        <v/>
      </c>
      <c r="E21" s="810" t="str">
        <f>IF('Wall Insulation'!G39="", "",'Wall Insulation'!G39)</f>
        <v/>
      </c>
      <c r="F21" s="809" t="str">
        <f>IF('Wall Insulation'!H39="", "", 'Wall Insulation'!H39)</f>
        <v/>
      </c>
      <c r="G21" s="811" t="str">
        <f>IF('Wall Insulation'!I39="", "", 'Wall Insulation'!I39)</f>
        <v/>
      </c>
      <c r="H21" s="401"/>
    </row>
    <row r="22" spans="2:8" s="812" customFormat="1" ht="18" customHeight="1" x14ac:dyDescent="0.25">
      <c r="B22" s="809">
        <v>13</v>
      </c>
      <c r="C22" s="809" t="str">
        <f>IF('Wall Insulation'!D40="", "", 'Wall Insulation'!D40)</f>
        <v/>
      </c>
      <c r="D22" s="809" t="str">
        <f>IF('Wall Insulation'!E40="", "", 'Wall Insulation'!E40)</f>
        <v/>
      </c>
      <c r="E22" s="810" t="str">
        <f>IF('Wall Insulation'!G40="", "",'Wall Insulation'!G40)</f>
        <v/>
      </c>
      <c r="F22" s="809" t="str">
        <f>IF('Wall Insulation'!H40="", "", 'Wall Insulation'!H40)</f>
        <v/>
      </c>
      <c r="G22" s="811" t="str">
        <f>IF('Wall Insulation'!I40="", "", 'Wall Insulation'!I40)</f>
        <v/>
      </c>
      <c r="H22" s="401"/>
    </row>
    <row r="23" spans="2:8" s="812" customFormat="1" ht="18" customHeight="1" x14ac:dyDescent="0.25">
      <c r="B23" s="809">
        <v>14</v>
      </c>
      <c r="C23" s="809" t="str">
        <f>IF('Wall Insulation'!D41="", "", 'Wall Insulation'!D41)</f>
        <v/>
      </c>
      <c r="D23" s="809" t="str">
        <f>IF('Wall Insulation'!E41="", "", 'Wall Insulation'!E41)</f>
        <v/>
      </c>
      <c r="E23" s="810" t="str">
        <f>IF('Wall Insulation'!G41="", "",'Wall Insulation'!G41)</f>
        <v/>
      </c>
      <c r="F23" s="809" t="str">
        <f>IF('Wall Insulation'!H41="", "", 'Wall Insulation'!H41)</f>
        <v/>
      </c>
      <c r="G23" s="811" t="str">
        <f>IF('Wall Insulation'!I41="", "", 'Wall Insulation'!I41)</f>
        <v/>
      </c>
      <c r="H23" s="401"/>
    </row>
    <row r="24" spans="2:8" s="812" customFormat="1" ht="18" customHeight="1" x14ac:dyDescent="0.25">
      <c r="B24" s="809">
        <v>15</v>
      </c>
      <c r="C24" s="809" t="str">
        <f>IF('Wall Insulation'!D42="", "", 'Wall Insulation'!D42)</f>
        <v/>
      </c>
      <c r="D24" s="809" t="str">
        <f>IF('Wall Insulation'!E42="", "", 'Wall Insulation'!E42)</f>
        <v/>
      </c>
      <c r="E24" s="810" t="str">
        <f>IF('Wall Insulation'!G42="", "",'Wall Insulation'!G42)</f>
        <v/>
      </c>
      <c r="F24" s="809" t="str">
        <f>IF('Wall Insulation'!H42="", "", 'Wall Insulation'!H42)</f>
        <v/>
      </c>
      <c r="G24" s="811" t="str">
        <f>IF('Wall Insulation'!I42="", "", 'Wall Insulation'!I42)</f>
        <v/>
      </c>
      <c r="H24" s="401"/>
    </row>
    <row r="25" spans="2:8" s="812" customFormat="1" ht="18" customHeight="1" x14ac:dyDescent="0.25">
      <c r="B25" s="809">
        <v>16</v>
      </c>
      <c r="C25" s="809" t="str">
        <f>IF('Wall Insulation'!D43="", "", 'Wall Insulation'!D43)</f>
        <v/>
      </c>
      <c r="D25" s="809" t="str">
        <f>IF('Wall Insulation'!E43="", "", 'Wall Insulation'!E43)</f>
        <v/>
      </c>
      <c r="E25" s="810" t="str">
        <f>IF('Wall Insulation'!G43="", "",'Wall Insulation'!G43)</f>
        <v/>
      </c>
      <c r="F25" s="809" t="str">
        <f>IF('Wall Insulation'!H43="", "", 'Wall Insulation'!H43)</f>
        <v/>
      </c>
      <c r="G25" s="811" t="str">
        <f>IF('Wall Insulation'!I43="", "", 'Wall Insulation'!I43)</f>
        <v/>
      </c>
      <c r="H25" s="401"/>
    </row>
    <row r="26" spans="2:8" s="812" customFormat="1" ht="18" customHeight="1" x14ac:dyDescent="0.25">
      <c r="B26" s="809">
        <v>17</v>
      </c>
      <c r="C26" s="809" t="str">
        <f>IF('Wall Insulation'!D44="", "", 'Wall Insulation'!D44)</f>
        <v/>
      </c>
      <c r="D26" s="809" t="str">
        <f>IF('Wall Insulation'!E44="", "", 'Wall Insulation'!E44)</f>
        <v/>
      </c>
      <c r="E26" s="810" t="str">
        <f>IF('Wall Insulation'!G44="", "",'Wall Insulation'!G44)</f>
        <v/>
      </c>
      <c r="F26" s="809" t="str">
        <f>IF('Wall Insulation'!H44="", "", 'Wall Insulation'!H44)</f>
        <v/>
      </c>
      <c r="G26" s="811" t="str">
        <f>IF('Wall Insulation'!I44="", "", 'Wall Insulation'!I44)</f>
        <v/>
      </c>
      <c r="H26" s="401"/>
    </row>
    <row r="27" spans="2:8" s="812" customFormat="1" ht="18" customHeight="1" x14ac:dyDescent="0.25">
      <c r="B27" s="809">
        <v>18</v>
      </c>
      <c r="C27" s="809" t="str">
        <f>IF('Wall Insulation'!D45="", "", 'Wall Insulation'!D45)</f>
        <v/>
      </c>
      <c r="D27" s="809" t="str">
        <f>IF('Wall Insulation'!E45="", "", 'Wall Insulation'!E45)</f>
        <v/>
      </c>
      <c r="E27" s="810" t="str">
        <f>IF('Wall Insulation'!G45="", "",'Wall Insulation'!G45)</f>
        <v/>
      </c>
      <c r="F27" s="809" t="str">
        <f>IF('Wall Insulation'!H45="", "", 'Wall Insulation'!H45)</f>
        <v/>
      </c>
      <c r="G27" s="811" t="str">
        <f>IF('Wall Insulation'!I45="", "", 'Wall Insulation'!I45)</f>
        <v/>
      </c>
      <c r="H27" s="401"/>
    </row>
    <row r="28" spans="2:8" s="812" customFormat="1" ht="18" customHeight="1" x14ac:dyDescent="0.25">
      <c r="B28" s="809">
        <v>19</v>
      </c>
      <c r="C28" s="809" t="str">
        <f>IF('Wall Insulation'!D46="", "", 'Wall Insulation'!D46)</f>
        <v/>
      </c>
      <c r="D28" s="809" t="str">
        <f>IF('Wall Insulation'!E46="", "", 'Wall Insulation'!E46)</f>
        <v/>
      </c>
      <c r="E28" s="810" t="str">
        <f>IF('Wall Insulation'!G46="", "",'Wall Insulation'!G46)</f>
        <v/>
      </c>
      <c r="F28" s="809" t="str">
        <f>IF('Wall Insulation'!H46="", "", 'Wall Insulation'!H46)</f>
        <v/>
      </c>
      <c r="G28" s="811" t="str">
        <f>IF('Wall Insulation'!I46="", "", 'Wall Insulation'!I46)</f>
        <v/>
      </c>
      <c r="H28" s="401"/>
    </row>
    <row r="29" spans="2:8" s="812" customFormat="1" ht="18" customHeight="1" x14ac:dyDescent="0.25">
      <c r="B29" s="809">
        <v>20</v>
      </c>
      <c r="C29" s="809" t="str">
        <f>IF('Wall Insulation'!D47="", "", 'Wall Insulation'!D47)</f>
        <v/>
      </c>
      <c r="D29" s="809" t="str">
        <f>IF('Wall Insulation'!E47="", "", 'Wall Insulation'!E47)</f>
        <v/>
      </c>
      <c r="E29" s="810" t="str">
        <f>IF('Wall Insulation'!G47="", "",'Wall Insulation'!G47)</f>
        <v/>
      </c>
      <c r="F29" s="809" t="str">
        <f>IF('Wall Insulation'!H47="", "", 'Wall Insulation'!H47)</f>
        <v/>
      </c>
      <c r="G29" s="811" t="str">
        <f>IF('Wall Insulation'!I47="", "", 'Wall Insulation'!I47)</f>
        <v/>
      </c>
      <c r="H29" s="401"/>
    </row>
    <row r="30" spans="2:8" s="812" customFormat="1" ht="18" customHeight="1" x14ac:dyDescent="0.25">
      <c r="B30" s="809">
        <v>21</v>
      </c>
      <c r="C30" s="809" t="str">
        <f>IF('Wall Insulation'!D48="", "", 'Wall Insulation'!D48)</f>
        <v/>
      </c>
      <c r="D30" s="809" t="str">
        <f>IF('Wall Insulation'!E48="", "", 'Wall Insulation'!E48)</f>
        <v/>
      </c>
      <c r="E30" s="810" t="str">
        <f>IF('Wall Insulation'!G48="", "",'Wall Insulation'!G48)</f>
        <v/>
      </c>
      <c r="F30" s="809" t="str">
        <f>IF('Wall Insulation'!H48="", "", 'Wall Insulation'!H48)</f>
        <v/>
      </c>
      <c r="G30" s="811" t="str">
        <f>IF('Wall Insulation'!I48="", "", 'Wall Insulation'!I48)</f>
        <v/>
      </c>
      <c r="H30" s="401"/>
    </row>
    <row r="31" spans="2:8" s="812" customFormat="1" ht="18" customHeight="1" x14ac:dyDescent="0.25">
      <c r="B31" s="809">
        <v>22</v>
      </c>
      <c r="C31" s="809" t="str">
        <f>IF('Wall Insulation'!D49="", "", 'Wall Insulation'!D49)</f>
        <v/>
      </c>
      <c r="D31" s="809" t="str">
        <f>IF('Wall Insulation'!E49="", "", 'Wall Insulation'!E49)</f>
        <v/>
      </c>
      <c r="E31" s="810" t="str">
        <f>IF('Wall Insulation'!G49="", "",'Wall Insulation'!G49)</f>
        <v/>
      </c>
      <c r="F31" s="809" t="str">
        <f>IF('Wall Insulation'!H49="", "", 'Wall Insulation'!H49)</f>
        <v/>
      </c>
      <c r="G31" s="811" t="str">
        <f>IF('Wall Insulation'!I49="", "", 'Wall Insulation'!I49)</f>
        <v/>
      </c>
      <c r="H31" s="401"/>
    </row>
    <row r="32" spans="2:8" s="812" customFormat="1" ht="18" customHeight="1" x14ac:dyDescent="0.25">
      <c r="B32" s="809">
        <v>23</v>
      </c>
      <c r="C32" s="809" t="str">
        <f>IF('Wall Insulation'!D50="", "", 'Wall Insulation'!D50)</f>
        <v/>
      </c>
      <c r="D32" s="809" t="str">
        <f>IF('Wall Insulation'!E50="", "", 'Wall Insulation'!E50)</f>
        <v/>
      </c>
      <c r="E32" s="810" t="str">
        <f>IF('Wall Insulation'!G50="", "",'Wall Insulation'!G50)</f>
        <v/>
      </c>
      <c r="F32" s="809" t="str">
        <f>IF('Wall Insulation'!H50="", "", 'Wall Insulation'!H50)</f>
        <v/>
      </c>
      <c r="G32" s="811" t="str">
        <f>IF('Wall Insulation'!I50="", "", 'Wall Insulation'!I50)</f>
        <v/>
      </c>
      <c r="H32" s="401"/>
    </row>
    <row r="33" spans="2:8" s="812" customFormat="1" ht="18" customHeight="1" x14ac:dyDescent="0.25">
      <c r="B33" s="809">
        <v>24</v>
      </c>
      <c r="C33" s="809" t="str">
        <f>IF('Wall Insulation'!D51="", "", 'Wall Insulation'!D51)</f>
        <v/>
      </c>
      <c r="D33" s="809" t="str">
        <f>IF('Wall Insulation'!E51="", "", 'Wall Insulation'!E51)</f>
        <v/>
      </c>
      <c r="E33" s="810" t="str">
        <f>IF('Wall Insulation'!G51="", "",'Wall Insulation'!G51)</f>
        <v/>
      </c>
      <c r="F33" s="809" t="str">
        <f>IF('Wall Insulation'!H51="", "", 'Wall Insulation'!H51)</f>
        <v/>
      </c>
      <c r="G33" s="811" t="str">
        <f>IF('Wall Insulation'!I51="", "", 'Wall Insulation'!I51)</f>
        <v/>
      </c>
      <c r="H33" s="401"/>
    </row>
    <row r="34" spans="2:8" s="812" customFormat="1" ht="18" customHeight="1" x14ac:dyDescent="0.25">
      <c r="B34" s="809">
        <v>25</v>
      </c>
      <c r="C34" s="809" t="str">
        <f>IF('Wall Insulation'!D52="", "", 'Wall Insulation'!D52)</f>
        <v/>
      </c>
      <c r="D34" s="809" t="str">
        <f>IF('Wall Insulation'!E52="", "", 'Wall Insulation'!E52)</f>
        <v/>
      </c>
      <c r="E34" s="810" t="str">
        <f>IF('Wall Insulation'!G52="", "",'Wall Insulation'!G52)</f>
        <v/>
      </c>
      <c r="F34" s="809" t="str">
        <f>IF('Wall Insulation'!H52="", "", 'Wall Insulation'!H52)</f>
        <v/>
      </c>
      <c r="G34" s="811" t="str">
        <f>IF('Wall Insulation'!I52="", "", 'Wall Insulation'!I52)</f>
        <v/>
      </c>
      <c r="H34" s="401"/>
    </row>
    <row r="35" spans="2:8" s="812" customFormat="1" ht="18" customHeight="1" x14ac:dyDescent="0.25">
      <c r="B35" s="809">
        <v>26</v>
      </c>
      <c r="C35" s="809" t="str">
        <f>IF('Wall Insulation'!D53="", "", 'Wall Insulation'!D53)</f>
        <v/>
      </c>
      <c r="D35" s="809" t="str">
        <f>IF('Wall Insulation'!E53="", "", 'Wall Insulation'!E53)</f>
        <v/>
      </c>
      <c r="E35" s="810" t="str">
        <f>IF('Wall Insulation'!G53="", "",'Wall Insulation'!G53)</f>
        <v/>
      </c>
      <c r="F35" s="809" t="str">
        <f>IF('Wall Insulation'!H53="", "", 'Wall Insulation'!H53)</f>
        <v/>
      </c>
      <c r="G35" s="811" t="str">
        <f>IF('Wall Insulation'!I53="", "", 'Wall Insulation'!I53)</f>
        <v/>
      </c>
      <c r="H35" s="401"/>
    </row>
    <row r="36" spans="2:8" s="812" customFormat="1" ht="18" customHeight="1" x14ac:dyDescent="0.25">
      <c r="B36" s="809">
        <v>27</v>
      </c>
      <c r="C36" s="809" t="str">
        <f>IF('Wall Insulation'!D54="", "", 'Wall Insulation'!D54)</f>
        <v/>
      </c>
      <c r="D36" s="809" t="str">
        <f>IF('Wall Insulation'!E54="", "", 'Wall Insulation'!E54)</f>
        <v/>
      </c>
      <c r="E36" s="810" t="str">
        <f>IF('Wall Insulation'!G54="", "",'Wall Insulation'!G54)</f>
        <v/>
      </c>
      <c r="F36" s="809" t="str">
        <f>IF('Wall Insulation'!H54="", "", 'Wall Insulation'!H54)</f>
        <v/>
      </c>
      <c r="G36" s="811" t="str">
        <f>IF('Wall Insulation'!I54="", "", 'Wall Insulation'!I54)</f>
        <v/>
      </c>
      <c r="H36" s="401"/>
    </row>
    <row r="37" spans="2:8" s="812" customFormat="1" ht="18" customHeight="1" x14ac:dyDescent="0.25">
      <c r="B37" s="809">
        <v>28</v>
      </c>
      <c r="C37" s="809" t="str">
        <f>IF('Wall Insulation'!D55="", "", 'Wall Insulation'!D55)</f>
        <v/>
      </c>
      <c r="D37" s="809" t="str">
        <f>IF('Wall Insulation'!E55="", "", 'Wall Insulation'!E55)</f>
        <v/>
      </c>
      <c r="E37" s="810" t="str">
        <f>IF('Wall Insulation'!G55="", "",'Wall Insulation'!G55)</f>
        <v/>
      </c>
      <c r="F37" s="809" t="str">
        <f>IF('Wall Insulation'!H55="", "", 'Wall Insulation'!H55)</f>
        <v/>
      </c>
      <c r="G37" s="811" t="str">
        <f>IF('Wall Insulation'!I55="", "", 'Wall Insulation'!I55)</f>
        <v/>
      </c>
      <c r="H37" s="401"/>
    </row>
    <row r="38" spans="2:8" s="812" customFormat="1" ht="18" customHeight="1" x14ac:dyDescent="0.25">
      <c r="B38" s="809">
        <v>29</v>
      </c>
      <c r="C38" s="809" t="str">
        <f>IF('Wall Insulation'!D56="", "", 'Wall Insulation'!D56)</f>
        <v/>
      </c>
      <c r="D38" s="809" t="str">
        <f>IF('Wall Insulation'!E56="", "", 'Wall Insulation'!E56)</f>
        <v/>
      </c>
      <c r="E38" s="810" t="str">
        <f>IF('Wall Insulation'!G56="", "",'Wall Insulation'!G56)</f>
        <v/>
      </c>
      <c r="F38" s="809" t="str">
        <f>IF('Wall Insulation'!H56="", "", 'Wall Insulation'!H56)</f>
        <v/>
      </c>
      <c r="G38" s="811" t="str">
        <f>IF('Wall Insulation'!I56="", "", 'Wall Insulation'!I56)</f>
        <v/>
      </c>
      <c r="H38" s="401"/>
    </row>
    <row r="39" spans="2:8" s="812" customFormat="1" ht="18" customHeight="1" x14ac:dyDescent="0.25">
      <c r="B39" s="809">
        <v>30</v>
      </c>
      <c r="C39" s="809" t="str">
        <f>IF('Wall Insulation'!D57="", "", 'Wall Insulation'!D57)</f>
        <v/>
      </c>
      <c r="D39" s="809" t="str">
        <f>IF('Wall Insulation'!E57="", "", 'Wall Insulation'!E57)</f>
        <v/>
      </c>
      <c r="E39" s="810" t="str">
        <f>IF('Wall Insulation'!G57="", "",'Wall Insulation'!G57)</f>
        <v/>
      </c>
      <c r="F39" s="809" t="str">
        <f>IF('Wall Insulation'!H57="", "", 'Wall Insulation'!H57)</f>
        <v/>
      </c>
      <c r="G39" s="811" t="str">
        <f>IF('Wall Insulation'!I57="", "", 'Wall Insulation'!I57)</f>
        <v/>
      </c>
      <c r="H39" s="401"/>
    </row>
    <row r="40" spans="2:8" s="812" customFormat="1" ht="18" customHeight="1" x14ac:dyDescent="0.25">
      <c r="B40" s="809">
        <v>31</v>
      </c>
      <c r="C40" s="809" t="str">
        <f>IF('Wall Insulation'!D58="", "", 'Wall Insulation'!D58)</f>
        <v/>
      </c>
      <c r="D40" s="809" t="str">
        <f>IF('Wall Insulation'!E58="", "", 'Wall Insulation'!E58)</f>
        <v/>
      </c>
      <c r="E40" s="810" t="str">
        <f>IF('Wall Insulation'!G58="", "",'Wall Insulation'!G58)</f>
        <v/>
      </c>
      <c r="F40" s="809" t="str">
        <f>IF('Wall Insulation'!H58="", "", 'Wall Insulation'!H58)</f>
        <v/>
      </c>
      <c r="G40" s="811" t="str">
        <f>IF('Wall Insulation'!I58="", "", 'Wall Insulation'!I58)</f>
        <v/>
      </c>
      <c r="H40" s="401"/>
    </row>
    <row r="41" spans="2:8" s="812" customFormat="1" ht="18" customHeight="1" x14ac:dyDescent="0.25">
      <c r="B41" s="809">
        <v>32</v>
      </c>
      <c r="C41" s="809" t="str">
        <f>IF('Wall Insulation'!D59="", "", 'Wall Insulation'!D59)</f>
        <v/>
      </c>
      <c r="D41" s="809" t="str">
        <f>IF('Wall Insulation'!E59="", "", 'Wall Insulation'!E59)</f>
        <v/>
      </c>
      <c r="E41" s="810" t="str">
        <f>IF('Wall Insulation'!G59="", "",'Wall Insulation'!G59)</f>
        <v/>
      </c>
      <c r="F41" s="809" t="str">
        <f>IF('Wall Insulation'!H59="", "", 'Wall Insulation'!H59)</f>
        <v/>
      </c>
      <c r="G41" s="811" t="str">
        <f>IF('Wall Insulation'!I59="", "", 'Wall Insulation'!I59)</f>
        <v/>
      </c>
      <c r="H41" s="401"/>
    </row>
    <row r="42" spans="2:8" s="812" customFormat="1" ht="18" customHeight="1" x14ac:dyDescent="0.25">
      <c r="B42" s="809">
        <v>33</v>
      </c>
      <c r="C42" s="809" t="str">
        <f>IF('Wall Insulation'!D60="", "", 'Wall Insulation'!D60)</f>
        <v/>
      </c>
      <c r="D42" s="809" t="str">
        <f>IF('Wall Insulation'!E60="", "", 'Wall Insulation'!E60)</f>
        <v/>
      </c>
      <c r="E42" s="810" t="str">
        <f>IF('Wall Insulation'!G60="", "",'Wall Insulation'!G60)</f>
        <v/>
      </c>
      <c r="F42" s="809" t="str">
        <f>IF('Wall Insulation'!H60="", "", 'Wall Insulation'!H60)</f>
        <v/>
      </c>
      <c r="G42" s="811" t="str">
        <f>IF('Wall Insulation'!I60="", "", 'Wall Insulation'!I60)</f>
        <v/>
      </c>
      <c r="H42" s="401"/>
    </row>
    <row r="43" spans="2:8" s="812" customFormat="1" ht="18" customHeight="1" x14ac:dyDescent="0.25">
      <c r="B43" s="809">
        <v>34</v>
      </c>
      <c r="C43" s="809" t="str">
        <f>IF('Wall Insulation'!D61="", "", 'Wall Insulation'!D61)</f>
        <v/>
      </c>
      <c r="D43" s="809" t="str">
        <f>IF('Wall Insulation'!E61="", "", 'Wall Insulation'!E61)</f>
        <v/>
      </c>
      <c r="E43" s="810" t="str">
        <f>IF('Wall Insulation'!G61="", "",'Wall Insulation'!G61)</f>
        <v/>
      </c>
      <c r="F43" s="809" t="str">
        <f>IF('Wall Insulation'!H61="", "", 'Wall Insulation'!H61)</f>
        <v/>
      </c>
      <c r="G43" s="811" t="str">
        <f>IF('Wall Insulation'!I61="", "", 'Wall Insulation'!I61)</f>
        <v/>
      </c>
      <c r="H43" s="401"/>
    </row>
    <row r="44" spans="2:8" s="812" customFormat="1" ht="18" customHeight="1" x14ac:dyDescent="0.25">
      <c r="B44" s="809">
        <v>35</v>
      </c>
      <c r="C44" s="809" t="str">
        <f>IF('Wall Insulation'!D62="", "", 'Wall Insulation'!D62)</f>
        <v/>
      </c>
      <c r="D44" s="809" t="str">
        <f>IF('Wall Insulation'!E62="", "", 'Wall Insulation'!E62)</f>
        <v/>
      </c>
      <c r="E44" s="810" t="str">
        <f>IF('Wall Insulation'!G62="", "",'Wall Insulation'!G62)</f>
        <v/>
      </c>
      <c r="F44" s="809" t="str">
        <f>IF('Wall Insulation'!H62="", "", 'Wall Insulation'!H62)</f>
        <v/>
      </c>
      <c r="G44" s="811" t="str">
        <f>IF('Wall Insulation'!I62="", "", 'Wall Insulation'!I62)</f>
        <v/>
      </c>
      <c r="H44" s="401"/>
    </row>
    <row r="45" spans="2:8" s="812" customFormat="1" ht="18" customHeight="1" x14ac:dyDescent="0.25">
      <c r="B45" s="809">
        <v>36</v>
      </c>
      <c r="C45" s="809" t="str">
        <f>IF('Wall Insulation'!D63="", "", 'Wall Insulation'!D63)</f>
        <v/>
      </c>
      <c r="D45" s="809" t="str">
        <f>IF('Wall Insulation'!E63="", "", 'Wall Insulation'!E63)</f>
        <v/>
      </c>
      <c r="E45" s="810" t="str">
        <f>IF('Wall Insulation'!G63="", "",'Wall Insulation'!G63)</f>
        <v/>
      </c>
      <c r="F45" s="809" t="str">
        <f>IF('Wall Insulation'!H63="", "", 'Wall Insulation'!H63)</f>
        <v/>
      </c>
      <c r="G45" s="811" t="str">
        <f>IF('Wall Insulation'!I63="", "", 'Wall Insulation'!I63)</f>
        <v/>
      </c>
      <c r="H45" s="401"/>
    </row>
    <row r="46" spans="2:8" s="812" customFormat="1" ht="18" customHeight="1" x14ac:dyDescent="0.25">
      <c r="B46" s="809">
        <v>37</v>
      </c>
      <c r="C46" s="809" t="str">
        <f>IF('Wall Insulation'!D64="", "", 'Wall Insulation'!D64)</f>
        <v/>
      </c>
      <c r="D46" s="809" t="str">
        <f>IF('Wall Insulation'!E64="", "", 'Wall Insulation'!E64)</f>
        <v/>
      </c>
      <c r="E46" s="810" t="str">
        <f>IF('Wall Insulation'!G64="", "",'Wall Insulation'!G64)</f>
        <v/>
      </c>
      <c r="F46" s="809" t="str">
        <f>IF('Wall Insulation'!H64="", "", 'Wall Insulation'!H64)</f>
        <v/>
      </c>
      <c r="G46" s="811" t="str">
        <f>IF('Wall Insulation'!I64="", "", 'Wall Insulation'!I64)</f>
        <v/>
      </c>
      <c r="H46" s="401"/>
    </row>
    <row r="47" spans="2:8" s="812" customFormat="1" ht="18" customHeight="1" x14ac:dyDescent="0.25">
      <c r="B47" s="809">
        <v>38</v>
      </c>
      <c r="C47" s="809" t="str">
        <f>IF('Wall Insulation'!D65="", "", 'Wall Insulation'!D65)</f>
        <v/>
      </c>
      <c r="D47" s="809" t="str">
        <f>IF('Wall Insulation'!E65="", "", 'Wall Insulation'!E65)</f>
        <v/>
      </c>
      <c r="E47" s="810" t="str">
        <f>IF('Wall Insulation'!G65="", "",'Wall Insulation'!G65)</f>
        <v/>
      </c>
      <c r="F47" s="809" t="str">
        <f>IF('Wall Insulation'!H65="", "", 'Wall Insulation'!H65)</f>
        <v/>
      </c>
      <c r="G47" s="811" t="str">
        <f>IF('Wall Insulation'!I65="", "", 'Wall Insulation'!I65)</f>
        <v/>
      </c>
      <c r="H47" s="401"/>
    </row>
    <row r="48" spans="2:8" s="812" customFormat="1" ht="18" customHeight="1" x14ac:dyDescent="0.25">
      <c r="B48" s="809">
        <v>39</v>
      </c>
      <c r="C48" s="809" t="str">
        <f>IF('Wall Insulation'!D66="", "", 'Wall Insulation'!D66)</f>
        <v/>
      </c>
      <c r="D48" s="809" t="str">
        <f>IF('Wall Insulation'!E66="", "", 'Wall Insulation'!E66)</f>
        <v/>
      </c>
      <c r="E48" s="810" t="str">
        <f>IF('Wall Insulation'!G66="", "",'Wall Insulation'!G66)</f>
        <v/>
      </c>
      <c r="F48" s="809" t="str">
        <f>IF('Wall Insulation'!H66="", "", 'Wall Insulation'!H66)</f>
        <v/>
      </c>
      <c r="G48" s="811" t="str">
        <f>IF('Wall Insulation'!I66="", "", 'Wall Insulation'!I66)</f>
        <v/>
      </c>
      <c r="H48" s="401"/>
    </row>
    <row r="49" spans="2:8" s="812" customFormat="1" ht="18" customHeight="1" x14ac:dyDescent="0.25">
      <c r="B49" s="809">
        <v>40</v>
      </c>
      <c r="C49" s="809" t="str">
        <f>IF('Wall Insulation'!D67="", "", 'Wall Insulation'!D67)</f>
        <v/>
      </c>
      <c r="D49" s="809" t="str">
        <f>IF('Wall Insulation'!E67="", "", 'Wall Insulation'!E67)</f>
        <v/>
      </c>
      <c r="E49" s="810" t="str">
        <f>IF('Wall Insulation'!G67="", "",'Wall Insulation'!G67)</f>
        <v/>
      </c>
      <c r="F49" s="809" t="str">
        <f>IF('Wall Insulation'!H67="", "", 'Wall Insulation'!H67)</f>
        <v/>
      </c>
      <c r="G49" s="811" t="str">
        <f>IF('Wall Insulation'!I67="", "", 'Wall Insulation'!I67)</f>
        <v/>
      </c>
      <c r="H49" s="401"/>
    </row>
    <row r="50" spans="2:8" s="812" customFormat="1" ht="18" customHeight="1" x14ac:dyDescent="0.25">
      <c r="B50" s="809">
        <v>41</v>
      </c>
      <c r="C50" s="809" t="str">
        <f>IF('Wall Insulation'!D68="", "", 'Wall Insulation'!D68)</f>
        <v/>
      </c>
      <c r="D50" s="809" t="str">
        <f>IF('Wall Insulation'!E68="", "", 'Wall Insulation'!E68)</f>
        <v/>
      </c>
      <c r="E50" s="810" t="str">
        <f>IF('Wall Insulation'!G68="", "",'Wall Insulation'!G68)</f>
        <v/>
      </c>
      <c r="F50" s="809" t="str">
        <f>IF('Wall Insulation'!H68="", "", 'Wall Insulation'!H68)</f>
        <v/>
      </c>
      <c r="G50" s="811" t="str">
        <f>IF('Wall Insulation'!I68="", "", 'Wall Insulation'!I68)</f>
        <v/>
      </c>
      <c r="H50" s="401"/>
    </row>
    <row r="51" spans="2:8" s="812" customFormat="1" ht="18" customHeight="1" x14ac:dyDescent="0.25">
      <c r="B51" s="809">
        <v>42</v>
      </c>
      <c r="C51" s="809" t="str">
        <f>IF('Wall Insulation'!D69="", "", 'Wall Insulation'!D69)</f>
        <v/>
      </c>
      <c r="D51" s="809" t="str">
        <f>IF('Wall Insulation'!E69="", "", 'Wall Insulation'!E69)</f>
        <v/>
      </c>
      <c r="E51" s="810" t="str">
        <f>IF('Wall Insulation'!G69="", "",'Wall Insulation'!G69)</f>
        <v/>
      </c>
      <c r="F51" s="809" t="str">
        <f>IF('Wall Insulation'!H69="", "", 'Wall Insulation'!H69)</f>
        <v/>
      </c>
      <c r="G51" s="811" t="str">
        <f>IF('Wall Insulation'!I69="", "", 'Wall Insulation'!I69)</f>
        <v/>
      </c>
      <c r="H51" s="401"/>
    </row>
    <row r="52" spans="2:8" s="812" customFormat="1" ht="18" customHeight="1" x14ac:dyDescent="0.25">
      <c r="B52" s="809">
        <v>43</v>
      </c>
      <c r="C52" s="809" t="str">
        <f>IF('Wall Insulation'!D70="", "", 'Wall Insulation'!D70)</f>
        <v/>
      </c>
      <c r="D52" s="809" t="str">
        <f>IF('Wall Insulation'!E70="", "", 'Wall Insulation'!E70)</f>
        <v/>
      </c>
      <c r="E52" s="810" t="str">
        <f>IF('Wall Insulation'!G70="", "",'Wall Insulation'!G70)</f>
        <v/>
      </c>
      <c r="F52" s="809" t="str">
        <f>IF('Wall Insulation'!H70="", "", 'Wall Insulation'!H70)</f>
        <v/>
      </c>
      <c r="G52" s="811" t="str">
        <f>IF('Wall Insulation'!I70="", "", 'Wall Insulation'!I70)</f>
        <v/>
      </c>
      <c r="H52" s="401"/>
    </row>
    <row r="53" spans="2:8" s="812" customFormat="1" ht="18" customHeight="1" x14ac:dyDescent="0.25">
      <c r="B53" s="809">
        <v>44</v>
      </c>
      <c r="C53" s="809" t="str">
        <f>IF('Wall Insulation'!D71="", "", 'Wall Insulation'!D71)</f>
        <v/>
      </c>
      <c r="D53" s="809" t="str">
        <f>IF('Wall Insulation'!E71="", "", 'Wall Insulation'!E71)</f>
        <v/>
      </c>
      <c r="E53" s="810" t="str">
        <f>IF('Wall Insulation'!G71="", "",'Wall Insulation'!G71)</f>
        <v/>
      </c>
      <c r="F53" s="809" t="str">
        <f>IF('Wall Insulation'!H71="", "", 'Wall Insulation'!H71)</f>
        <v/>
      </c>
      <c r="G53" s="811" t="str">
        <f>IF('Wall Insulation'!I71="", "", 'Wall Insulation'!I71)</f>
        <v/>
      </c>
      <c r="H53" s="401"/>
    </row>
    <row r="54" spans="2:8" s="812" customFormat="1" ht="18" customHeight="1" x14ac:dyDescent="0.25">
      <c r="B54" s="809">
        <v>45</v>
      </c>
      <c r="C54" s="809" t="str">
        <f>IF('Wall Insulation'!D72="", "", 'Wall Insulation'!D72)</f>
        <v/>
      </c>
      <c r="D54" s="809" t="str">
        <f>IF('Wall Insulation'!E72="", "", 'Wall Insulation'!E72)</f>
        <v/>
      </c>
      <c r="E54" s="810" t="str">
        <f>IF('Wall Insulation'!G72="", "",'Wall Insulation'!G72)</f>
        <v/>
      </c>
      <c r="F54" s="809" t="str">
        <f>IF('Wall Insulation'!H72="", "", 'Wall Insulation'!H72)</f>
        <v/>
      </c>
      <c r="G54" s="811" t="str">
        <f>IF('Wall Insulation'!I72="", "", 'Wall Insulation'!I72)</f>
        <v/>
      </c>
      <c r="H54" s="401"/>
    </row>
    <row r="55" spans="2:8" s="812" customFormat="1" ht="18" customHeight="1" x14ac:dyDescent="0.25">
      <c r="B55" s="809">
        <v>46</v>
      </c>
      <c r="C55" s="809" t="str">
        <f>IF('Wall Insulation'!D73="", "", 'Wall Insulation'!D73)</f>
        <v/>
      </c>
      <c r="D55" s="809" t="str">
        <f>IF('Wall Insulation'!E73="", "", 'Wall Insulation'!E73)</f>
        <v/>
      </c>
      <c r="E55" s="810" t="str">
        <f>IF('Wall Insulation'!G73="", "",'Wall Insulation'!G73)</f>
        <v/>
      </c>
      <c r="F55" s="809" t="str">
        <f>IF('Wall Insulation'!H73="", "", 'Wall Insulation'!H73)</f>
        <v/>
      </c>
      <c r="G55" s="811" t="str">
        <f>IF('Wall Insulation'!I73="", "", 'Wall Insulation'!I73)</f>
        <v/>
      </c>
      <c r="H55" s="401"/>
    </row>
    <row r="56" spans="2:8" s="812" customFormat="1" ht="18" customHeight="1" x14ac:dyDescent="0.25">
      <c r="B56" s="809">
        <v>47</v>
      </c>
      <c r="C56" s="809" t="str">
        <f>IF('Wall Insulation'!D74="", "", 'Wall Insulation'!D74)</f>
        <v/>
      </c>
      <c r="D56" s="809" t="str">
        <f>IF('Wall Insulation'!E74="", "", 'Wall Insulation'!E74)</f>
        <v/>
      </c>
      <c r="E56" s="810" t="str">
        <f>IF('Wall Insulation'!G74="", "",'Wall Insulation'!G74)</f>
        <v/>
      </c>
      <c r="F56" s="809" t="str">
        <f>IF('Wall Insulation'!H74="", "", 'Wall Insulation'!H74)</f>
        <v/>
      </c>
      <c r="G56" s="811" t="str">
        <f>IF('Wall Insulation'!I74="", "", 'Wall Insulation'!I74)</f>
        <v/>
      </c>
      <c r="H56" s="401"/>
    </row>
    <row r="57" spans="2:8" s="812" customFormat="1" ht="18" customHeight="1" x14ac:dyDescent="0.25">
      <c r="B57" s="809">
        <v>48</v>
      </c>
      <c r="C57" s="809" t="str">
        <f>IF('Wall Insulation'!D75="", "", 'Wall Insulation'!D75)</f>
        <v/>
      </c>
      <c r="D57" s="809" t="str">
        <f>IF('Wall Insulation'!E75="", "", 'Wall Insulation'!E75)</f>
        <v/>
      </c>
      <c r="E57" s="810" t="str">
        <f>IF('Wall Insulation'!G75="", "",'Wall Insulation'!G75)</f>
        <v/>
      </c>
      <c r="F57" s="809" t="str">
        <f>IF('Wall Insulation'!H75="", "", 'Wall Insulation'!H75)</f>
        <v/>
      </c>
      <c r="G57" s="811" t="str">
        <f>IF('Wall Insulation'!I75="", "", 'Wall Insulation'!I75)</f>
        <v/>
      </c>
      <c r="H57" s="401"/>
    </row>
    <row r="58" spans="2:8" s="812" customFormat="1" ht="18" customHeight="1" x14ac:dyDescent="0.25">
      <c r="B58" s="809">
        <v>49</v>
      </c>
      <c r="C58" s="809" t="str">
        <f>IF('Wall Insulation'!D76="", "", 'Wall Insulation'!D76)</f>
        <v/>
      </c>
      <c r="D58" s="809" t="str">
        <f>IF('Wall Insulation'!E76="", "", 'Wall Insulation'!E76)</f>
        <v/>
      </c>
      <c r="E58" s="810" t="str">
        <f>IF('Wall Insulation'!G76="", "",'Wall Insulation'!G76)</f>
        <v/>
      </c>
      <c r="F58" s="809" t="str">
        <f>IF('Wall Insulation'!H76="", "", 'Wall Insulation'!H76)</f>
        <v/>
      </c>
      <c r="G58" s="811" t="str">
        <f>IF('Wall Insulation'!I76="", "", 'Wall Insulation'!I76)</f>
        <v/>
      </c>
      <c r="H58" s="401"/>
    </row>
    <row r="59" spans="2:8" s="812" customFormat="1" ht="18.75" customHeight="1" x14ac:dyDescent="0.25">
      <c r="B59" s="809">
        <v>50</v>
      </c>
      <c r="C59" s="809" t="str">
        <f>IF('Wall Insulation'!D77="", "", 'Wall Insulation'!D77)</f>
        <v/>
      </c>
      <c r="D59" s="809" t="str">
        <f>IF('Wall Insulation'!E77="", "", 'Wall Insulation'!E77)</f>
        <v/>
      </c>
      <c r="E59" s="810" t="str">
        <f>IF('Wall Insulation'!G77="", "",'Wall Insulation'!G77)</f>
        <v/>
      </c>
      <c r="F59" s="809" t="str">
        <f>IF('Wall Insulation'!H77="", "", 'Wall Insulation'!H77)</f>
        <v/>
      </c>
      <c r="G59" s="811" t="str">
        <f>IF('Wall Insulation'!I77="", "", 'Wall Insulation'!I77)</f>
        <v/>
      </c>
      <c r="H59" s="401"/>
    </row>
    <row r="60" spans="2:8" s="814" customFormat="1" ht="18.75" customHeight="1" x14ac:dyDescent="0.2">
      <c r="B60" s="813"/>
      <c r="C60" s="813"/>
      <c r="D60" s="813"/>
      <c r="E60" s="813"/>
      <c r="F60" s="813"/>
      <c r="G60" s="813"/>
      <c r="H60" s="813"/>
    </row>
  </sheetData>
  <sheetProtection algorithmName="SHA-512" hashValue="rJAelvRGfzzCXMUZQGTJJBajIaWl+WyFb1O1j0lMsLzJRIDGQ/OJPAatpAJ78y7npUDYNmSxR/YkLkFVP44e+w==" saltValue="6WauSf5LIiR+09dqzT4xDQ==" spinCount="100000" sheet="1" formatColumns="0" formatRows="0" insertRows="0" deleteRows="0"/>
  <mergeCells count="3">
    <mergeCell ref="E2:G2"/>
    <mergeCell ref="E3:G3"/>
    <mergeCell ref="C1:G1"/>
  </mergeCells>
  <conditionalFormatting sqref="F10:F59">
    <cfRule type="expression" dxfId="20" priority="1">
      <formula>$F$9=""</formula>
    </cfRule>
  </conditionalFormatting>
  <conditionalFormatting sqref="G6:G7">
    <cfRule type="expression" dxfId="19" priority="2">
      <formula>ISBLANK($G$6)</formula>
    </cfRule>
  </conditionalFormatting>
  <pageMargins left="0.7" right="0.7" top="0.75" bottom="0.75" header="0.3" footer="0.3"/>
  <pageSetup scale="65" orientation="portrait" r:id="rId1"/>
  <headerFooter>
    <oddFooter>&amp;LMINIMUM REQUIREMENTS DOCUMENT&amp;RWALL INSULATION MRD - APPENDIX</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0D53C-FC87-4F75-8E0B-C4186C624E35}">
  <dimension ref="C1:J70"/>
  <sheetViews>
    <sheetView zoomScale="120" zoomScaleNormal="120" workbookViewId="0">
      <selection activeCell="I6" sqref="I6:I7"/>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IFERROR(IF(Window!$AM$9=0, "", IF(Window!$AM$9="LCI", "New York - Electric and Gas Large Commercial and Industrial Program", "New York - Electric and Gas Small Business Program")),"")</f>
        <v>New York - Electric and Gas Small Business Program</v>
      </c>
      <c r="F2" s="1070"/>
      <c r="G2" s="1070"/>
      <c r="H2" s="1070"/>
      <c r="I2" s="1071"/>
      <c r="J2" s="789"/>
    </row>
    <row r="3" spans="3:10" ht="27.75" customHeight="1" x14ac:dyDescent="0.35">
      <c r="C3" s="148"/>
      <c r="D3" s="780"/>
      <c r="E3" s="802"/>
      <c r="F3" s="1072" t="s">
        <v>644</v>
      </c>
      <c r="G3" s="1072"/>
      <c r="H3" s="1072"/>
      <c r="I3" s="1073"/>
      <c r="J3" s="815"/>
    </row>
    <row r="4" spans="3:10" ht="5.25" customHeight="1" x14ac:dyDescent="0.25">
      <c r="C4" s="99"/>
      <c r="D4" s="99"/>
      <c r="E4" s="99"/>
      <c r="F4" s="99"/>
      <c r="G4" s="99"/>
      <c r="H4" s="99"/>
      <c r="I4" s="99"/>
    </row>
    <row r="5" spans="3:10" x14ac:dyDescent="0.25">
      <c r="C5" s="775" t="s">
        <v>645</v>
      </c>
      <c r="D5" s="781" t="str">
        <f>IF('App Cust Info'!$B$12="", "", 'App Cust Info'!$B$12)</f>
        <v/>
      </c>
      <c r="E5" s="777"/>
      <c r="F5" s="777"/>
      <c r="G5" s="777"/>
      <c r="H5" s="775" t="s">
        <v>646</v>
      </c>
      <c r="I5" s="782" t="str">
        <f>IF($D$5="", "", Window!$E$5)</f>
        <v/>
      </c>
    </row>
    <row r="6" spans="3:10" x14ac:dyDescent="0.25">
      <c r="C6" s="775" t="s">
        <v>134</v>
      </c>
      <c r="D6" s="776" t="str">
        <f>IF($D$5="", "", 'App Cust Info'!$B$18&amp;", "&amp;'App Cust Info'!$F$18&amp;", "&amp;'App Cust Info'!$I$18&amp;" "&amp;'App Cust Info'!$K$18)</f>
        <v/>
      </c>
      <c r="E6" s="777"/>
      <c r="F6" s="777"/>
      <c r="G6" s="777"/>
      <c r="H6" s="775" t="s">
        <v>647</v>
      </c>
      <c r="I6" s="757"/>
    </row>
    <row r="7" spans="3:10" x14ac:dyDescent="0.25">
      <c r="C7" s="775" t="s">
        <v>648</v>
      </c>
      <c r="D7" s="776" t="str">
        <f>IF($D$5="", "", "Window Replacement")</f>
        <v/>
      </c>
      <c r="E7" s="777"/>
      <c r="F7" s="777"/>
      <c r="G7" s="777"/>
      <c r="H7" s="775" t="s">
        <v>649</v>
      </c>
      <c r="I7" s="757"/>
    </row>
    <row r="8" spans="3:10" ht="6" customHeight="1" x14ac:dyDescent="0.25">
      <c r="C8" s="99"/>
      <c r="D8" s="99"/>
      <c r="E8" s="99"/>
      <c r="F8" s="99"/>
      <c r="G8" s="99"/>
      <c r="H8" s="99"/>
      <c r="I8" s="99"/>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 Window!$B$4)</f>
        <v/>
      </c>
      <c r="E14" s="1064"/>
      <c r="F14" s="793" t="str">
        <f>IF($D$5="","",Window!$E$4)</f>
        <v/>
      </c>
      <c r="G14" s="763"/>
      <c r="H14" s="763"/>
      <c r="I14" s="764"/>
      <c r="J14" s="767"/>
    </row>
    <row r="15" spans="3:10" ht="27.75" customHeight="1" x14ac:dyDescent="0.25">
      <c r="C15" s="761"/>
      <c r="D15" s="1064" t="str">
        <f>IF($D$5="","",Window!$B$8)</f>
        <v/>
      </c>
      <c r="E15" s="1064"/>
      <c r="F15" s="793" t="str">
        <f>IF($D$5="", "", Window!$E$8)</f>
        <v/>
      </c>
      <c r="G15" s="763"/>
      <c r="H15" s="763"/>
      <c r="I15" s="764"/>
      <c r="J15" s="767"/>
    </row>
    <row r="16" spans="3:10" ht="27.75" customHeight="1" x14ac:dyDescent="0.25">
      <c r="C16" s="761"/>
      <c r="D16" s="1064" t="str">
        <f>IF($D$5="", "", "Total Glazing Area (Sqft):")</f>
        <v/>
      </c>
      <c r="E16" s="1064"/>
      <c r="F16" s="816" t="str">
        <f>IF($D$5="", "", Window!$E$9*100)</f>
        <v/>
      </c>
      <c r="G16" s="763"/>
      <c r="H16" s="763"/>
      <c r="I16" s="764"/>
      <c r="J16" s="767"/>
    </row>
    <row r="17" spans="3:10" ht="27.75" customHeight="1" x14ac:dyDescent="0.25">
      <c r="C17" s="761"/>
      <c r="D17" s="1052" t="str">
        <f>IF($D$5="", "", IF(Window!$E$11="Electric", "",Window!$B$13))</f>
        <v/>
      </c>
      <c r="E17" s="1067"/>
      <c r="F17" s="817" t="str">
        <f>IF($D$5="", "", Window!$AE$39)</f>
        <v/>
      </c>
      <c r="G17" s="818" t="str">
        <f>IF($F$17="", "", IF(Window!$E$13="", "(Default Value)", "(Customer Entered Value)"))</f>
        <v/>
      </c>
      <c r="H17" s="763"/>
      <c r="I17" s="764"/>
      <c r="J17" s="767"/>
    </row>
    <row r="18" spans="3:10" ht="27.75" customHeight="1" x14ac:dyDescent="0.25">
      <c r="C18" s="761"/>
      <c r="D18" s="1052" t="str">
        <f>IF($D$5="","",Window!$B$14)</f>
        <v/>
      </c>
      <c r="E18" s="1067"/>
      <c r="F18" s="795" t="str">
        <f>IF($D$5="","",Window!$AE$37)</f>
        <v/>
      </c>
      <c r="G18" s="818" t="str">
        <f>IF($F$18="", "", IF(Window!$E$14="", "(Default Value)", "(Customer Entered Value)"))</f>
        <v/>
      </c>
      <c r="H18" s="763"/>
      <c r="I18" s="764"/>
      <c r="J18" s="767"/>
    </row>
    <row r="19" spans="3:10" ht="27.75" customHeight="1" x14ac:dyDescent="0.25">
      <c r="C19" s="761"/>
      <c r="D19" s="1052" t="str">
        <f>IF($D$5="","",Window!$B$15)</f>
        <v/>
      </c>
      <c r="E19" s="1067"/>
      <c r="F19" s="795" t="str">
        <f>IF($D$5="","",Window!$AE$35)</f>
        <v/>
      </c>
      <c r="G19" s="818" t="str">
        <f>IF($F$19="", "", IF(Window!$E$15="", "(Default Value)", "(Customer Entered Value)"))</f>
        <v/>
      </c>
      <c r="H19" s="763"/>
      <c r="I19" s="764"/>
      <c r="J19" s="767"/>
    </row>
    <row r="20" spans="3:10" ht="27.75" customHeight="1" x14ac:dyDescent="0.25">
      <c r="C20" s="761"/>
      <c r="D20" s="1064" t="str">
        <f>IF($D$5="", "", "Building Heated by Air Source Heat Pumps, Electric Furnace, or Electric Baseboards?")</f>
        <v/>
      </c>
      <c r="E20" s="1064"/>
      <c r="F20" s="793" t="str">
        <f>IF(Window!$E$11&lt;&gt;"Fossil", "Yes", "No")</f>
        <v>Yes</v>
      </c>
      <c r="G20" s="763"/>
      <c r="H20" s="763"/>
      <c r="I20" s="764"/>
      <c r="J20" s="767"/>
    </row>
    <row r="21" spans="3:10" ht="27.75" customHeight="1" x14ac:dyDescent="0.25">
      <c r="C21" s="761"/>
      <c r="D21" s="796" t="str">
        <f>IF(Window!$E$2="", "", "VERIFY LINE BY LINE WINDOW INVENTORY IN THE APPENDIX BELOW.")</f>
        <v/>
      </c>
      <c r="E21" s="797"/>
      <c r="F21" s="791"/>
      <c r="G21" s="759"/>
      <c r="H21" s="759"/>
      <c r="I21" s="760"/>
      <c r="J21" s="767"/>
    </row>
    <row r="22" spans="3:10" ht="27.75" customHeight="1" x14ac:dyDescent="0.25">
      <c r="C22" s="758" t="s">
        <v>651</v>
      </c>
      <c r="D22" s="1038" t="s">
        <v>654</v>
      </c>
      <c r="E22" s="1039"/>
      <c r="F22" s="1039"/>
      <c r="G22" s="1039"/>
      <c r="H22" s="1039"/>
      <c r="I22" s="1040"/>
      <c r="J22" s="767"/>
    </row>
    <row r="23" spans="3:10" x14ac:dyDescent="0.25">
      <c r="C23" s="150"/>
      <c r="D23" s="1061" t="s">
        <v>655</v>
      </c>
      <c r="E23" s="1062"/>
      <c r="F23" s="1062"/>
      <c r="G23" s="1062"/>
      <c r="H23" s="1062"/>
      <c r="I23" s="1063"/>
      <c r="J23" s="798"/>
    </row>
    <row r="24" spans="3:10" ht="27.75" customHeight="1" x14ac:dyDescent="0.25">
      <c r="C24" s="758" t="s">
        <v>651</v>
      </c>
      <c r="D24" s="1038" t="s">
        <v>656</v>
      </c>
      <c r="E24" s="1039"/>
      <c r="F24" s="1039"/>
      <c r="G24" s="1039"/>
      <c r="H24" s="1039"/>
      <c r="I24" s="1040"/>
      <c r="J24" s="767"/>
    </row>
    <row r="25" spans="3:10" x14ac:dyDescent="0.25">
      <c r="C25" s="150"/>
      <c r="D25" s="1041" t="s">
        <v>657</v>
      </c>
      <c r="E25" s="1042"/>
      <c r="F25" s="1042"/>
      <c r="G25" s="1042"/>
      <c r="H25" s="1042"/>
      <c r="I25" s="1043"/>
      <c r="J25" s="799"/>
    </row>
    <row r="26" spans="3:10" ht="51.75" customHeight="1" x14ac:dyDescent="0.25">
      <c r="C26" s="758" t="s">
        <v>651</v>
      </c>
      <c r="D26" s="1038" t="s">
        <v>658</v>
      </c>
      <c r="E26" s="1039"/>
      <c r="F26" s="1039"/>
      <c r="G26" s="1039"/>
      <c r="H26" s="1039"/>
      <c r="I26" s="1040"/>
      <c r="J26" s="767"/>
    </row>
    <row r="27" spans="3:10" x14ac:dyDescent="0.25">
      <c r="C27" s="150"/>
      <c r="D27" s="1041" t="s">
        <v>659</v>
      </c>
      <c r="E27" s="1042"/>
      <c r="F27" s="1042"/>
      <c r="G27" s="1042"/>
      <c r="H27" s="1042"/>
      <c r="I27" s="1043"/>
      <c r="J27" s="799"/>
    </row>
    <row r="28" spans="3:10" ht="33.75" customHeight="1" x14ac:dyDescent="0.25">
      <c r="C28" s="758" t="s">
        <v>651</v>
      </c>
      <c r="D28" s="1065" t="s">
        <v>660</v>
      </c>
      <c r="E28" s="1066"/>
      <c r="F28" s="1066"/>
      <c r="G28" s="1066"/>
      <c r="H28" s="1066"/>
      <c r="I28" s="1067"/>
      <c r="J28" s="767"/>
    </row>
    <row r="29" spans="3:10" ht="95.25" customHeight="1" x14ac:dyDescent="0.25">
      <c r="C29" s="150"/>
      <c r="D29" s="1052" t="s">
        <v>661</v>
      </c>
      <c r="E29" s="1053"/>
      <c r="F29" s="1053"/>
      <c r="G29" s="1053"/>
      <c r="H29" s="1053"/>
      <c r="I29" s="1054"/>
      <c r="J29" s="800"/>
    </row>
    <row r="31" spans="3:10" ht="22.5" customHeight="1" x14ac:dyDescent="0.4">
      <c r="C31" s="1068"/>
      <c r="D31" s="1069"/>
      <c r="E31" s="399">
        <f ca="1">TODAY()</f>
        <v>46212</v>
      </c>
    </row>
    <row r="32" spans="3:10" ht="24.75" customHeight="1" x14ac:dyDescent="0.25">
      <c r="C32" s="1045" t="s">
        <v>662</v>
      </c>
      <c r="D32" s="1045"/>
      <c r="E32" s="765" t="s">
        <v>70</v>
      </c>
    </row>
    <row r="34" spans="3:10" x14ac:dyDescent="0.25">
      <c r="C34" s="1074" t="s">
        <v>679</v>
      </c>
      <c r="D34" s="1074"/>
      <c r="E34" s="1074"/>
      <c r="F34" s="1074"/>
      <c r="G34" s="1074"/>
      <c r="H34" s="1074"/>
      <c r="I34" s="1074"/>
      <c r="J34" s="819"/>
    </row>
    <row r="35" spans="3:10" ht="18" customHeight="1" x14ac:dyDescent="0.25">
      <c r="C35" s="1050" t="s">
        <v>664</v>
      </c>
      <c r="D35" s="1050"/>
      <c r="E35" s="1050"/>
      <c r="F35" s="1050"/>
      <c r="G35" s="1050"/>
      <c r="H35" s="1050"/>
      <c r="I35" s="1050"/>
      <c r="J35" s="767"/>
    </row>
    <row r="36" spans="3:10" x14ac:dyDescent="0.25">
      <c r="C36" s="1050"/>
      <c r="D36" s="1050"/>
      <c r="E36" s="1050"/>
      <c r="F36" s="1050"/>
      <c r="G36" s="1050"/>
      <c r="H36" s="1050"/>
      <c r="I36" s="1050"/>
      <c r="J36" s="767"/>
    </row>
    <row r="37" spans="3:10" x14ac:dyDescent="0.25">
      <c r="C37" s="1050"/>
      <c r="D37" s="1050"/>
      <c r="E37" s="1050"/>
      <c r="F37" s="1050"/>
      <c r="G37" s="1050"/>
      <c r="H37" s="1050"/>
      <c r="I37" s="1050"/>
      <c r="J37" s="767"/>
    </row>
    <row r="38" spans="3:10" x14ac:dyDescent="0.25">
      <c r="C38" s="768"/>
      <c r="D38" s="768"/>
      <c r="E38" s="768"/>
      <c r="F38" s="768"/>
      <c r="G38" s="768"/>
      <c r="H38" s="768"/>
      <c r="I38" s="768"/>
      <c r="J38" s="768"/>
    </row>
    <row r="39" spans="3:10" x14ac:dyDescent="0.25">
      <c r="C39" s="151"/>
      <c r="D39" s="152"/>
      <c r="E39" s="153" t="s">
        <v>665</v>
      </c>
      <c r="F39" s="154" t="b">
        <v>0</v>
      </c>
      <c r="G39" s="400" t="s">
        <v>666</v>
      </c>
      <c r="H39" s="154" t="b">
        <v>0</v>
      </c>
      <c r="I39" s="155"/>
    </row>
    <row r="41" spans="3:10" ht="15" customHeight="1" x14ac:dyDescent="0.25">
      <c r="C41" s="769" t="s">
        <v>667</v>
      </c>
      <c r="D41" s="770"/>
      <c r="E41" s="770"/>
      <c r="F41" s="770"/>
      <c r="G41" s="770"/>
      <c r="H41" s="770"/>
      <c r="I41" s="771"/>
      <c r="J41" s="801"/>
    </row>
    <row r="42" spans="3:10" x14ac:dyDescent="0.25">
      <c r="C42" s="156" t="s">
        <v>668</v>
      </c>
      <c r="D42" s="157" t="b">
        <v>0</v>
      </c>
      <c r="E42" s="158" t="s">
        <v>669</v>
      </c>
      <c r="F42" s="157" t="b">
        <v>0</v>
      </c>
      <c r="G42" s="166"/>
      <c r="H42" s="166"/>
      <c r="I42" s="167"/>
    </row>
    <row r="43" spans="3:10" ht="10.5" customHeight="1" x14ac:dyDescent="0.25"/>
    <row r="44" spans="3:10" x14ac:dyDescent="0.25">
      <c r="C44" s="772" t="s">
        <v>670</v>
      </c>
    </row>
    <row r="45" spans="3:10" ht="6.75" customHeight="1" x14ac:dyDescent="0.25">
      <c r="C45" s="772"/>
    </row>
    <row r="46" spans="3:10" x14ac:dyDescent="0.25">
      <c r="C46" s="773" t="s">
        <v>671</v>
      </c>
      <c r="D46" s="160"/>
      <c r="E46" s="160"/>
      <c r="F46" s="160"/>
      <c r="G46" s="160"/>
      <c r="H46" s="160"/>
      <c r="I46" s="161"/>
    </row>
    <row r="47" spans="3:10" x14ac:dyDescent="0.25">
      <c r="C47" s="156" t="s">
        <v>668</v>
      </c>
      <c r="D47" s="157" t="b">
        <v>0</v>
      </c>
      <c r="E47" s="158" t="s">
        <v>669</v>
      </c>
      <c r="F47" s="157" t="b">
        <v>0</v>
      </c>
      <c r="G47" s="166"/>
      <c r="H47" s="166"/>
      <c r="I47" s="167"/>
    </row>
    <row r="49" spans="3:9" ht="24" customHeight="1" x14ac:dyDescent="0.25">
      <c r="C49" s="1047"/>
      <c r="D49" s="1048"/>
      <c r="E49" s="150"/>
      <c r="F49" s="1047"/>
      <c r="G49" s="1051"/>
      <c r="H49" s="150"/>
    </row>
    <row r="50" spans="3:9" x14ac:dyDescent="0.25">
      <c r="C50" s="1045" t="s">
        <v>672</v>
      </c>
      <c r="D50" s="1045"/>
      <c r="E50" s="765" t="s">
        <v>70</v>
      </c>
      <c r="F50" s="1046" t="s">
        <v>673</v>
      </c>
      <c r="G50" s="1046"/>
      <c r="H50" s="765" t="s">
        <v>70</v>
      </c>
    </row>
    <row r="52" spans="3:9" x14ac:dyDescent="0.25">
      <c r="C52" s="774" t="s">
        <v>674</v>
      </c>
    </row>
    <row r="53" spans="3:9" x14ac:dyDescent="0.25">
      <c r="C53" s="159"/>
      <c r="D53" s="160"/>
      <c r="E53" s="160"/>
      <c r="F53" s="160"/>
      <c r="G53" s="160"/>
      <c r="H53" s="160"/>
      <c r="I53" s="161"/>
    </row>
    <row r="54" spans="3:9" x14ac:dyDescent="0.25">
      <c r="C54" s="162"/>
      <c r="I54" s="164"/>
    </row>
    <row r="55" spans="3:9" x14ac:dyDescent="0.25">
      <c r="C55" s="162"/>
      <c r="I55" s="164"/>
    </row>
    <row r="56" spans="3:9" x14ac:dyDescent="0.25">
      <c r="C56" s="162"/>
      <c r="I56" s="164"/>
    </row>
    <row r="57" spans="3:9" x14ac:dyDescent="0.25">
      <c r="C57" s="162"/>
      <c r="I57" s="164"/>
    </row>
    <row r="58" spans="3:9" x14ac:dyDescent="0.25">
      <c r="C58" s="162"/>
      <c r="I58" s="164"/>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5"/>
      <c r="D70" s="166"/>
      <c r="E70" s="166"/>
      <c r="F70" s="166"/>
      <c r="G70" s="166"/>
      <c r="H70" s="166"/>
      <c r="I70" s="167"/>
    </row>
  </sheetData>
  <sheetProtection algorithmName="SHA-512" hashValue="44Hf5eTDaviceP+m6nLroitsunguoVs/x2gSPzJ8v1joVfKBJvYXLfljRxWug7KGk7hoEGPMUoPqH7ZiI/e2BQ==" saltValue="3C90w4TyoDtYX/bzvfz+9Q==" spinCount="100000" sheet="1" objects="1" scenarios="1"/>
  <mergeCells count="28">
    <mergeCell ref="C1:I1"/>
    <mergeCell ref="C35:I37"/>
    <mergeCell ref="C49:D49"/>
    <mergeCell ref="F49:G49"/>
    <mergeCell ref="C50:D50"/>
    <mergeCell ref="F50:G50"/>
    <mergeCell ref="D20:E20"/>
    <mergeCell ref="C34:I34"/>
    <mergeCell ref="D22:I22"/>
    <mergeCell ref="D23:I23"/>
    <mergeCell ref="D24:I24"/>
    <mergeCell ref="D25:I25"/>
    <mergeCell ref="D26:I26"/>
    <mergeCell ref="D27:I27"/>
    <mergeCell ref="D28:I28"/>
    <mergeCell ref="D29:I29"/>
    <mergeCell ref="C31:D31"/>
    <mergeCell ref="C32:D32"/>
    <mergeCell ref="D15:E15"/>
    <mergeCell ref="D16:E16"/>
    <mergeCell ref="D17:E17"/>
    <mergeCell ref="D18:E18"/>
    <mergeCell ref="D19:E19"/>
    <mergeCell ref="E2:I2"/>
    <mergeCell ref="F3:I3"/>
    <mergeCell ref="C9:I11"/>
    <mergeCell ref="D13:I13"/>
    <mergeCell ref="D14:E14"/>
  </mergeCells>
  <conditionalFormatting sqref="F17:F21">
    <cfRule type="expression" dxfId="18" priority="1">
      <formula>$F$20="N/A"</formula>
    </cfRule>
  </conditionalFormatting>
  <conditionalFormatting sqref="I6">
    <cfRule type="expression" dxfId="17" priority="3">
      <formula>ISBLANK($I$6)</formula>
    </cfRule>
  </conditionalFormatting>
  <conditionalFormatting sqref="I7">
    <cfRule type="expression" dxfId="16" priority="2">
      <formula>ISBLANK($I$7)</formula>
    </cfRule>
  </conditionalFormatting>
  <pageMargins left="0.25" right="0.25" top="0.75" bottom="0.75" header="0.3" footer="0.3"/>
  <pageSetup scale="84" orientation="portrait" r:id="rId1"/>
  <headerFooter>
    <oddFooter>&amp;R&amp;P</oddFooter>
  </headerFooter>
  <rowBreaks count="1" manualBreakCount="1">
    <brk id="3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71681" r:id="rId4" name="Check Box 1">
              <controlPr locked="0" defaultSize="0" autoFill="0" autoLine="0" autoPict="0">
                <anchor moveWithCells="1">
                  <from>
                    <xdr:col>2</xdr:col>
                    <xdr:colOff>28575</xdr:colOff>
                    <xdr:row>21</xdr:row>
                    <xdr:rowOff>333375</xdr:rowOff>
                  </from>
                  <to>
                    <xdr:col>2</xdr:col>
                    <xdr:colOff>514350</xdr:colOff>
                    <xdr:row>23</xdr:row>
                    <xdr:rowOff>9525</xdr:rowOff>
                  </to>
                </anchor>
              </controlPr>
            </control>
          </mc:Choice>
        </mc:AlternateContent>
        <mc:AlternateContent xmlns:mc="http://schemas.openxmlformats.org/markup-compatibility/2006">
          <mc:Choice Requires="x14">
            <control shapeId="71682" r:id="rId5" name="Check Box 2">
              <controlPr locked="0" defaultSize="0" autoFill="0" autoLine="0" autoPict="0">
                <anchor moveWithCells="1">
                  <from>
                    <xdr:col>2</xdr:col>
                    <xdr:colOff>438150</xdr:colOff>
                    <xdr:row>21</xdr:row>
                    <xdr:rowOff>333375</xdr:rowOff>
                  </from>
                  <to>
                    <xdr:col>2</xdr:col>
                    <xdr:colOff>923925</xdr:colOff>
                    <xdr:row>23</xdr:row>
                    <xdr:rowOff>9525</xdr:rowOff>
                  </to>
                </anchor>
              </controlPr>
            </control>
          </mc:Choice>
        </mc:AlternateContent>
        <mc:AlternateContent xmlns:mc="http://schemas.openxmlformats.org/markup-compatibility/2006">
          <mc:Choice Requires="x14">
            <control shapeId="71683" r:id="rId6" name="Check Box 3">
              <controlPr locked="0" defaultSize="0" autoFill="0" autoLine="0" autoPict="0">
                <anchor moveWithCells="1">
                  <from>
                    <xdr:col>2</xdr:col>
                    <xdr:colOff>28575</xdr:colOff>
                    <xdr:row>23</xdr:row>
                    <xdr:rowOff>333375</xdr:rowOff>
                  </from>
                  <to>
                    <xdr:col>2</xdr:col>
                    <xdr:colOff>514350</xdr:colOff>
                    <xdr:row>25</xdr:row>
                    <xdr:rowOff>9525</xdr:rowOff>
                  </to>
                </anchor>
              </controlPr>
            </control>
          </mc:Choice>
        </mc:AlternateContent>
        <mc:AlternateContent xmlns:mc="http://schemas.openxmlformats.org/markup-compatibility/2006">
          <mc:Choice Requires="x14">
            <control shapeId="71684" r:id="rId7" name="Check Box 4">
              <controlPr locked="0" defaultSize="0" autoFill="0" autoLine="0" autoPict="0">
                <anchor moveWithCells="1">
                  <from>
                    <xdr:col>2</xdr:col>
                    <xdr:colOff>438150</xdr:colOff>
                    <xdr:row>23</xdr:row>
                    <xdr:rowOff>333375</xdr:rowOff>
                  </from>
                  <to>
                    <xdr:col>2</xdr:col>
                    <xdr:colOff>923925</xdr:colOff>
                    <xdr:row>25</xdr:row>
                    <xdr:rowOff>9525</xdr:rowOff>
                  </to>
                </anchor>
              </controlPr>
            </control>
          </mc:Choice>
        </mc:AlternateContent>
        <mc:AlternateContent xmlns:mc="http://schemas.openxmlformats.org/markup-compatibility/2006">
          <mc:Choice Requires="x14">
            <control shapeId="71685" r:id="rId8" name="Check Box 5">
              <controlPr locked="0" defaultSize="0" autoFill="0" autoLine="0" autoPict="0">
                <anchor moveWithCells="1">
                  <from>
                    <xdr:col>2</xdr:col>
                    <xdr:colOff>47625</xdr:colOff>
                    <xdr:row>25</xdr:row>
                    <xdr:rowOff>638175</xdr:rowOff>
                  </from>
                  <to>
                    <xdr:col>2</xdr:col>
                    <xdr:colOff>533400</xdr:colOff>
                    <xdr:row>27</xdr:row>
                    <xdr:rowOff>9525</xdr:rowOff>
                  </to>
                </anchor>
              </controlPr>
            </control>
          </mc:Choice>
        </mc:AlternateContent>
        <mc:AlternateContent xmlns:mc="http://schemas.openxmlformats.org/markup-compatibility/2006">
          <mc:Choice Requires="x14">
            <control shapeId="71686" r:id="rId9" name="Check Box 6">
              <controlPr locked="0" defaultSize="0" autoFill="0" autoLine="0" autoPict="0">
                <anchor moveWithCells="1">
                  <from>
                    <xdr:col>2</xdr:col>
                    <xdr:colOff>428625</xdr:colOff>
                    <xdr:row>25</xdr:row>
                    <xdr:rowOff>647700</xdr:rowOff>
                  </from>
                  <to>
                    <xdr:col>2</xdr:col>
                    <xdr:colOff>914400</xdr:colOff>
                    <xdr:row>27</xdr:row>
                    <xdr:rowOff>9525</xdr:rowOff>
                  </to>
                </anchor>
              </controlPr>
            </control>
          </mc:Choice>
        </mc:AlternateContent>
        <mc:AlternateContent xmlns:mc="http://schemas.openxmlformats.org/markup-compatibility/2006">
          <mc:Choice Requires="x14">
            <control shapeId="71687" r:id="rId10" name="Check Box 7">
              <controlPr locked="0" defaultSize="0" autoFill="0" autoLine="0" autoPict="0">
                <anchor moveWithCells="1">
                  <from>
                    <xdr:col>2</xdr:col>
                    <xdr:colOff>66675</xdr:colOff>
                    <xdr:row>28</xdr:row>
                    <xdr:rowOff>180975</xdr:rowOff>
                  </from>
                  <to>
                    <xdr:col>2</xdr:col>
                    <xdr:colOff>552450</xdr:colOff>
                    <xdr:row>28</xdr:row>
                    <xdr:rowOff>400050</xdr:rowOff>
                  </to>
                </anchor>
              </controlPr>
            </control>
          </mc:Choice>
        </mc:AlternateContent>
        <mc:AlternateContent xmlns:mc="http://schemas.openxmlformats.org/markup-compatibility/2006">
          <mc:Choice Requires="x14">
            <control shapeId="71688" r:id="rId11" name="Check Box 8">
              <controlPr locked="0" defaultSize="0" autoFill="0" autoLine="0" autoPict="0">
                <anchor moveWithCells="1">
                  <from>
                    <xdr:col>2</xdr:col>
                    <xdr:colOff>428625</xdr:colOff>
                    <xdr:row>28</xdr:row>
                    <xdr:rowOff>180975</xdr:rowOff>
                  </from>
                  <to>
                    <xdr:col>2</xdr:col>
                    <xdr:colOff>914400</xdr:colOff>
                    <xdr:row>28</xdr:row>
                    <xdr:rowOff>400050</xdr:rowOff>
                  </to>
                </anchor>
              </controlPr>
            </control>
          </mc:Choice>
        </mc:AlternateContent>
        <mc:AlternateContent xmlns:mc="http://schemas.openxmlformats.org/markup-compatibility/2006">
          <mc:Choice Requires="x14">
            <control shapeId="71689" r:id="rId12" name="Check Box 9">
              <controlPr locked="0" defaultSize="0" autoFill="0" autoLine="0" autoPict="0">
                <anchor moveWithCells="1">
                  <from>
                    <xdr:col>2</xdr:col>
                    <xdr:colOff>438150</xdr:colOff>
                    <xdr:row>28</xdr:row>
                    <xdr:rowOff>504825</xdr:rowOff>
                  </from>
                  <to>
                    <xdr:col>2</xdr:col>
                    <xdr:colOff>923925</xdr:colOff>
                    <xdr:row>28</xdr:row>
                    <xdr:rowOff>723900</xdr:rowOff>
                  </to>
                </anchor>
              </controlPr>
            </control>
          </mc:Choice>
        </mc:AlternateContent>
        <mc:AlternateContent xmlns:mc="http://schemas.openxmlformats.org/markup-compatibility/2006">
          <mc:Choice Requires="x14">
            <control shapeId="71690" r:id="rId13" name="Check Box 10">
              <controlPr locked="0" defaultSize="0" autoFill="0" autoLine="0" autoPict="0">
                <anchor moveWithCells="1">
                  <from>
                    <xdr:col>2</xdr:col>
                    <xdr:colOff>428625</xdr:colOff>
                    <xdr:row>28</xdr:row>
                    <xdr:rowOff>790575</xdr:rowOff>
                  </from>
                  <to>
                    <xdr:col>2</xdr:col>
                    <xdr:colOff>914400</xdr:colOff>
                    <xdr:row>28</xdr:row>
                    <xdr:rowOff>1009650</xdr:rowOff>
                  </to>
                </anchor>
              </controlPr>
            </control>
          </mc:Choice>
        </mc:AlternateContent>
        <mc:AlternateContent xmlns:mc="http://schemas.openxmlformats.org/markup-compatibility/2006">
          <mc:Choice Requires="x14">
            <control shapeId="71691" r:id="rId14" name="Check Box 11">
              <controlPr locked="0" defaultSize="0" autoFill="0" autoLine="0" autoPict="0">
                <anchor moveWithCells="1">
                  <from>
                    <xdr:col>2</xdr:col>
                    <xdr:colOff>76200</xdr:colOff>
                    <xdr:row>28</xdr:row>
                    <xdr:rowOff>504825</xdr:rowOff>
                  </from>
                  <to>
                    <xdr:col>2</xdr:col>
                    <xdr:colOff>561975</xdr:colOff>
                    <xdr:row>28</xdr:row>
                    <xdr:rowOff>723900</xdr:rowOff>
                  </to>
                </anchor>
              </controlPr>
            </control>
          </mc:Choice>
        </mc:AlternateContent>
        <mc:AlternateContent xmlns:mc="http://schemas.openxmlformats.org/markup-compatibility/2006">
          <mc:Choice Requires="x14">
            <control shapeId="71692" r:id="rId15" name="Check Box 12">
              <controlPr locked="0" defaultSize="0" autoFill="0" autoLine="0" autoPict="0">
                <anchor moveWithCells="1">
                  <from>
                    <xdr:col>2</xdr:col>
                    <xdr:colOff>66675</xdr:colOff>
                    <xdr:row>28</xdr:row>
                    <xdr:rowOff>800100</xdr:rowOff>
                  </from>
                  <to>
                    <xdr:col>2</xdr:col>
                    <xdr:colOff>552450</xdr:colOff>
                    <xdr:row>28</xdr:row>
                    <xdr:rowOff>1019175</xdr:rowOff>
                  </to>
                </anchor>
              </controlPr>
            </control>
          </mc:Choice>
        </mc:AlternateContent>
        <mc:AlternateContent xmlns:mc="http://schemas.openxmlformats.org/markup-compatibility/2006">
          <mc:Choice Requires="x14">
            <control shapeId="71693"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71694"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71695"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71696"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71697"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71698"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71701" r:id="rId22" name="Check Box 21">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71702" r:id="rId23" name="Check Box 22">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71703" r:id="rId24" name="Check Box 2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71704" r:id="rId25" name="Check Box 2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71705" r:id="rId26" name="Check Box 25">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71706" r:id="rId27" name="Check Box 26">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mc:AlternateContent xmlns:mc="http://schemas.openxmlformats.org/markup-compatibility/2006">
          <mc:Choice Requires="x14">
            <control shapeId="71707" r:id="rId28" name="Check Box 27">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71708" r:id="rId29" name="Check Box 28">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71709" r:id="rId30" name="Check Box 29">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71710" r:id="rId31" name="Check Box 30">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14C75-8827-48B4-809D-93D2F9B31462}">
  <sheetPr>
    <tabColor rgb="FF00B050"/>
    <pageSetUpPr fitToPage="1"/>
  </sheetPr>
  <dimension ref="A1:GV459"/>
  <sheetViews>
    <sheetView zoomScaleNormal="100" workbookViewId="0">
      <selection activeCell="F5" sqref="F5:I5"/>
    </sheetView>
  </sheetViews>
  <sheetFormatPr defaultRowHeight="15" x14ac:dyDescent="0.25"/>
  <cols>
    <col min="1" max="1" width="2.85546875" customWidth="1"/>
    <col min="2" max="2" width="17.5703125" customWidth="1"/>
    <col min="3" max="3" width="13.7109375" customWidth="1"/>
    <col min="4" max="4" width="21.85546875" customWidth="1"/>
    <col min="5" max="5" width="13.7109375" customWidth="1"/>
    <col min="6" max="6" width="18.7109375" customWidth="1"/>
    <col min="7" max="7" width="21.85546875" customWidth="1"/>
    <col min="8" max="8" width="13.7109375" customWidth="1"/>
    <col min="9" max="9" width="20.28515625" customWidth="1"/>
    <col min="10" max="10" width="3.140625" style="1" customWidth="1"/>
    <col min="11" max="204" width="9.140625" style="1"/>
  </cols>
  <sheetData>
    <row r="1" spans="1:75" s="1" customFormat="1" ht="15.75" x14ac:dyDescent="0.25">
      <c r="A1" s="938" t="s">
        <v>48</v>
      </c>
      <c r="B1" s="938"/>
      <c r="C1" s="938"/>
      <c r="D1" s="938"/>
      <c r="E1" s="938"/>
      <c r="F1" s="938"/>
      <c r="G1" s="938"/>
      <c r="H1" s="938"/>
      <c r="I1" s="938"/>
      <c r="J1" s="938"/>
    </row>
    <row r="2" spans="1:75" s="3" customFormat="1" ht="12.75" customHeight="1" x14ac:dyDescent="0.25">
      <c r="A2" s="12"/>
      <c r="B2" s="12"/>
      <c r="C2" s="12"/>
      <c r="D2" s="12"/>
      <c r="E2" s="12"/>
      <c r="F2" s="12"/>
      <c r="G2" s="12"/>
      <c r="H2" s="12"/>
      <c r="I2" s="12"/>
      <c r="J2" s="12"/>
      <c r="K2" s="1"/>
      <c r="L2" s="1"/>
      <c r="M2" s="1"/>
      <c r="N2" s="17"/>
      <c r="O2" s="19"/>
      <c r="P2" s="19"/>
      <c r="Q2" s="19"/>
      <c r="R2" s="19"/>
      <c r="S2" s="19"/>
      <c r="T2" s="19"/>
      <c r="U2" s="19"/>
      <c r="V2" s="19"/>
      <c r="W2" s="19"/>
      <c r="X2" s="19"/>
      <c r="Y2" s="19"/>
      <c r="Z2" s="19"/>
      <c r="AA2" s="19"/>
      <c r="AB2" s="19"/>
      <c r="AC2" s="19"/>
      <c r="AD2" s="19"/>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row>
    <row r="3" spans="1:75" ht="75" customHeight="1" x14ac:dyDescent="0.25">
      <c r="A3" s="12"/>
      <c r="B3" s="930" t="s">
        <v>49</v>
      </c>
      <c r="C3" s="931"/>
      <c r="D3" s="931"/>
      <c r="E3" s="931"/>
      <c r="F3" s="931"/>
      <c r="G3" s="931"/>
      <c r="H3" s="931"/>
      <c r="I3" s="932"/>
      <c r="J3" s="12"/>
    </row>
    <row r="4" spans="1:75" ht="20.100000000000001" customHeight="1" x14ac:dyDescent="0.25">
      <c r="A4" s="12"/>
      <c r="B4" s="933" t="s">
        <v>50</v>
      </c>
      <c r="C4" s="933"/>
      <c r="D4" s="933"/>
      <c r="E4" s="933"/>
      <c r="F4" s="933"/>
      <c r="G4" s="933"/>
      <c r="H4" s="933"/>
      <c r="I4" s="933"/>
      <c r="J4" s="12"/>
    </row>
    <row r="5" spans="1:75" ht="15" customHeight="1" x14ac:dyDescent="0.25">
      <c r="A5" s="12"/>
      <c r="B5" s="934" t="s">
        <v>51</v>
      </c>
      <c r="C5" s="934"/>
      <c r="D5" s="934"/>
      <c r="E5" s="934"/>
      <c r="F5" s="935"/>
      <c r="G5" s="935"/>
      <c r="H5" s="935"/>
      <c r="I5" s="935"/>
      <c r="J5" s="12"/>
    </row>
    <row r="6" spans="1:75" ht="15" customHeight="1" x14ac:dyDescent="0.25">
      <c r="A6" s="12"/>
      <c r="B6" s="927" t="s">
        <v>52</v>
      </c>
      <c r="C6" s="927"/>
      <c r="D6" s="927"/>
      <c r="E6" s="927"/>
      <c r="F6" s="935"/>
      <c r="G6" s="935"/>
      <c r="H6" s="935"/>
      <c r="I6" s="935"/>
      <c r="J6" s="12"/>
      <c r="M6" s="853"/>
      <c r="N6" s="853"/>
      <c r="O6" s="853"/>
      <c r="P6" s="853"/>
      <c r="Q6" s="853"/>
      <c r="R6" s="853"/>
    </row>
    <row r="7" spans="1:75" ht="15" customHeight="1" x14ac:dyDescent="0.25">
      <c r="A7" s="12"/>
      <c r="B7" s="927" t="s">
        <v>53</v>
      </c>
      <c r="C7" s="927"/>
      <c r="D7" s="927"/>
      <c r="E7" s="927"/>
      <c r="F7" s="936" t="str">
        <f>IF('App Cust Info'!$B$12="", "", 'App Cust Info'!$B$12)</f>
        <v/>
      </c>
      <c r="G7" s="936"/>
      <c r="H7" s="936"/>
      <c r="I7" s="936"/>
      <c r="J7" s="12"/>
      <c r="M7" s="853"/>
      <c r="N7" s="853"/>
      <c r="O7" s="853"/>
      <c r="P7" s="853"/>
      <c r="Q7" s="853"/>
      <c r="R7" s="853"/>
    </row>
    <row r="8" spans="1:75" ht="15" customHeight="1" x14ac:dyDescent="0.25">
      <c r="A8" s="12"/>
      <c r="B8" s="927" t="s">
        <v>54</v>
      </c>
      <c r="C8" s="927"/>
      <c r="D8" s="927"/>
      <c r="E8" s="927"/>
      <c r="F8" s="937" t="str">
        <f>IF('App Cust Info'!$B$24="", "", 'App Cust Info'!$B$24)</f>
        <v/>
      </c>
      <c r="G8" s="937"/>
      <c r="H8" s="937"/>
      <c r="I8" s="937"/>
      <c r="J8" s="12"/>
      <c r="M8" s="853"/>
      <c r="N8" s="853"/>
      <c r="O8" s="853"/>
      <c r="P8" s="853"/>
      <c r="Q8" s="853"/>
      <c r="R8" s="853"/>
    </row>
    <row r="9" spans="1:75" ht="33" customHeight="1" x14ac:dyDescent="0.25">
      <c r="A9" s="12"/>
      <c r="B9" s="927" t="s">
        <v>55</v>
      </c>
      <c r="C9" s="927"/>
      <c r="D9" s="927"/>
      <c r="E9" s="927"/>
      <c r="F9" s="935"/>
      <c r="G9" s="935"/>
      <c r="H9" s="935"/>
      <c r="I9" s="935"/>
      <c r="J9" s="12"/>
      <c r="M9" s="853"/>
      <c r="N9" s="853"/>
      <c r="O9" s="853"/>
      <c r="P9" s="853"/>
      <c r="Q9" s="853"/>
      <c r="R9" s="853"/>
    </row>
    <row r="10" spans="1:75" x14ac:dyDescent="0.25">
      <c r="A10" s="12"/>
      <c r="B10" s="927" t="s">
        <v>56</v>
      </c>
      <c r="C10" s="927"/>
      <c r="D10" s="927"/>
      <c r="E10" s="927"/>
      <c r="F10" s="937" t="str">
        <f>IF('App Cust Info'!$B$26="", "", 'App Cust Info'!$B$26)</f>
        <v/>
      </c>
      <c r="G10" s="937"/>
      <c r="H10" s="937"/>
      <c r="I10" s="937"/>
      <c r="J10" s="12"/>
      <c r="M10" s="469"/>
      <c r="N10" s="469"/>
      <c r="O10" s="469"/>
      <c r="P10" s="469"/>
      <c r="Q10" s="469"/>
      <c r="R10" s="469"/>
    </row>
    <row r="11" spans="1:75" ht="33.75" customHeight="1" x14ac:dyDescent="0.25">
      <c r="A11" s="12"/>
      <c r="B11" s="927" t="s">
        <v>57</v>
      </c>
      <c r="C11" s="927"/>
      <c r="D11" s="927"/>
      <c r="E11" s="927"/>
      <c r="F11" s="935"/>
      <c r="G11" s="935"/>
      <c r="H11" s="935"/>
      <c r="I11" s="935"/>
      <c r="J11" s="12"/>
      <c r="M11" s="853"/>
      <c r="N11" s="853"/>
      <c r="O11" s="853"/>
      <c r="P11" s="853"/>
      <c r="Q11" s="853"/>
      <c r="R11" s="853"/>
    </row>
    <row r="12" spans="1:75" x14ac:dyDescent="0.25">
      <c r="A12" s="12"/>
      <c r="B12" s="927" t="s">
        <v>58</v>
      </c>
      <c r="C12" s="927"/>
      <c r="D12" s="927"/>
      <c r="E12" s="927"/>
      <c r="F12" s="935"/>
      <c r="G12" s="935"/>
      <c r="H12" s="935"/>
      <c r="I12" s="935"/>
      <c r="J12" s="12"/>
      <c r="M12" s="469"/>
      <c r="N12" s="469"/>
      <c r="O12" s="469"/>
      <c r="P12" s="469"/>
      <c r="Q12" s="469"/>
      <c r="R12" s="469"/>
    </row>
    <row r="13" spans="1:75" x14ac:dyDescent="0.25">
      <c r="A13" s="12"/>
      <c r="B13" s="927" t="s">
        <v>59</v>
      </c>
      <c r="C13" s="927"/>
      <c r="D13" s="927"/>
      <c r="E13" s="927"/>
      <c r="F13" s="949"/>
      <c r="G13" s="949"/>
      <c r="H13" s="949"/>
      <c r="I13" s="949"/>
      <c r="J13" s="12"/>
      <c r="M13" s="853"/>
      <c r="N13" s="853"/>
      <c r="O13" s="853"/>
      <c r="P13" s="853"/>
      <c r="Q13" s="853"/>
      <c r="R13" s="853"/>
    </row>
    <row r="14" spans="1:75" x14ac:dyDescent="0.25">
      <c r="A14" s="12"/>
      <c r="B14" s="927" t="s">
        <v>60</v>
      </c>
      <c r="C14" s="927"/>
      <c r="D14" s="927"/>
      <c r="E14" s="927"/>
      <c r="F14" s="935"/>
      <c r="G14" s="935"/>
      <c r="H14" s="935"/>
      <c r="I14" s="935"/>
      <c r="J14" s="12"/>
      <c r="M14" s="853"/>
      <c r="N14" s="853"/>
      <c r="O14" s="853"/>
      <c r="P14" s="853"/>
      <c r="Q14" s="853"/>
      <c r="R14" s="853"/>
    </row>
    <row r="15" spans="1:75" x14ac:dyDescent="0.25">
      <c r="A15" s="12"/>
      <c r="B15" s="927" t="s">
        <v>61</v>
      </c>
      <c r="C15" s="927"/>
      <c r="D15" s="927"/>
      <c r="E15" s="927"/>
      <c r="F15" s="935"/>
      <c r="G15" s="935"/>
      <c r="H15" s="935"/>
      <c r="I15" s="935"/>
      <c r="J15" s="12"/>
      <c r="M15" s="853"/>
      <c r="N15" s="853"/>
      <c r="O15" s="853"/>
      <c r="P15" s="853"/>
      <c r="Q15" s="853"/>
      <c r="R15" s="853"/>
    </row>
    <row r="16" spans="1:75" ht="78.75" customHeight="1" x14ac:dyDescent="0.25">
      <c r="A16" s="12"/>
      <c r="B16" s="942" t="s">
        <v>62</v>
      </c>
      <c r="C16" s="942"/>
      <c r="D16" s="942"/>
      <c r="E16" s="942"/>
      <c r="F16" s="935"/>
      <c r="G16" s="935"/>
      <c r="H16" s="935"/>
      <c r="I16" s="935"/>
      <c r="J16" s="12"/>
      <c r="M16" s="853"/>
      <c r="N16" s="853"/>
      <c r="O16" s="853"/>
      <c r="P16" s="853"/>
      <c r="Q16" s="853"/>
      <c r="R16" s="853"/>
    </row>
    <row r="17" spans="1:18" x14ac:dyDescent="0.25">
      <c r="A17" s="12"/>
      <c r="B17" s="927" t="s">
        <v>63</v>
      </c>
      <c r="C17" s="927"/>
      <c r="D17" s="927"/>
      <c r="E17" s="927"/>
      <c r="F17" s="935"/>
      <c r="G17" s="935"/>
      <c r="H17" s="935"/>
      <c r="I17" s="935"/>
      <c r="J17" s="12"/>
      <c r="M17" s="469"/>
      <c r="N17" s="469"/>
      <c r="O17" s="469"/>
      <c r="P17" s="469"/>
      <c r="Q17" s="469"/>
      <c r="R17" s="469"/>
    </row>
    <row r="18" spans="1:18" ht="20.100000000000001" customHeight="1" x14ac:dyDescent="0.25">
      <c r="A18" s="12"/>
      <c r="B18" s="943" t="s">
        <v>64</v>
      </c>
      <c r="C18" s="944"/>
      <c r="D18" s="944"/>
      <c r="E18" s="944"/>
      <c r="F18" s="944"/>
      <c r="G18" s="944"/>
      <c r="H18" s="944"/>
      <c r="I18" s="945"/>
      <c r="J18" s="12"/>
      <c r="M18" s="853"/>
      <c r="N18" s="853"/>
      <c r="O18" s="853"/>
      <c r="P18" s="853"/>
      <c r="Q18" s="853"/>
      <c r="R18" s="853"/>
    </row>
    <row r="19" spans="1:18" ht="167.25" customHeight="1" x14ac:dyDescent="0.25">
      <c r="A19" s="12"/>
      <c r="B19" s="854" t="s">
        <v>64</v>
      </c>
      <c r="C19" s="946" t="s">
        <v>65</v>
      </c>
      <c r="D19" s="947"/>
      <c r="E19" s="947"/>
      <c r="F19" s="947"/>
      <c r="G19" s="947"/>
      <c r="H19" s="947"/>
      <c r="I19" s="948"/>
      <c r="J19" s="12"/>
    </row>
    <row r="20" spans="1:18" ht="20.100000000000001" customHeight="1" x14ac:dyDescent="0.25">
      <c r="A20" s="12"/>
      <c r="B20" s="939" t="s">
        <v>66</v>
      </c>
      <c r="C20" s="940"/>
      <c r="D20" s="940"/>
      <c r="E20" s="940"/>
      <c r="F20" s="940"/>
      <c r="G20" s="940"/>
      <c r="H20" s="940"/>
      <c r="I20" s="941"/>
      <c r="J20" s="12"/>
    </row>
    <row r="21" spans="1:18" ht="33.75" customHeight="1" x14ac:dyDescent="0.25">
      <c r="A21" s="12"/>
      <c r="B21" s="927" t="s">
        <v>67</v>
      </c>
      <c r="C21" s="927"/>
      <c r="D21" s="927"/>
      <c r="E21" s="927"/>
      <c r="F21" s="927"/>
      <c r="G21" s="927"/>
      <c r="H21" s="927"/>
      <c r="I21" s="857"/>
      <c r="J21" s="12"/>
    </row>
    <row r="22" spans="1:18" x14ac:dyDescent="0.25">
      <c r="A22" s="12"/>
      <c r="B22" s="927" t="s">
        <v>68</v>
      </c>
      <c r="C22" s="927"/>
      <c r="D22" s="927"/>
      <c r="E22" s="927"/>
      <c r="F22" s="927"/>
      <c r="G22" s="927"/>
      <c r="H22" s="927"/>
      <c r="I22" s="857"/>
      <c r="J22" s="12"/>
    </row>
    <row r="23" spans="1:18" x14ac:dyDescent="0.25">
      <c r="A23" s="12"/>
      <c r="B23" s="929"/>
      <c r="C23" s="929"/>
      <c r="D23" s="929"/>
      <c r="E23" s="929"/>
      <c r="F23" s="929"/>
      <c r="G23" s="929"/>
      <c r="H23" s="929"/>
      <c r="I23" s="929"/>
      <c r="J23" s="12"/>
    </row>
    <row r="24" spans="1:18" ht="54.75" customHeight="1" x14ac:dyDescent="0.25">
      <c r="A24" s="12"/>
      <c r="B24" s="927" t="s">
        <v>69</v>
      </c>
      <c r="C24" s="927"/>
      <c r="D24" s="927"/>
      <c r="E24" s="928"/>
      <c r="F24" s="928"/>
      <c r="G24" s="928"/>
      <c r="H24" s="855" t="s">
        <v>70</v>
      </c>
      <c r="I24" s="856"/>
      <c r="J24" s="12"/>
    </row>
    <row r="25" spans="1:18" x14ac:dyDescent="0.25">
      <c r="A25" s="12"/>
      <c r="B25" s="12"/>
      <c r="C25" s="12"/>
      <c r="D25" s="12"/>
      <c r="E25" s="12"/>
      <c r="F25" s="12"/>
      <c r="G25" s="12"/>
      <c r="H25" s="12"/>
      <c r="I25" s="12"/>
      <c r="J25" s="12"/>
    </row>
    <row r="26" spans="1:18" x14ac:dyDescent="0.25">
      <c r="A26" s="1"/>
      <c r="B26" s="1"/>
      <c r="C26" s="1"/>
      <c r="D26" s="1"/>
      <c r="E26" s="1"/>
      <c r="F26" s="1"/>
      <c r="G26" s="1"/>
      <c r="H26" s="1"/>
      <c r="I26" s="1"/>
    </row>
    <row r="27" spans="1:18" x14ac:dyDescent="0.25">
      <c r="A27" s="1"/>
      <c r="B27" s="1"/>
      <c r="C27" s="1"/>
      <c r="D27" s="1"/>
      <c r="E27" s="1"/>
      <c r="F27" s="1"/>
      <c r="G27" s="1"/>
      <c r="H27" s="1"/>
      <c r="I27" s="1"/>
    </row>
    <row r="28" spans="1:18" x14ac:dyDescent="0.25">
      <c r="A28" s="1"/>
      <c r="B28" s="1"/>
      <c r="C28" s="1"/>
      <c r="D28" s="1"/>
      <c r="E28" s="1"/>
      <c r="F28" s="1"/>
      <c r="G28" s="1"/>
      <c r="H28" s="1"/>
      <c r="I28" s="1"/>
    </row>
    <row r="29" spans="1:18" x14ac:dyDescent="0.25">
      <c r="A29" s="1"/>
      <c r="B29" s="1"/>
      <c r="C29" s="1"/>
      <c r="D29" s="1"/>
      <c r="E29" s="1"/>
      <c r="F29" s="1"/>
      <c r="G29" s="1"/>
      <c r="H29" s="1"/>
      <c r="I29" s="1"/>
    </row>
    <row r="30" spans="1:18" x14ac:dyDescent="0.25">
      <c r="A30" s="1"/>
      <c r="B30" s="1"/>
      <c r="C30" s="1"/>
      <c r="D30" s="1"/>
      <c r="E30" s="1"/>
      <c r="F30" s="1"/>
      <c r="G30" s="1"/>
      <c r="H30" s="1"/>
      <c r="I30" s="1"/>
    </row>
    <row r="31" spans="1:18" x14ac:dyDescent="0.25">
      <c r="A31" s="1"/>
      <c r="B31" s="1"/>
      <c r="C31" s="1"/>
      <c r="D31" s="1"/>
      <c r="E31" s="1"/>
      <c r="F31" s="1"/>
      <c r="G31" s="1"/>
      <c r="H31" s="1"/>
      <c r="I31" s="1"/>
    </row>
    <row r="32" spans="1:18" x14ac:dyDescent="0.25">
      <c r="A32" s="1"/>
      <c r="B32" s="1"/>
      <c r="C32" s="1"/>
      <c r="D32" s="1"/>
      <c r="E32" s="1"/>
      <c r="F32" s="1"/>
      <c r="G32" s="1"/>
      <c r="H32" s="1"/>
      <c r="I32" s="1"/>
    </row>
    <row r="33" spans="1:9" x14ac:dyDescent="0.25">
      <c r="A33" s="1"/>
      <c r="B33" s="1"/>
      <c r="C33" s="1"/>
      <c r="D33" s="1"/>
      <c r="E33" s="1"/>
      <c r="F33" s="1"/>
      <c r="G33" s="1"/>
      <c r="H33" s="1"/>
      <c r="I33" s="1"/>
    </row>
    <row r="34" spans="1:9" x14ac:dyDescent="0.25">
      <c r="A34" s="1"/>
      <c r="B34" s="1"/>
      <c r="C34" s="1"/>
      <c r="D34" s="1"/>
      <c r="E34" s="1"/>
      <c r="F34" s="1"/>
      <c r="G34" s="1"/>
      <c r="H34" s="1"/>
      <c r="I34" s="1"/>
    </row>
    <row r="35" spans="1:9" x14ac:dyDescent="0.25">
      <c r="A35" s="1"/>
      <c r="B35" s="1"/>
      <c r="C35" s="1"/>
      <c r="D35" s="1"/>
      <c r="E35" s="1"/>
      <c r="F35" s="1"/>
      <c r="G35" s="1"/>
      <c r="H35" s="1"/>
      <c r="I35" s="1"/>
    </row>
    <row r="36" spans="1:9" x14ac:dyDescent="0.25">
      <c r="A36" s="1"/>
      <c r="B36" s="1"/>
      <c r="C36" s="1"/>
      <c r="D36" s="1"/>
      <c r="E36" s="1"/>
      <c r="F36" s="1"/>
      <c r="G36" s="1"/>
      <c r="H36" s="1"/>
      <c r="I36" s="1"/>
    </row>
    <row r="37" spans="1:9" x14ac:dyDescent="0.25">
      <c r="A37" s="1"/>
      <c r="B37" s="1"/>
      <c r="C37" s="1"/>
      <c r="D37" s="1"/>
      <c r="E37" s="1"/>
      <c r="F37" s="1"/>
      <c r="G37" s="1"/>
      <c r="H37" s="1"/>
      <c r="I37" s="1"/>
    </row>
    <row r="38" spans="1:9"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row r="41" spans="1:9" x14ac:dyDescent="0.25">
      <c r="A41" s="1"/>
      <c r="B41" s="1"/>
      <c r="C41" s="1"/>
      <c r="D41" s="1"/>
      <c r="E41" s="1"/>
      <c r="F41" s="1"/>
      <c r="G41" s="1"/>
      <c r="H41" s="1"/>
      <c r="I41" s="1"/>
    </row>
    <row r="42" spans="1:9" x14ac:dyDescent="0.25">
      <c r="A42" s="1"/>
      <c r="B42" s="1"/>
      <c r="C42" s="1"/>
      <c r="D42" s="1"/>
      <c r="E42" s="1"/>
      <c r="F42" s="1"/>
      <c r="G42" s="1"/>
      <c r="H42" s="1"/>
      <c r="I42" s="1"/>
    </row>
    <row r="43" spans="1:9" x14ac:dyDescent="0.25">
      <c r="A43" s="1"/>
      <c r="B43" s="1"/>
      <c r="C43" s="1"/>
      <c r="D43" s="1"/>
      <c r="E43" s="1"/>
      <c r="F43" s="1"/>
      <c r="G43" s="1"/>
      <c r="H43" s="1"/>
      <c r="I43" s="1"/>
    </row>
    <row r="44" spans="1:9" x14ac:dyDescent="0.25">
      <c r="A44" s="1"/>
      <c r="B44" s="1"/>
      <c r="C44" s="1"/>
      <c r="D44" s="1"/>
      <c r="E44" s="1"/>
      <c r="F44" s="1"/>
      <c r="G44" s="1"/>
      <c r="H44" s="1"/>
      <c r="I44" s="1"/>
    </row>
    <row r="45" spans="1:9" x14ac:dyDescent="0.25">
      <c r="A45" s="1"/>
      <c r="B45" s="1"/>
      <c r="C45" s="1"/>
      <c r="D45" s="1"/>
      <c r="E45" s="1"/>
      <c r="F45" s="1"/>
      <c r="G45" s="1"/>
      <c r="H45" s="1"/>
      <c r="I45" s="1"/>
    </row>
    <row r="46" spans="1:9" x14ac:dyDescent="0.25">
      <c r="A46" s="1"/>
      <c r="B46" s="1"/>
      <c r="C46" s="1"/>
      <c r="D46" s="1"/>
      <c r="E46" s="1"/>
      <c r="F46" s="1"/>
      <c r="G46" s="1"/>
      <c r="H46" s="1"/>
      <c r="I46" s="1"/>
    </row>
    <row r="47" spans="1:9" x14ac:dyDescent="0.25">
      <c r="A47" s="1"/>
      <c r="B47" s="1"/>
      <c r="C47" s="1"/>
      <c r="D47" s="1"/>
      <c r="E47" s="1"/>
      <c r="F47" s="1"/>
      <c r="G47" s="1"/>
      <c r="H47" s="1"/>
      <c r="I47" s="1"/>
    </row>
    <row r="48" spans="1:9" x14ac:dyDescent="0.25">
      <c r="A48" s="1"/>
      <c r="B48" s="1"/>
      <c r="C48" s="1"/>
      <c r="D48" s="1"/>
      <c r="E48" s="1"/>
      <c r="F48" s="1"/>
      <c r="G48" s="1"/>
      <c r="H48" s="1"/>
      <c r="I48" s="1"/>
    </row>
    <row r="49" spans="1:9" x14ac:dyDescent="0.25">
      <c r="A49" s="1"/>
      <c r="B49" s="1"/>
      <c r="C49" s="1"/>
      <c r="D49" s="1"/>
      <c r="E49" s="1"/>
      <c r="F49" s="1"/>
      <c r="G49" s="1"/>
      <c r="H49" s="1"/>
      <c r="I49" s="1"/>
    </row>
    <row r="50" spans="1:9" x14ac:dyDescent="0.25">
      <c r="A50" s="1"/>
      <c r="B50" s="1"/>
      <c r="C50" s="1"/>
      <c r="D50" s="1"/>
      <c r="E50" s="1"/>
      <c r="F50" s="1"/>
      <c r="G50" s="1"/>
      <c r="H50" s="1"/>
      <c r="I50" s="1"/>
    </row>
    <row r="51" spans="1:9" x14ac:dyDescent="0.25">
      <c r="A51" s="1"/>
      <c r="B51" s="1"/>
      <c r="C51" s="1"/>
      <c r="D51" s="1"/>
      <c r="E51" s="1"/>
      <c r="F51" s="1"/>
      <c r="G51" s="1"/>
      <c r="H51" s="1"/>
      <c r="I51" s="1"/>
    </row>
    <row r="52" spans="1:9" x14ac:dyDescent="0.25">
      <c r="A52" s="1"/>
      <c r="B52" s="1"/>
      <c r="C52" s="1"/>
      <c r="D52" s="1"/>
      <c r="E52" s="1"/>
      <c r="F52" s="1"/>
      <c r="G52" s="1"/>
      <c r="H52" s="1"/>
      <c r="I52" s="1"/>
    </row>
    <row r="53" spans="1:9" x14ac:dyDescent="0.25">
      <c r="A53" s="1"/>
      <c r="B53" s="1"/>
      <c r="C53" s="1"/>
      <c r="D53" s="1"/>
      <c r="E53" s="1"/>
      <c r="F53" s="1"/>
      <c r="G53" s="1"/>
      <c r="H53" s="1"/>
      <c r="I53" s="1"/>
    </row>
    <row r="54" spans="1:9" x14ac:dyDescent="0.25">
      <c r="A54" s="1"/>
      <c r="B54" s="1"/>
      <c r="C54" s="1"/>
      <c r="D54" s="1"/>
      <c r="E54" s="1"/>
      <c r="F54" s="1"/>
      <c r="G54" s="1"/>
      <c r="H54" s="1"/>
      <c r="I54" s="1"/>
    </row>
    <row r="55" spans="1:9" x14ac:dyDescent="0.25">
      <c r="A55" s="1"/>
      <c r="B55" s="1"/>
      <c r="C55" s="1"/>
      <c r="D55" s="1"/>
      <c r="E55" s="1"/>
      <c r="F55" s="1"/>
      <c r="G55" s="1"/>
      <c r="H55" s="1"/>
      <c r="I55" s="1"/>
    </row>
    <row r="56" spans="1:9" x14ac:dyDescent="0.25">
      <c r="A56" s="1"/>
      <c r="B56" s="1"/>
      <c r="C56" s="1"/>
      <c r="D56" s="1"/>
      <c r="E56" s="1"/>
      <c r="F56" s="1"/>
      <c r="G56" s="1"/>
      <c r="H56" s="1"/>
      <c r="I56" s="1"/>
    </row>
    <row r="57" spans="1:9" x14ac:dyDescent="0.25">
      <c r="A57" s="1"/>
      <c r="B57" s="1"/>
      <c r="C57" s="1"/>
      <c r="D57" s="1"/>
      <c r="E57" s="1"/>
      <c r="F57" s="1"/>
      <c r="G57" s="1"/>
      <c r="H57" s="1"/>
      <c r="I57" s="1"/>
    </row>
    <row r="58" spans="1:9" x14ac:dyDescent="0.25">
      <c r="A58" s="1"/>
      <c r="B58" s="1"/>
      <c r="C58" s="1"/>
      <c r="D58" s="1"/>
      <c r="E58" s="1"/>
      <c r="F58" s="1"/>
      <c r="G58" s="1"/>
      <c r="H58" s="1"/>
      <c r="I58" s="1"/>
    </row>
    <row r="59" spans="1:9" x14ac:dyDescent="0.25">
      <c r="A59" s="1"/>
      <c r="B59" s="1"/>
      <c r="C59" s="1"/>
      <c r="D59" s="1"/>
      <c r="E59" s="1"/>
      <c r="F59" s="1"/>
      <c r="G59" s="1"/>
      <c r="H59" s="1"/>
      <c r="I59" s="1"/>
    </row>
    <row r="60" spans="1:9" x14ac:dyDescent="0.25">
      <c r="A60" s="1"/>
      <c r="B60" s="1"/>
      <c r="C60" s="1"/>
      <c r="D60" s="1"/>
      <c r="E60" s="1"/>
      <c r="F60" s="1"/>
      <c r="G60" s="1"/>
      <c r="H60" s="1"/>
      <c r="I60" s="1"/>
    </row>
    <row r="61" spans="1:9" x14ac:dyDescent="0.25">
      <c r="A61" s="1"/>
      <c r="B61" s="1"/>
      <c r="C61" s="1"/>
      <c r="D61" s="1"/>
      <c r="E61" s="1"/>
      <c r="F61" s="1"/>
      <c r="G61" s="1"/>
      <c r="H61" s="1"/>
      <c r="I61" s="1"/>
    </row>
    <row r="62" spans="1:9" x14ac:dyDescent="0.25">
      <c r="A62" s="1"/>
      <c r="B62" s="1"/>
      <c r="C62" s="1"/>
      <c r="D62" s="1"/>
      <c r="E62" s="1"/>
      <c r="F62" s="1"/>
      <c r="G62" s="1"/>
      <c r="H62" s="1"/>
      <c r="I62" s="1"/>
    </row>
    <row r="63" spans="1:9" x14ac:dyDescent="0.25">
      <c r="A63" s="1"/>
      <c r="B63" s="1"/>
      <c r="C63" s="1"/>
      <c r="D63" s="1"/>
      <c r="E63" s="1"/>
      <c r="F63" s="1"/>
      <c r="G63" s="1"/>
      <c r="H63" s="1"/>
      <c r="I63" s="1"/>
    </row>
    <row r="64" spans="1:9" x14ac:dyDescent="0.25">
      <c r="A64" s="1"/>
      <c r="B64" s="1"/>
      <c r="C64" s="1"/>
      <c r="D64" s="1"/>
      <c r="E64" s="1"/>
      <c r="F64" s="1"/>
      <c r="G64" s="1"/>
      <c r="H64" s="1"/>
      <c r="I64" s="1"/>
    </row>
    <row r="65" spans="1:9" x14ac:dyDescent="0.25">
      <c r="A65" s="1"/>
      <c r="B65" s="1"/>
      <c r="C65" s="1"/>
      <c r="D65" s="1"/>
      <c r="E65" s="1"/>
      <c r="F65" s="1"/>
      <c r="G65" s="1"/>
      <c r="H65" s="1"/>
      <c r="I65" s="1"/>
    </row>
    <row r="66" spans="1:9" x14ac:dyDescent="0.25">
      <c r="A66" s="1"/>
      <c r="B66" s="1"/>
      <c r="C66" s="1"/>
      <c r="D66" s="1"/>
      <c r="E66" s="1"/>
      <c r="F66" s="1"/>
      <c r="G66" s="1"/>
      <c r="H66" s="1"/>
      <c r="I66" s="1"/>
    </row>
    <row r="67" spans="1:9" x14ac:dyDescent="0.25">
      <c r="A67" s="1"/>
      <c r="B67" s="1"/>
      <c r="C67" s="1"/>
      <c r="D67" s="1"/>
      <c r="E67" s="1"/>
      <c r="F67" s="1"/>
      <c r="G67" s="1"/>
      <c r="H67" s="1"/>
      <c r="I67" s="1"/>
    </row>
    <row r="68" spans="1:9" x14ac:dyDescent="0.25">
      <c r="A68" s="1"/>
      <c r="B68" s="1"/>
      <c r="C68" s="1"/>
      <c r="D68" s="1"/>
      <c r="E68" s="1"/>
      <c r="F68" s="1"/>
      <c r="G68" s="1"/>
      <c r="H68" s="1"/>
      <c r="I68" s="1"/>
    </row>
    <row r="69" spans="1:9" x14ac:dyDescent="0.25">
      <c r="A69" s="1"/>
      <c r="B69" s="1"/>
      <c r="C69" s="1"/>
      <c r="D69" s="1"/>
      <c r="E69" s="1"/>
      <c r="F69" s="1"/>
      <c r="G69" s="1"/>
      <c r="H69" s="1"/>
      <c r="I69" s="1"/>
    </row>
    <row r="70" spans="1:9" x14ac:dyDescent="0.25">
      <c r="A70" s="1"/>
      <c r="B70" s="1"/>
      <c r="C70" s="1"/>
      <c r="D70" s="1"/>
      <c r="E70" s="1"/>
      <c r="F70" s="1"/>
      <c r="G70" s="1"/>
      <c r="H70" s="1"/>
      <c r="I70" s="1"/>
    </row>
    <row r="71" spans="1:9" x14ac:dyDescent="0.25">
      <c r="A71" s="1"/>
      <c r="B71" s="1"/>
      <c r="C71" s="1"/>
      <c r="D71" s="1"/>
      <c r="E71" s="1"/>
      <c r="F71" s="1"/>
      <c r="G71" s="1"/>
      <c r="H71" s="1"/>
      <c r="I71" s="1"/>
    </row>
    <row r="72" spans="1:9" x14ac:dyDescent="0.25">
      <c r="A72" s="1"/>
      <c r="B72" s="1"/>
      <c r="C72" s="1"/>
      <c r="D72" s="1"/>
      <c r="E72" s="1"/>
      <c r="F72" s="1"/>
      <c r="G72" s="1"/>
      <c r="H72" s="1"/>
      <c r="I72" s="1"/>
    </row>
    <row r="73" spans="1:9" x14ac:dyDescent="0.25">
      <c r="A73" s="1"/>
      <c r="B73" s="1"/>
      <c r="C73" s="1"/>
      <c r="D73" s="1"/>
      <c r="E73" s="1"/>
      <c r="F73" s="1"/>
      <c r="G73" s="1"/>
      <c r="H73" s="1"/>
      <c r="I73" s="1"/>
    </row>
    <row r="74" spans="1:9" x14ac:dyDescent="0.25">
      <c r="A74" s="1"/>
      <c r="B74" s="1"/>
      <c r="C74" s="1"/>
      <c r="D74" s="1"/>
      <c r="E74" s="1"/>
      <c r="F74" s="1"/>
      <c r="G74" s="1"/>
      <c r="H74" s="1"/>
      <c r="I74" s="1"/>
    </row>
    <row r="75" spans="1:9" x14ac:dyDescent="0.25">
      <c r="A75" s="1"/>
      <c r="B75" s="1"/>
      <c r="C75" s="1"/>
      <c r="D75" s="1"/>
      <c r="E75" s="1"/>
      <c r="F75" s="1"/>
      <c r="G75" s="1"/>
      <c r="H75" s="1"/>
      <c r="I75" s="1"/>
    </row>
    <row r="76" spans="1:9" x14ac:dyDescent="0.25">
      <c r="A76" s="1"/>
      <c r="B76" s="1"/>
      <c r="C76" s="1"/>
      <c r="D76" s="1"/>
      <c r="E76" s="1"/>
      <c r="F76" s="1"/>
      <c r="G76" s="1"/>
      <c r="H76" s="1"/>
      <c r="I76" s="1"/>
    </row>
    <row r="77" spans="1:9" x14ac:dyDescent="0.25">
      <c r="A77" s="1"/>
      <c r="B77" s="1"/>
      <c r="C77" s="1"/>
      <c r="D77" s="1"/>
      <c r="E77" s="1"/>
      <c r="F77" s="1"/>
      <c r="G77" s="1"/>
      <c r="H77" s="1"/>
      <c r="I77" s="1"/>
    </row>
    <row r="78" spans="1:9" x14ac:dyDescent="0.25">
      <c r="A78" s="1"/>
      <c r="B78" s="1"/>
      <c r="C78" s="1"/>
      <c r="D78" s="1"/>
      <c r="E78" s="1"/>
      <c r="F78" s="1"/>
      <c r="G78" s="1"/>
      <c r="H78" s="1"/>
      <c r="I78" s="1"/>
    </row>
    <row r="79" spans="1:9" x14ac:dyDescent="0.25">
      <c r="A79" s="1"/>
      <c r="B79" s="1"/>
      <c r="C79" s="1"/>
      <c r="D79" s="1"/>
      <c r="E79" s="1"/>
      <c r="F79" s="1"/>
      <c r="G79" s="1"/>
      <c r="H79" s="1"/>
      <c r="I79" s="1"/>
    </row>
    <row r="80" spans="1:9" x14ac:dyDescent="0.25">
      <c r="A80" s="1"/>
      <c r="B80" s="1"/>
      <c r="C80" s="1"/>
      <c r="D80" s="1"/>
      <c r="E80" s="1"/>
      <c r="F80" s="1"/>
      <c r="G80" s="1"/>
      <c r="H80" s="1"/>
      <c r="I80" s="1"/>
    </row>
    <row r="81" spans="1:9" x14ac:dyDescent="0.25">
      <c r="A81" s="1"/>
      <c r="B81" s="1"/>
      <c r="C81" s="1"/>
      <c r="D81" s="1"/>
      <c r="E81" s="1"/>
      <c r="F81" s="1"/>
      <c r="G81" s="1"/>
      <c r="H81" s="1"/>
      <c r="I81" s="1"/>
    </row>
    <row r="82" spans="1:9" x14ac:dyDescent="0.25">
      <c r="A82" s="1"/>
      <c r="B82" s="1"/>
      <c r="C82" s="1"/>
      <c r="D82" s="1"/>
      <c r="E82" s="1"/>
      <c r="F82" s="1"/>
      <c r="G82" s="1"/>
      <c r="H82" s="1"/>
      <c r="I82" s="1"/>
    </row>
    <row r="83" spans="1:9" x14ac:dyDescent="0.25">
      <c r="A83" s="1"/>
      <c r="B83" s="1"/>
      <c r="C83" s="1"/>
      <c r="D83" s="1"/>
      <c r="E83" s="1"/>
      <c r="F83" s="1"/>
      <c r="G83" s="1"/>
      <c r="H83" s="1"/>
      <c r="I83" s="1"/>
    </row>
    <row r="84" spans="1:9" x14ac:dyDescent="0.25">
      <c r="A84" s="1"/>
      <c r="B84" s="1"/>
      <c r="C84" s="1"/>
      <c r="D84" s="1"/>
      <c r="E84" s="1"/>
      <c r="F84" s="1"/>
      <c r="G84" s="1"/>
      <c r="H84" s="1"/>
      <c r="I84" s="1"/>
    </row>
    <row r="85" spans="1:9" x14ac:dyDescent="0.25">
      <c r="A85" s="1"/>
      <c r="B85" s="1"/>
      <c r="C85" s="1"/>
      <c r="D85" s="1"/>
      <c r="E85" s="1"/>
      <c r="F85" s="1"/>
      <c r="G85" s="1"/>
      <c r="H85" s="1"/>
      <c r="I85" s="1"/>
    </row>
    <row r="86" spans="1:9" x14ac:dyDescent="0.25">
      <c r="A86" s="1"/>
      <c r="B86" s="1"/>
      <c r="C86" s="1"/>
      <c r="D86" s="1"/>
      <c r="E86" s="1"/>
      <c r="F86" s="1"/>
      <c r="G86" s="1"/>
      <c r="H86" s="1"/>
      <c r="I86" s="1"/>
    </row>
    <row r="87" spans="1:9" x14ac:dyDescent="0.25">
      <c r="A87" s="1"/>
      <c r="B87" s="1"/>
      <c r="C87" s="1"/>
      <c r="D87" s="1"/>
      <c r="E87" s="1"/>
      <c r="F87" s="1"/>
      <c r="G87" s="1"/>
      <c r="H87" s="1"/>
      <c r="I87" s="1"/>
    </row>
    <row r="88" spans="1:9" x14ac:dyDescent="0.25">
      <c r="A88" s="1"/>
      <c r="B88" s="1"/>
      <c r="C88" s="1"/>
      <c r="D88" s="1"/>
      <c r="E88" s="1"/>
      <c r="F88" s="1"/>
      <c r="G88" s="1"/>
      <c r="H88" s="1"/>
      <c r="I88" s="1"/>
    </row>
    <row r="89" spans="1:9" x14ac:dyDescent="0.25">
      <c r="A89" s="1"/>
      <c r="B89" s="1"/>
      <c r="C89" s="1"/>
      <c r="D89" s="1"/>
      <c r="E89" s="1"/>
      <c r="F89" s="1"/>
      <c r="G89" s="1"/>
      <c r="H89" s="1"/>
      <c r="I89" s="1"/>
    </row>
    <row r="90" spans="1:9" x14ac:dyDescent="0.25">
      <c r="A90" s="1"/>
      <c r="B90" s="1"/>
      <c r="C90" s="1"/>
      <c r="D90" s="1"/>
      <c r="E90" s="1"/>
      <c r="F90" s="1"/>
      <c r="G90" s="1"/>
      <c r="H90" s="1"/>
      <c r="I90" s="1"/>
    </row>
    <row r="91" spans="1:9" x14ac:dyDescent="0.25">
      <c r="A91" s="1"/>
      <c r="B91" s="1"/>
      <c r="C91" s="1"/>
      <c r="D91" s="1"/>
      <c r="E91" s="1"/>
      <c r="F91" s="1"/>
      <c r="G91" s="1"/>
      <c r="H91" s="1"/>
      <c r="I91" s="1"/>
    </row>
    <row r="92" spans="1:9" x14ac:dyDescent="0.25">
      <c r="A92" s="1"/>
      <c r="B92" s="1"/>
      <c r="C92" s="1"/>
      <c r="D92" s="1"/>
      <c r="E92" s="1"/>
      <c r="F92" s="1"/>
      <c r="G92" s="1"/>
      <c r="H92" s="1"/>
      <c r="I92" s="1"/>
    </row>
    <row r="93" spans="1:9" x14ac:dyDescent="0.25">
      <c r="A93" s="1"/>
      <c r="B93" s="1"/>
      <c r="C93" s="1"/>
      <c r="D93" s="1"/>
      <c r="E93" s="1"/>
      <c r="F93" s="1"/>
      <c r="G93" s="1"/>
      <c r="H93" s="1"/>
      <c r="I93" s="1"/>
    </row>
    <row r="94" spans="1:9" x14ac:dyDescent="0.25">
      <c r="A94" s="1"/>
      <c r="B94" s="1"/>
      <c r="C94" s="1"/>
      <c r="D94" s="1"/>
      <c r="E94" s="1"/>
      <c r="F94" s="1"/>
      <c r="G94" s="1"/>
      <c r="H94" s="1"/>
      <c r="I94" s="1"/>
    </row>
    <row r="95" spans="1:9" x14ac:dyDescent="0.25">
      <c r="A95" s="1"/>
      <c r="B95" s="1"/>
      <c r="C95" s="1"/>
      <c r="D95" s="1"/>
      <c r="E95" s="1"/>
      <c r="F95" s="1"/>
      <c r="G95" s="1"/>
      <c r="H95" s="1"/>
      <c r="I95" s="1"/>
    </row>
    <row r="96" spans="1:9" x14ac:dyDescent="0.25">
      <c r="A96" s="1"/>
      <c r="B96" s="1"/>
      <c r="C96" s="1"/>
      <c r="D96" s="1"/>
      <c r="E96" s="1"/>
      <c r="F96" s="1"/>
      <c r="G96" s="1"/>
      <c r="H96" s="1"/>
      <c r="I96" s="1"/>
    </row>
    <row r="97" spans="1:9" x14ac:dyDescent="0.25">
      <c r="A97" s="1"/>
      <c r="B97" s="1"/>
      <c r="C97" s="1"/>
      <c r="D97" s="1"/>
      <c r="E97" s="1"/>
      <c r="F97" s="1"/>
      <c r="G97" s="1"/>
      <c r="H97" s="1"/>
      <c r="I97" s="1"/>
    </row>
    <row r="98" spans="1:9" x14ac:dyDescent="0.25">
      <c r="A98" s="1"/>
      <c r="B98" s="1"/>
      <c r="C98" s="1"/>
      <c r="D98" s="1"/>
      <c r="E98" s="1"/>
      <c r="F98" s="1"/>
      <c r="G98" s="1"/>
      <c r="H98" s="1"/>
      <c r="I98" s="1"/>
    </row>
    <row r="99" spans="1:9" x14ac:dyDescent="0.25">
      <c r="A99" s="1"/>
      <c r="B99" s="1"/>
      <c r="C99" s="1"/>
      <c r="D99" s="1"/>
      <c r="E99" s="1"/>
      <c r="F99" s="1"/>
      <c r="G99" s="1"/>
      <c r="H99" s="1"/>
      <c r="I99" s="1"/>
    </row>
    <row r="100" spans="1:9" x14ac:dyDescent="0.25">
      <c r="A100" s="1"/>
      <c r="B100" s="1"/>
      <c r="C100" s="1"/>
      <c r="D100" s="1"/>
      <c r="E100" s="1"/>
      <c r="F100" s="1"/>
      <c r="G100" s="1"/>
      <c r="H100" s="1"/>
      <c r="I100" s="1"/>
    </row>
    <row r="101" spans="1:9" x14ac:dyDescent="0.25">
      <c r="A101" s="1"/>
      <c r="B101" s="1"/>
      <c r="C101" s="1"/>
      <c r="D101" s="1"/>
      <c r="E101" s="1"/>
      <c r="F101" s="1"/>
      <c r="G101" s="1"/>
      <c r="H101" s="1"/>
      <c r="I101" s="1"/>
    </row>
    <row r="102" spans="1:9" x14ac:dyDescent="0.25">
      <c r="A102" s="1"/>
      <c r="B102" s="1"/>
      <c r="C102" s="1"/>
      <c r="D102" s="1"/>
      <c r="E102" s="1"/>
      <c r="F102" s="1"/>
      <c r="G102" s="1"/>
      <c r="H102" s="1"/>
      <c r="I102" s="1"/>
    </row>
    <row r="103" spans="1:9" x14ac:dyDescent="0.25">
      <c r="A103" s="1"/>
      <c r="B103" s="1"/>
      <c r="C103" s="1"/>
      <c r="D103" s="1"/>
      <c r="E103" s="1"/>
      <c r="F103" s="1"/>
      <c r="G103" s="1"/>
      <c r="H103" s="1"/>
      <c r="I103" s="1"/>
    </row>
    <row r="104" spans="1:9" x14ac:dyDescent="0.25">
      <c r="A104" s="1"/>
      <c r="B104" s="1"/>
      <c r="C104" s="1"/>
      <c r="D104" s="1"/>
      <c r="E104" s="1"/>
      <c r="F104" s="1"/>
      <c r="G104" s="1"/>
      <c r="H104" s="1"/>
      <c r="I104" s="1"/>
    </row>
    <row r="105" spans="1:9" x14ac:dyDescent="0.25">
      <c r="A105" s="1"/>
      <c r="B105" s="1"/>
      <c r="C105" s="1"/>
      <c r="D105" s="1"/>
      <c r="E105" s="1"/>
      <c r="F105" s="1"/>
      <c r="G105" s="1"/>
      <c r="H105" s="1"/>
      <c r="I105" s="1"/>
    </row>
    <row r="106" spans="1:9" x14ac:dyDescent="0.25">
      <c r="A106" s="1"/>
      <c r="B106" s="1"/>
      <c r="C106" s="1"/>
      <c r="D106" s="1"/>
      <c r="E106" s="1"/>
      <c r="F106" s="1"/>
      <c r="G106" s="1"/>
      <c r="H106" s="1"/>
      <c r="I106" s="1"/>
    </row>
    <row r="107" spans="1:9" x14ac:dyDescent="0.25">
      <c r="A107" s="1"/>
      <c r="B107" s="1"/>
      <c r="C107" s="1"/>
      <c r="D107" s="1"/>
      <c r="E107" s="1"/>
      <c r="F107" s="1"/>
      <c r="G107" s="1"/>
      <c r="H107" s="1"/>
      <c r="I107" s="1"/>
    </row>
    <row r="108" spans="1:9" x14ac:dyDescent="0.25">
      <c r="A108" s="1"/>
      <c r="B108" s="1"/>
      <c r="C108" s="1"/>
      <c r="D108" s="1"/>
      <c r="E108" s="1"/>
      <c r="F108" s="1"/>
      <c r="G108" s="1"/>
      <c r="H108" s="1"/>
      <c r="I108" s="1"/>
    </row>
    <row r="109" spans="1:9" x14ac:dyDescent="0.25">
      <c r="A109" s="1"/>
      <c r="B109" s="1"/>
      <c r="C109" s="1"/>
      <c r="D109" s="1"/>
      <c r="E109" s="1"/>
      <c r="F109" s="1"/>
      <c r="G109" s="1"/>
      <c r="H109" s="1"/>
      <c r="I109" s="1"/>
    </row>
    <row r="110" spans="1:9" x14ac:dyDescent="0.25">
      <c r="A110" s="1"/>
      <c r="B110" s="1"/>
      <c r="C110" s="1"/>
      <c r="D110" s="1"/>
      <c r="E110" s="1"/>
      <c r="F110" s="1"/>
      <c r="G110" s="1"/>
      <c r="H110" s="1"/>
      <c r="I110" s="1"/>
    </row>
    <row r="111" spans="1:9" x14ac:dyDescent="0.25">
      <c r="A111" s="1"/>
      <c r="B111" s="1"/>
      <c r="C111" s="1"/>
      <c r="D111" s="1"/>
      <c r="E111" s="1"/>
      <c r="F111" s="1"/>
      <c r="G111" s="1"/>
      <c r="H111" s="1"/>
      <c r="I111" s="1"/>
    </row>
    <row r="112" spans="1:9" x14ac:dyDescent="0.25">
      <c r="A112" s="1"/>
      <c r="B112" s="1"/>
      <c r="C112" s="1"/>
      <c r="D112" s="1"/>
      <c r="E112" s="1"/>
      <c r="F112" s="1"/>
      <c r="G112" s="1"/>
      <c r="H112" s="1"/>
      <c r="I112" s="1"/>
    </row>
    <row r="113" spans="1:9" x14ac:dyDescent="0.25">
      <c r="A113" s="1"/>
      <c r="B113" s="1"/>
      <c r="C113" s="1"/>
      <c r="D113" s="1"/>
      <c r="E113" s="1"/>
      <c r="F113" s="1"/>
      <c r="G113" s="1"/>
      <c r="H113" s="1"/>
      <c r="I113" s="1"/>
    </row>
    <row r="114" spans="1:9" x14ac:dyDescent="0.25">
      <c r="A114" s="1"/>
      <c r="B114" s="1"/>
      <c r="C114" s="1"/>
      <c r="D114" s="1"/>
      <c r="E114" s="1"/>
      <c r="F114" s="1"/>
      <c r="G114" s="1"/>
      <c r="H114" s="1"/>
      <c r="I114" s="1"/>
    </row>
    <row r="115" spans="1:9" x14ac:dyDescent="0.25">
      <c r="A115" s="1"/>
      <c r="B115" s="1"/>
      <c r="C115" s="1"/>
      <c r="D115" s="1"/>
      <c r="E115" s="1"/>
      <c r="F115" s="1"/>
      <c r="G115" s="1"/>
      <c r="H115" s="1"/>
      <c r="I115" s="1"/>
    </row>
    <row r="116" spans="1:9" x14ac:dyDescent="0.25">
      <c r="A116" s="1"/>
      <c r="B116" s="1"/>
      <c r="C116" s="1"/>
      <c r="D116" s="1"/>
      <c r="E116" s="1"/>
      <c r="F116" s="1"/>
      <c r="G116" s="1"/>
      <c r="H116" s="1"/>
      <c r="I116" s="1"/>
    </row>
    <row r="117" spans="1:9" x14ac:dyDescent="0.25">
      <c r="A117" s="1"/>
      <c r="B117" s="1"/>
      <c r="C117" s="1"/>
      <c r="D117" s="1"/>
      <c r="E117" s="1"/>
      <c r="F117" s="1"/>
      <c r="G117" s="1"/>
      <c r="H117" s="1"/>
      <c r="I117" s="1"/>
    </row>
    <row r="118" spans="1:9" x14ac:dyDescent="0.25">
      <c r="A118" s="1"/>
      <c r="B118" s="1"/>
      <c r="C118" s="1"/>
      <c r="D118" s="1"/>
      <c r="E118" s="1"/>
      <c r="F118" s="1"/>
      <c r="G118" s="1"/>
      <c r="H118" s="1"/>
      <c r="I118" s="1"/>
    </row>
    <row r="119" spans="1:9" x14ac:dyDescent="0.25">
      <c r="A119" s="1"/>
      <c r="B119" s="1"/>
      <c r="C119" s="1"/>
      <c r="D119" s="1"/>
      <c r="E119" s="1"/>
      <c r="F119" s="1"/>
      <c r="G119" s="1"/>
      <c r="H119" s="1"/>
      <c r="I119" s="1"/>
    </row>
    <row r="120" spans="1:9" x14ac:dyDescent="0.25">
      <c r="A120" s="1"/>
      <c r="B120" s="1"/>
      <c r="C120" s="1"/>
      <c r="D120" s="1"/>
      <c r="E120" s="1"/>
      <c r="F120" s="1"/>
      <c r="G120" s="1"/>
      <c r="H120" s="1"/>
      <c r="I120" s="1"/>
    </row>
    <row r="121" spans="1:9" x14ac:dyDescent="0.25">
      <c r="A121" s="1"/>
      <c r="B121" s="1"/>
      <c r="C121" s="1"/>
      <c r="D121" s="1"/>
      <c r="E121" s="1"/>
      <c r="F121" s="1"/>
      <c r="G121" s="1"/>
      <c r="H121" s="1"/>
      <c r="I121" s="1"/>
    </row>
    <row r="122" spans="1:9" x14ac:dyDescent="0.25">
      <c r="A122" s="1"/>
      <c r="B122" s="1"/>
      <c r="C122" s="1"/>
      <c r="D122" s="1"/>
      <c r="E122" s="1"/>
      <c r="F122" s="1"/>
      <c r="G122" s="1"/>
      <c r="H122" s="1"/>
      <c r="I122" s="1"/>
    </row>
    <row r="123" spans="1:9" x14ac:dyDescent="0.25">
      <c r="A123" s="1"/>
      <c r="B123" s="1"/>
      <c r="C123" s="1"/>
      <c r="D123" s="1"/>
      <c r="E123" s="1"/>
      <c r="F123" s="1"/>
      <c r="G123" s="1"/>
      <c r="H123" s="1"/>
      <c r="I123" s="1"/>
    </row>
    <row r="124" spans="1:9" x14ac:dyDescent="0.25">
      <c r="A124" s="1"/>
      <c r="B124" s="1"/>
      <c r="C124" s="1"/>
      <c r="D124" s="1"/>
      <c r="E124" s="1"/>
      <c r="F124" s="1"/>
      <c r="G124" s="1"/>
      <c r="H124" s="1"/>
      <c r="I124" s="1"/>
    </row>
    <row r="125" spans="1:9" x14ac:dyDescent="0.25">
      <c r="A125" s="1"/>
      <c r="B125" s="1"/>
      <c r="C125" s="1"/>
      <c r="D125" s="1"/>
      <c r="E125" s="1"/>
      <c r="F125" s="1"/>
      <c r="G125" s="1"/>
      <c r="H125" s="1"/>
      <c r="I125" s="1"/>
    </row>
    <row r="126" spans="1:9" x14ac:dyDescent="0.25">
      <c r="A126" s="1"/>
      <c r="B126" s="1"/>
      <c r="C126" s="1"/>
      <c r="D126" s="1"/>
      <c r="E126" s="1"/>
      <c r="F126" s="1"/>
      <c r="G126" s="1"/>
      <c r="H126" s="1"/>
      <c r="I126" s="1"/>
    </row>
    <row r="127" spans="1:9" x14ac:dyDescent="0.25">
      <c r="A127" s="1"/>
      <c r="B127" s="1"/>
      <c r="C127" s="1"/>
      <c r="D127" s="1"/>
      <c r="E127" s="1"/>
      <c r="F127" s="1"/>
      <c r="G127" s="1"/>
      <c r="H127" s="1"/>
      <c r="I127" s="1"/>
    </row>
    <row r="128" spans="1:9" x14ac:dyDescent="0.25">
      <c r="A128" s="1"/>
      <c r="B128" s="1"/>
      <c r="C128" s="1"/>
      <c r="D128" s="1"/>
      <c r="E128" s="1"/>
      <c r="F128" s="1"/>
      <c r="G128" s="1"/>
      <c r="H128" s="1"/>
      <c r="I128" s="1"/>
    </row>
    <row r="129" spans="1:9" x14ac:dyDescent="0.25">
      <c r="A129" s="1"/>
      <c r="B129" s="1"/>
      <c r="C129" s="1"/>
      <c r="D129" s="1"/>
      <c r="E129" s="1"/>
      <c r="F129" s="1"/>
      <c r="G129" s="1"/>
      <c r="H129" s="1"/>
      <c r="I129" s="1"/>
    </row>
    <row r="130" spans="1:9" x14ac:dyDescent="0.25">
      <c r="A130" s="1"/>
      <c r="B130" s="1"/>
      <c r="C130" s="1"/>
      <c r="D130" s="1"/>
      <c r="E130" s="1"/>
      <c r="F130" s="1"/>
      <c r="G130" s="1"/>
      <c r="H130" s="1"/>
      <c r="I130" s="1"/>
    </row>
    <row r="131" spans="1:9" x14ac:dyDescent="0.25">
      <c r="A131" s="1"/>
      <c r="B131" s="1"/>
      <c r="C131" s="1"/>
      <c r="D131" s="1"/>
      <c r="E131" s="1"/>
      <c r="F131" s="1"/>
      <c r="G131" s="1"/>
      <c r="H131" s="1"/>
      <c r="I131" s="1"/>
    </row>
    <row r="132" spans="1:9" x14ac:dyDescent="0.25">
      <c r="A132" s="1"/>
      <c r="B132" s="1"/>
      <c r="C132" s="1"/>
      <c r="D132" s="1"/>
      <c r="E132" s="1"/>
      <c r="F132" s="1"/>
      <c r="G132" s="1"/>
      <c r="H132" s="1"/>
      <c r="I132" s="1"/>
    </row>
    <row r="133" spans="1:9" x14ac:dyDescent="0.25">
      <c r="A133" s="1"/>
      <c r="B133" s="1"/>
      <c r="C133" s="1"/>
      <c r="D133" s="1"/>
      <c r="E133" s="1"/>
      <c r="F133" s="1"/>
      <c r="G133" s="1"/>
      <c r="H133" s="1"/>
      <c r="I133" s="1"/>
    </row>
    <row r="134" spans="1:9" x14ac:dyDescent="0.25">
      <c r="A134" s="1"/>
      <c r="B134" s="1"/>
      <c r="C134" s="1"/>
      <c r="D134" s="1"/>
      <c r="E134" s="1"/>
      <c r="F134" s="1"/>
      <c r="G134" s="1"/>
      <c r="H134" s="1"/>
      <c r="I134" s="1"/>
    </row>
    <row r="135" spans="1:9" x14ac:dyDescent="0.25">
      <c r="A135" s="1"/>
      <c r="B135" s="1"/>
      <c r="C135" s="1"/>
      <c r="D135" s="1"/>
      <c r="E135" s="1"/>
      <c r="F135" s="1"/>
      <c r="G135" s="1"/>
      <c r="H135" s="1"/>
      <c r="I135" s="1"/>
    </row>
    <row r="136" spans="1:9" x14ac:dyDescent="0.25">
      <c r="A136" s="1"/>
      <c r="B136" s="1"/>
      <c r="C136" s="1"/>
      <c r="D136" s="1"/>
      <c r="E136" s="1"/>
      <c r="F136" s="1"/>
      <c r="G136" s="1"/>
      <c r="H136" s="1"/>
      <c r="I136" s="1"/>
    </row>
    <row r="137" spans="1:9" x14ac:dyDescent="0.25">
      <c r="A137" s="1"/>
      <c r="B137" s="1"/>
      <c r="C137" s="1"/>
      <c r="D137" s="1"/>
      <c r="E137" s="1"/>
      <c r="F137" s="1"/>
      <c r="G137" s="1"/>
      <c r="H137" s="1"/>
      <c r="I137" s="1"/>
    </row>
    <row r="138" spans="1:9" x14ac:dyDescent="0.25">
      <c r="A138" s="1"/>
      <c r="B138" s="1"/>
      <c r="C138" s="1"/>
      <c r="D138" s="1"/>
      <c r="E138" s="1"/>
      <c r="F138" s="1"/>
      <c r="G138" s="1"/>
      <c r="H138" s="1"/>
      <c r="I138" s="1"/>
    </row>
    <row r="139" spans="1:9" x14ac:dyDescent="0.25">
      <c r="A139" s="1"/>
      <c r="B139" s="1"/>
      <c r="C139" s="1"/>
      <c r="D139" s="1"/>
      <c r="E139" s="1"/>
      <c r="F139" s="1"/>
      <c r="G139" s="1"/>
      <c r="H139" s="1"/>
      <c r="I139" s="1"/>
    </row>
    <row r="140" spans="1:9" x14ac:dyDescent="0.25">
      <c r="A140" s="1"/>
      <c r="B140" s="1"/>
      <c r="C140" s="1"/>
      <c r="D140" s="1"/>
      <c r="E140" s="1"/>
      <c r="F140" s="1"/>
      <c r="G140" s="1"/>
      <c r="H140" s="1"/>
      <c r="I140" s="1"/>
    </row>
    <row r="141" spans="1:9" x14ac:dyDescent="0.25">
      <c r="A141" s="1"/>
      <c r="B141" s="1"/>
      <c r="C141" s="1"/>
      <c r="D141" s="1"/>
      <c r="E141" s="1"/>
      <c r="F141" s="1"/>
      <c r="G141" s="1"/>
      <c r="H141" s="1"/>
      <c r="I141" s="1"/>
    </row>
    <row r="142" spans="1:9" x14ac:dyDescent="0.25">
      <c r="A142" s="1"/>
      <c r="B142" s="1"/>
      <c r="C142" s="1"/>
      <c r="D142" s="1"/>
      <c r="E142" s="1"/>
      <c r="F142" s="1"/>
      <c r="G142" s="1"/>
      <c r="H142" s="1"/>
      <c r="I142" s="1"/>
    </row>
    <row r="143" spans="1:9" x14ac:dyDescent="0.25">
      <c r="A143" s="1"/>
      <c r="B143" s="1"/>
      <c r="C143" s="1"/>
      <c r="D143" s="1"/>
      <c r="E143" s="1"/>
      <c r="F143" s="1"/>
      <c r="G143" s="1"/>
      <c r="H143" s="1"/>
      <c r="I143" s="1"/>
    </row>
    <row r="144" spans="1:9" x14ac:dyDescent="0.25">
      <c r="A144" s="1"/>
      <c r="B144" s="1"/>
      <c r="C144" s="1"/>
      <c r="D144" s="1"/>
      <c r="E144" s="1"/>
      <c r="F144" s="1"/>
      <c r="G144" s="1"/>
      <c r="H144" s="1"/>
      <c r="I144" s="1"/>
    </row>
    <row r="145" spans="1:9" x14ac:dyDescent="0.25">
      <c r="A145" s="1"/>
      <c r="B145" s="1"/>
      <c r="C145" s="1"/>
      <c r="D145" s="1"/>
      <c r="E145" s="1"/>
      <c r="F145" s="1"/>
      <c r="G145" s="1"/>
      <c r="H145" s="1"/>
      <c r="I145" s="1"/>
    </row>
    <row r="146" spans="1:9" x14ac:dyDescent="0.25">
      <c r="A146" s="1"/>
      <c r="B146" s="1"/>
      <c r="C146" s="1"/>
      <c r="D146" s="1"/>
      <c r="E146" s="1"/>
      <c r="F146" s="1"/>
      <c r="G146" s="1"/>
      <c r="H146" s="1"/>
      <c r="I146" s="1"/>
    </row>
    <row r="147" spans="1:9" x14ac:dyDescent="0.25">
      <c r="A147" s="1"/>
      <c r="B147" s="1"/>
      <c r="C147" s="1"/>
      <c r="D147" s="1"/>
      <c r="E147" s="1"/>
      <c r="F147" s="1"/>
      <c r="G147" s="1"/>
      <c r="H147" s="1"/>
      <c r="I147" s="1"/>
    </row>
    <row r="148" spans="1:9" x14ac:dyDescent="0.25">
      <c r="A148" s="1"/>
      <c r="B148" s="1"/>
      <c r="C148" s="1"/>
      <c r="D148" s="1"/>
      <c r="E148" s="1"/>
      <c r="F148" s="1"/>
      <c r="G148" s="1"/>
      <c r="H148" s="1"/>
      <c r="I148" s="1"/>
    </row>
    <row r="149" spans="1:9" x14ac:dyDescent="0.25">
      <c r="A149" s="1"/>
      <c r="B149" s="1"/>
      <c r="C149" s="1"/>
      <c r="D149" s="1"/>
      <c r="E149" s="1"/>
      <c r="F149" s="1"/>
      <c r="G149" s="1"/>
      <c r="H149" s="1"/>
      <c r="I149" s="1"/>
    </row>
    <row r="150" spans="1:9" x14ac:dyDescent="0.25">
      <c r="A150" s="1"/>
      <c r="B150" s="1"/>
      <c r="C150" s="1"/>
      <c r="D150" s="1"/>
      <c r="E150" s="1"/>
      <c r="F150" s="1"/>
      <c r="G150" s="1"/>
      <c r="H150" s="1"/>
      <c r="I150" s="1"/>
    </row>
    <row r="151" spans="1:9" x14ac:dyDescent="0.25">
      <c r="A151" s="1"/>
      <c r="B151" s="1"/>
      <c r="C151" s="1"/>
      <c r="D151" s="1"/>
      <c r="E151" s="1"/>
      <c r="F151" s="1"/>
      <c r="G151" s="1"/>
      <c r="H151" s="1"/>
      <c r="I151" s="1"/>
    </row>
    <row r="152" spans="1:9" x14ac:dyDescent="0.25">
      <c r="A152" s="1"/>
      <c r="B152" s="1"/>
      <c r="C152" s="1"/>
      <c r="D152" s="1"/>
      <c r="E152" s="1"/>
      <c r="F152" s="1"/>
      <c r="G152" s="1"/>
      <c r="H152" s="1"/>
      <c r="I152" s="1"/>
    </row>
    <row r="153" spans="1:9" x14ac:dyDescent="0.25">
      <c r="A153" s="1"/>
      <c r="B153" s="1"/>
      <c r="C153" s="1"/>
      <c r="D153" s="1"/>
      <c r="E153" s="1"/>
      <c r="F153" s="1"/>
      <c r="G153" s="1"/>
      <c r="H153" s="1"/>
      <c r="I153" s="1"/>
    </row>
    <row r="154" spans="1:9" x14ac:dyDescent="0.25">
      <c r="A154" s="1"/>
      <c r="B154" s="1"/>
      <c r="C154" s="1"/>
      <c r="D154" s="1"/>
      <c r="E154" s="1"/>
      <c r="F154" s="1"/>
      <c r="G154" s="1"/>
      <c r="H154" s="1"/>
      <c r="I154" s="1"/>
    </row>
    <row r="155" spans="1:9" x14ac:dyDescent="0.25">
      <c r="A155" s="1"/>
      <c r="B155" s="1"/>
      <c r="C155" s="1"/>
      <c r="D155" s="1"/>
      <c r="E155" s="1"/>
      <c r="F155" s="1"/>
      <c r="G155" s="1"/>
      <c r="H155" s="1"/>
      <c r="I155" s="1"/>
    </row>
    <row r="156" spans="1:9" x14ac:dyDescent="0.25">
      <c r="A156" s="1"/>
      <c r="B156" s="1"/>
      <c r="C156" s="1"/>
      <c r="D156" s="1"/>
      <c r="E156" s="1"/>
      <c r="F156" s="1"/>
      <c r="G156" s="1"/>
      <c r="H156" s="1"/>
      <c r="I156" s="1"/>
    </row>
    <row r="157" spans="1:9" x14ac:dyDescent="0.25">
      <c r="A157" s="1"/>
      <c r="B157" s="1"/>
      <c r="C157" s="1"/>
      <c r="D157" s="1"/>
      <c r="E157" s="1"/>
      <c r="F157" s="1"/>
      <c r="G157" s="1"/>
      <c r="H157" s="1"/>
      <c r="I157" s="1"/>
    </row>
    <row r="158" spans="1:9" x14ac:dyDescent="0.25">
      <c r="A158" s="1"/>
      <c r="B158" s="1"/>
      <c r="C158" s="1"/>
      <c r="D158" s="1"/>
      <c r="E158" s="1"/>
      <c r="F158" s="1"/>
      <c r="G158" s="1"/>
      <c r="H158" s="1"/>
      <c r="I158" s="1"/>
    </row>
    <row r="159" spans="1:9" x14ac:dyDescent="0.25">
      <c r="A159" s="1"/>
      <c r="B159" s="1"/>
      <c r="C159" s="1"/>
      <c r="D159" s="1"/>
      <c r="E159" s="1"/>
      <c r="F159" s="1"/>
      <c r="G159" s="1"/>
      <c r="H159" s="1"/>
      <c r="I159" s="1"/>
    </row>
    <row r="160" spans="1:9" x14ac:dyDescent="0.25">
      <c r="A160" s="1"/>
      <c r="B160" s="1"/>
      <c r="C160" s="1"/>
      <c r="D160" s="1"/>
      <c r="E160" s="1"/>
      <c r="F160" s="1"/>
      <c r="G160" s="1"/>
      <c r="H160" s="1"/>
      <c r="I160" s="1"/>
    </row>
    <row r="161" spans="1:9" x14ac:dyDescent="0.25">
      <c r="A161" s="1"/>
      <c r="B161" s="1"/>
      <c r="C161" s="1"/>
      <c r="D161" s="1"/>
      <c r="E161" s="1"/>
      <c r="F161" s="1"/>
      <c r="G161" s="1"/>
      <c r="H161" s="1"/>
      <c r="I161" s="1"/>
    </row>
    <row r="162" spans="1:9" x14ac:dyDescent="0.25">
      <c r="A162" s="1"/>
      <c r="B162" s="1"/>
      <c r="C162" s="1"/>
      <c r="D162" s="1"/>
      <c r="E162" s="1"/>
      <c r="F162" s="1"/>
      <c r="G162" s="1"/>
      <c r="H162" s="1"/>
      <c r="I162" s="1"/>
    </row>
    <row r="163" spans="1:9" x14ac:dyDescent="0.25">
      <c r="A163" s="1"/>
      <c r="B163" s="1"/>
      <c r="C163" s="1"/>
      <c r="D163" s="1"/>
      <c r="E163" s="1"/>
      <c r="F163" s="1"/>
      <c r="G163" s="1"/>
      <c r="H163" s="1"/>
      <c r="I163" s="1"/>
    </row>
    <row r="164" spans="1:9" x14ac:dyDescent="0.25">
      <c r="A164" s="1"/>
      <c r="B164" s="1"/>
      <c r="C164" s="1"/>
      <c r="D164" s="1"/>
      <c r="E164" s="1"/>
      <c r="F164" s="1"/>
      <c r="G164" s="1"/>
      <c r="H164" s="1"/>
      <c r="I164" s="1"/>
    </row>
    <row r="165" spans="1:9" x14ac:dyDescent="0.25">
      <c r="A165" s="1"/>
      <c r="B165" s="1"/>
      <c r="C165" s="1"/>
      <c r="D165" s="1"/>
      <c r="E165" s="1"/>
      <c r="F165" s="1"/>
      <c r="G165" s="1"/>
      <c r="H165" s="1"/>
      <c r="I165" s="1"/>
    </row>
    <row r="166" spans="1:9" x14ac:dyDescent="0.25">
      <c r="A166" s="1"/>
      <c r="B166" s="1"/>
      <c r="C166" s="1"/>
      <c r="D166" s="1"/>
      <c r="E166" s="1"/>
      <c r="F166" s="1"/>
      <c r="G166" s="1"/>
      <c r="H166" s="1"/>
      <c r="I166" s="1"/>
    </row>
    <row r="167" spans="1:9" x14ac:dyDescent="0.25">
      <c r="A167" s="1"/>
      <c r="B167" s="1"/>
      <c r="C167" s="1"/>
      <c r="D167" s="1"/>
      <c r="E167" s="1"/>
      <c r="F167" s="1"/>
      <c r="G167" s="1"/>
      <c r="H167" s="1"/>
      <c r="I167" s="1"/>
    </row>
    <row r="168" spans="1:9" x14ac:dyDescent="0.25">
      <c r="A168" s="1"/>
      <c r="B168" s="1"/>
      <c r="C168" s="1"/>
      <c r="D168" s="1"/>
      <c r="E168" s="1"/>
      <c r="F168" s="1"/>
      <c r="G168" s="1"/>
      <c r="H168" s="1"/>
      <c r="I168" s="1"/>
    </row>
    <row r="169" spans="1:9" x14ac:dyDescent="0.25">
      <c r="A169" s="1"/>
      <c r="B169" s="1"/>
      <c r="C169" s="1"/>
      <c r="D169" s="1"/>
      <c r="E169" s="1"/>
      <c r="F169" s="1"/>
      <c r="G169" s="1"/>
      <c r="H169" s="1"/>
      <c r="I169" s="1"/>
    </row>
    <row r="170" spans="1:9" x14ac:dyDescent="0.25">
      <c r="A170" s="1"/>
      <c r="B170" s="1"/>
      <c r="C170" s="1"/>
      <c r="D170" s="1"/>
      <c r="E170" s="1"/>
      <c r="F170" s="1"/>
      <c r="G170" s="1"/>
      <c r="H170" s="1"/>
      <c r="I170" s="1"/>
    </row>
    <row r="171" spans="1:9" x14ac:dyDescent="0.25">
      <c r="A171" s="1"/>
      <c r="B171" s="1"/>
      <c r="C171" s="1"/>
      <c r="D171" s="1"/>
      <c r="E171" s="1"/>
      <c r="F171" s="1"/>
      <c r="G171" s="1"/>
      <c r="H171" s="1"/>
      <c r="I171" s="1"/>
    </row>
    <row r="172" spans="1:9" x14ac:dyDescent="0.25">
      <c r="A172" s="1"/>
      <c r="B172" s="1"/>
      <c r="C172" s="1"/>
      <c r="D172" s="1"/>
      <c r="E172" s="1"/>
      <c r="F172" s="1"/>
      <c r="G172" s="1"/>
      <c r="H172" s="1"/>
      <c r="I172" s="1"/>
    </row>
    <row r="173" spans="1:9" x14ac:dyDescent="0.25">
      <c r="A173" s="1"/>
      <c r="B173" s="1"/>
      <c r="C173" s="1"/>
      <c r="D173" s="1"/>
      <c r="E173" s="1"/>
      <c r="F173" s="1"/>
      <c r="G173" s="1"/>
      <c r="H173" s="1"/>
      <c r="I173" s="1"/>
    </row>
    <row r="174" spans="1:9" x14ac:dyDescent="0.25">
      <c r="A174" s="1"/>
      <c r="B174" s="1"/>
      <c r="C174" s="1"/>
      <c r="D174" s="1"/>
      <c r="E174" s="1"/>
      <c r="F174" s="1"/>
      <c r="G174" s="1"/>
      <c r="H174" s="1"/>
      <c r="I174" s="1"/>
    </row>
    <row r="175" spans="1:9" x14ac:dyDescent="0.25">
      <c r="A175" s="1"/>
      <c r="B175" s="1"/>
      <c r="C175" s="1"/>
      <c r="D175" s="1"/>
      <c r="E175" s="1"/>
      <c r="F175" s="1"/>
      <c r="G175" s="1"/>
      <c r="H175" s="1"/>
      <c r="I175" s="1"/>
    </row>
    <row r="176" spans="1:9" x14ac:dyDescent="0.25">
      <c r="A176" s="1"/>
      <c r="B176" s="1"/>
      <c r="C176" s="1"/>
      <c r="D176" s="1"/>
      <c r="E176" s="1"/>
      <c r="F176" s="1"/>
      <c r="G176" s="1"/>
      <c r="H176" s="1"/>
      <c r="I176" s="1"/>
    </row>
    <row r="177" spans="1:9" x14ac:dyDescent="0.25">
      <c r="A177" s="1"/>
      <c r="B177" s="1"/>
      <c r="C177" s="1"/>
      <c r="D177" s="1"/>
      <c r="E177" s="1"/>
      <c r="F177" s="1"/>
      <c r="G177" s="1"/>
      <c r="H177" s="1"/>
      <c r="I177" s="1"/>
    </row>
    <row r="178" spans="1:9" x14ac:dyDescent="0.25">
      <c r="A178" s="1"/>
      <c r="B178" s="1"/>
      <c r="C178" s="1"/>
      <c r="D178" s="1"/>
      <c r="E178" s="1"/>
      <c r="F178" s="1"/>
      <c r="G178" s="1"/>
      <c r="H178" s="1"/>
      <c r="I178" s="1"/>
    </row>
    <row r="179" spans="1:9" x14ac:dyDescent="0.25">
      <c r="A179" s="1"/>
      <c r="B179" s="1"/>
      <c r="C179" s="1"/>
      <c r="D179" s="1"/>
      <c r="E179" s="1"/>
      <c r="F179" s="1"/>
      <c r="G179" s="1"/>
      <c r="H179" s="1"/>
      <c r="I179" s="1"/>
    </row>
    <row r="180" spans="1:9" x14ac:dyDescent="0.25">
      <c r="A180" s="1"/>
      <c r="B180" s="1"/>
      <c r="C180" s="1"/>
      <c r="D180" s="1"/>
      <c r="E180" s="1"/>
      <c r="F180" s="1"/>
      <c r="G180" s="1"/>
      <c r="H180" s="1"/>
      <c r="I180" s="1"/>
    </row>
    <row r="181" spans="1:9" x14ac:dyDescent="0.25">
      <c r="A181" s="1"/>
      <c r="B181" s="1"/>
      <c r="C181" s="1"/>
      <c r="D181" s="1"/>
      <c r="E181" s="1"/>
      <c r="F181" s="1"/>
      <c r="G181" s="1"/>
      <c r="H181" s="1"/>
      <c r="I181" s="1"/>
    </row>
    <row r="182" spans="1:9" x14ac:dyDescent="0.25">
      <c r="A182" s="1"/>
      <c r="B182" s="1"/>
      <c r="C182" s="1"/>
      <c r="D182" s="1"/>
      <c r="E182" s="1"/>
      <c r="F182" s="1"/>
      <c r="G182" s="1"/>
      <c r="H182" s="1"/>
      <c r="I182" s="1"/>
    </row>
    <row r="183" spans="1:9" x14ac:dyDescent="0.25">
      <c r="A183" s="1"/>
      <c r="B183" s="1"/>
      <c r="C183" s="1"/>
      <c r="D183" s="1"/>
      <c r="E183" s="1"/>
      <c r="F183" s="1"/>
      <c r="G183" s="1"/>
      <c r="H183" s="1"/>
      <c r="I183" s="1"/>
    </row>
    <row r="184" spans="1:9" x14ac:dyDescent="0.25">
      <c r="A184" s="1"/>
      <c r="B184" s="1"/>
      <c r="C184" s="1"/>
      <c r="D184" s="1"/>
      <c r="E184" s="1"/>
      <c r="F184" s="1"/>
      <c r="G184" s="1"/>
      <c r="H184" s="1"/>
      <c r="I184" s="1"/>
    </row>
    <row r="185" spans="1:9" x14ac:dyDescent="0.25">
      <c r="A185" s="1"/>
      <c r="B185" s="1"/>
      <c r="C185" s="1"/>
      <c r="D185" s="1"/>
      <c r="E185" s="1"/>
      <c r="F185" s="1"/>
      <c r="G185" s="1"/>
      <c r="H185" s="1"/>
      <c r="I185" s="1"/>
    </row>
    <row r="186" spans="1:9" x14ac:dyDescent="0.25">
      <c r="A186" s="1"/>
      <c r="B186" s="1"/>
      <c r="C186" s="1"/>
      <c r="D186" s="1"/>
      <c r="E186" s="1"/>
      <c r="F186" s="1"/>
      <c r="G186" s="1"/>
      <c r="H186" s="1"/>
      <c r="I186" s="1"/>
    </row>
    <row r="187" spans="1:9" x14ac:dyDescent="0.25">
      <c r="A187" s="1"/>
      <c r="B187" s="1"/>
      <c r="C187" s="1"/>
      <c r="D187" s="1"/>
      <c r="E187" s="1"/>
      <c r="F187" s="1"/>
      <c r="G187" s="1"/>
      <c r="H187" s="1"/>
      <c r="I187" s="1"/>
    </row>
    <row r="188" spans="1:9" x14ac:dyDescent="0.25">
      <c r="A188" s="1"/>
      <c r="B188" s="1"/>
      <c r="C188" s="1"/>
      <c r="D188" s="1"/>
      <c r="E188" s="1"/>
      <c r="F188" s="1"/>
      <c r="G188" s="1"/>
      <c r="H188" s="1"/>
      <c r="I188" s="1"/>
    </row>
    <row r="189" spans="1:9" x14ac:dyDescent="0.25">
      <c r="A189" s="1"/>
      <c r="B189" s="1"/>
      <c r="C189" s="1"/>
      <c r="D189" s="1"/>
      <c r="E189" s="1"/>
      <c r="F189" s="1"/>
      <c r="G189" s="1"/>
      <c r="H189" s="1"/>
      <c r="I189" s="1"/>
    </row>
    <row r="190" spans="1:9" x14ac:dyDescent="0.25">
      <c r="A190" s="1"/>
      <c r="B190" s="1"/>
      <c r="C190" s="1"/>
      <c r="D190" s="1"/>
      <c r="E190" s="1"/>
      <c r="F190" s="1"/>
      <c r="G190" s="1"/>
      <c r="H190" s="1"/>
      <c r="I190" s="1"/>
    </row>
    <row r="191" spans="1:9" x14ac:dyDescent="0.25">
      <c r="A191" s="1"/>
      <c r="B191" s="1"/>
      <c r="C191" s="1"/>
      <c r="D191" s="1"/>
      <c r="E191" s="1"/>
      <c r="F191" s="1"/>
      <c r="G191" s="1"/>
      <c r="H191" s="1"/>
      <c r="I191" s="1"/>
    </row>
    <row r="192" spans="1:9" x14ac:dyDescent="0.25">
      <c r="A192" s="1"/>
      <c r="B192" s="1"/>
      <c r="C192" s="1"/>
      <c r="D192" s="1"/>
      <c r="E192" s="1"/>
      <c r="F192" s="1"/>
      <c r="G192" s="1"/>
      <c r="H192" s="1"/>
      <c r="I192" s="1"/>
    </row>
    <row r="193" spans="1:9" x14ac:dyDescent="0.25">
      <c r="A193" s="1"/>
      <c r="B193" s="1"/>
      <c r="C193" s="1"/>
      <c r="D193" s="1"/>
      <c r="E193" s="1"/>
      <c r="F193" s="1"/>
      <c r="G193" s="1"/>
      <c r="H193" s="1"/>
      <c r="I193" s="1"/>
    </row>
    <row r="194" spans="1:9" x14ac:dyDescent="0.25">
      <c r="A194" s="1"/>
      <c r="B194" s="1"/>
      <c r="C194" s="1"/>
      <c r="D194" s="1"/>
      <c r="E194" s="1"/>
      <c r="F194" s="1"/>
      <c r="G194" s="1"/>
      <c r="H194" s="1"/>
      <c r="I194" s="1"/>
    </row>
    <row r="195" spans="1:9" x14ac:dyDescent="0.25">
      <c r="A195" s="1"/>
      <c r="B195" s="1"/>
      <c r="C195" s="1"/>
      <c r="D195" s="1"/>
      <c r="E195" s="1"/>
      <c r="F195" s="1"/>
      <c r="G195" s="1"/>
      <c r="H195" s="1"/>
      <c r="I195" s="1"/>
    </row>
    <row r="196" spans="1:9" x14ac:dyDescent="0.25">
      <c r="A196" s="1"/>
      <c r="B196" s="1"/>
      <c r="C196" s="1"/>
      <c r="D196" s="1"/>
      <c r="E196" s="1"/>
      <c r="F196" s="1"/>
      <c r="G196" s="1"/>
      <c r="H196" s="1"/>
      <c r="I196" s="1"/>
    </row>
    <row r="197" spans="1:9" x14ac:dyDescent="0.25">
      <c r="A197" s="1"/>
      <c r="B197" s="1"/>
      <c r="C197" s="1"/>
      <c r="D197" s="1"/>
      <c r="E197" s="1"/>
      <c r="F197" s="1"/>
      <c r="G197" s="1"/>
      <c r="H197" s="1"/>
      <c r="I197" s="1"/>
    </row>
    <row r="198" spans="1:9" x14ac:dyDescent="0.25">
      <c r="A198" s="1"/>
      <c r="B198" s="1"/>
      <c r="C198" s="1"/>
      <c r="D198" s="1"/>
      <c r="E198" s="1"/>
      <c r="F198" s="1"/>
      <c r="G198" s="1"/>
      <c r="H198" s="1"/>
      <c r="I198" s="1"/>
    </row>
    <row r="199" spans="1:9" x14ac:dyDescent="0.25">
      <c r="A199" s="1"/>
      <c r="B199" s="1"/>
      <c r="C199" s="1"/>
      <c r="D199" s="1"/>
      <c r="E199" s="1"/>
      <c r="F199" s="1"/>
      <c r="G199" s="1"/>
      <c r="H199" s="1"/>
      <c r="I199" s="1"/>
    </row>
    <row r="200" spans="1:9" x14ac:dyDescent="0.25">
      <c r="A200" s="1"/>
      <c r="B200" s="1"/>
      <c r="C200" s="1"/>
      <c r="D200" s="1"/>
      <c r="E200" s="1"/>
      <c r="F200" s="1"/>
      <c r="G200" s="1"/>
      <c r="H200" s="1"/>
      <c r="I200" s="1"/>
    </row>
    <row r="201" spans="1:9" x14ac:dyDescent="0.25">
      <c r="A201" s="1"/>
      <c r="B201" s="1"/>
      <c r="C201" s="1"/>
      <c r="D201" s="1"/>
      <c r="E201" s="1"/>
      <c r="F201" s="1"/>
      <c r="G201" s="1"/>
      <c r="H201" s="1"/>
      <c r="I201" s="1"/>
    </row>
    <row r="202" spans="1:9" x14ac:dyDescent="0.25">
      <c r="A202" s="1"/>
      <c r="B202" s="1"/>
      <c r="C202" s="1"/>
      <c r="D202" s="1"/>
      <c r="E202" s="1"/>
      <c r="F202" s="1"/>
      <c r="G202" s="1"/>
      <c r="H202" s="1"/>
      <c r="I202" s="1"/>
    </row>
    <row r="203" spans="1:9" x14ac:dyDescent="0.25">
      <c r="A203" s="1"/>
      <c r="B203" s="1"/>
      <c r="C203" s="1"/>
      <c r="D203" s="1"/>
      <c r="E203" s="1"/>
      <c r="F203" s="1"/>
      <c r="G203" s="1"/>
      <c r="H203" s="1"/>
      <c r="I203" s="1"/>
    </row>
    <row r="204" spans="1:9" x14ac:dyDescent="0.25">
      <c r="A204" s="1"/>
      <c r="B204" s="1"/>
      <c r="C204" s="1"/>
      <c r="D204" s="1"/>
      <c r="E204" s="1"/>
      <c r="F204" s="1"/>
      <c r="G204" s="1"/>
      <c r="H204" s="1"/>
      <c r="I204" s="1"/>
    </row>
    <row r="205" spans="1:9" x14ac:dyDescent="0.25">
      <c r="A205" s="1"/>
      <c r="B205" s="1"/>
      <c r="C205" s="1"/>
      <c r="D205" s="1"/>
      <c r="E205" s="1"/>
      <c r="F205" s="1"/>
      <c r="G205" s="1"/>
      <c r="H205" s="1"/>
      <c r="I205" s="1"/>
    </row>
    <row r="206" spans="1:9" x14ac:dyDescent="0.25">
      <c r="A206" s="1"/>
      <c r="B206" s="1"/>
      <c r="C206" s="1"/>
      <c r="D206" s="1"/>
      <c r="E206" s="1"/>
      <c r="F206" s="1"/>
      <c r="G206" s="1"/>
      <c r="H206" s="1"/>
      <c r="I206" s="1"/>
    </row>
    <row r="207" spans="1:9" x14ac:dyDescent="0.25">
      <c r="A207" s="1"/>
      <c r="B207" s="1"/>
      <c r="C207" s="1"/>
      <c r="D207" s="1"/>
      <c r="E207" s="1"/>
      <c r="F207" s="1"/>
      <c r="G207" s="1"/>
      <c r="H207" s="1"/>
      <c r="I207" s="1"/>
    </row>
    <row r="208" spans="1:9" x14ac:dyDescent="0.25">
      <c r="A208" s="1"/>
      <c r="B208" s="1"/>
      <c r="C208" s="1"/>
      <c r="D208" s="1"/>
      <c r="E208" s="1"/>
      <c r="F208" s="1"/>
      <c r="G208" s="1"/>
      <c r="H208" s="1"/>
      <c r="I208" s="1"/>
    </row>
    <row r="209" spans="1:9" x14ac:dyDescent="0.25">
      <c r="A209" s="1"/>
      <c r="B209" s="1"/>
      <c r="C209" s="1"/>
      <c r="D209" s="1"/>
      <c r="E209" s="1"/>
      <c r="F209" s="1"/>
      <c r="G209" s="1"/>
      <c r="H209" s="1"/>
      <c r="I209" s="1"/>
    </row>
    <row r="210" spans="1:9" x14ac:dyDescent="0.25">
      <c r="A210" s="1"/>
      <c r="B210" s="1"/>
      <c r="C210" s="1"/>
      <c r="D210" s="1"/>
      <c r="E210" s="1"/>
      <c r="F210" s="1"/>
      <c r="G210" s="1"/>
      <c r="H210" s="1"/>
      <c r="I210" s="1"/>
    </row>
    <row r="211" spans="1:9" x14ac:dyDescent="0.25">
      <c r="A211" s="1"/>
      <c r="B211" s="1"/>
      <c r="C211" s="1"/>
      <c r="D211" s="1"/>
      <c r="E211" s="1"/>
      <c r="F211" s="1"/>
      <c r="G211" s="1"/>
      <c r="H211" s="1"/>
      <c r="I211" s="1"/>
    </row>
    <row r="212" spans="1:9" x14ac:dyDescent="0.25">
      <c r="A212" s="1"/>
      <c r="B212" s="1"/>
      <c r="C212" s="1"/>
      <c r="D212" s="1"/>
      <c r="E212" s="1"/>
      <c r="F212" s="1"/>
      <c r="G212" s="1"/>
      <c r="H212" s="1"/>
      <c r="I212" s="1"/>
    </row>
    <row r="213" spans="1:9" x14ac:dyDescent="0.25">
      <c r="A213" s="1"/>
      <c r="B213" s="1"/>
      <c r="C213" s="1"/>
      <c r="D213" s="1"/>
      <c r="E213" s="1"/>
      <c r="F213" s="1"/>
      <c r="G213" s="1"/>
      <c r="H213" s="1"/>
      <c r="I213" s="1"/>
    </row>
    <row r="214" spans="1:9" x14ac:dyDescent="0.25">
      <c r="A214" s="1"/>
      <c r="B214" s="1"/>
      <c r="C214" s="1"/>
      <c r="D214" s="1"/>
      <c r="E214" s="1"/>
      <c r="F214" s="1"/>
      <c r="G214" s="1"/>
      <c r="H214" s="1"/>
      <c r="I214" s="1"/>
    </row>
    <row r="215" spans="1:9" x14ac:dyDescent="0.25">
      <c r="A215" s="1"/>
      <c r="B215" s="1"/>
      <c r="C215" s="1"/>
      <c r="D215" s="1"/>
      <c r="E215" s="1"/>
      <c r="F215" s="1"/>
      <c r="G215" s="1"/>
      <c r="H215" s="1"/>
      <c r="I215" s="1"/>
    </row>
    <row r="216" spans="1:9" x14ac:dyDescent="0.25">
      <c r="A216" s="1"/>
      <c r="B216" s="1"/>
      <c r="C216" s="1"/>
      <c r="D216" s="1"/>
      <c r="E216" s="1"/>
      <c r="F216" s="1"/>
      <c r="G216" s="1"/>
      <c r="H216" s="1"/>
      <c r="I216" s="1"/>
    </row>
    <row r="217" spans="1:9" x14ac:dyDescent="0.25">
      <c r="A217" s="1"/>
      <c r="B217" s="1"/>
      <c r="C217" s="1"/>
      <c r="D217" s="1"/>
      <c r="E217" s="1"/>
      <c r="F217" s="1"/>
      <c r="G217" s="1"/>
      <c r="H217" s="1"/>
      <c r="I217" s="1"/>
    </row>
    <row r="218" spans="1:9" x14ac:dyDescent="0.25">
      <c r="A218" s="1"/>
      <c r="B218" s="1"/>
      <c r="C218" s="1"/>
      <c r="D218" s="1"/>
      <c r="E218" s="1"/>
      <c r="F218" s="1"/>
      <c r="G218" s="1"/>
      <c r="H218" s="1"/>
      <c r="I218" s="1"/>
    </row>
    <row r="219" spans="1:9" x14ac:dyDescent="0.25">
      <c r="A219" s="1"/>
      <c r="B219" s="1"/>
      <c r="C219" s="1"/>
      <c r="D219" s="1"/>
      <c r="E219" s="1"/>
      <c r="F219" s="1"/>
      <c r="G219" s="1"/>
      <c r="H219" s="1"/>
      <c r="I219" s="1"/>
    </row>
    <row r="220" spans="1:9" x14ac:dyDescent="0.25">
      <c r="A220" s="1"/>
      <c r="B220" s="1"/>
      <c r="C220" s="1"/>
      <c r="D220" s="1"/>
      <c r="E220" s="1"/>
      <c r="F220" s="1"/>
      <c r="G220" s="1"/>
      <c r="H220" s="1"/>
      <c r="I220" s="1"/>
    </row>
    <row r="221" spans="1:9" x14ac:dyDescent="0.25">
      <c r="A221" s="1"/>
      <c r="B221" s="1"/>
      <c r="C221" s="1"/>
      <c r="D221" s="1"/>
      <c r="E221" s="1"/>
      <c r="F221" s="1"/>
      <c r="G221" s="1"/>
      <c r="H221" s="1"/>
      <c r="I221" s="1"/>
    </row>
    <row r="222" spans="1:9" x14ac:dyDescent="0.25">
      <c r="A222" s="1"/>
      <c r="B222" s="1"/>
      <c r="C222" s="1"/>
      <c r="D222" s="1"/>
      <c r="E222" s="1"/>
      <c r="F222" s="1"/>
      <c r="G222" s="1"/>
      <c r="H222" s="1"/>
      <c r="I222" s="1"/>
    </row>
    <row r="223" spans="1:9" x14ac:dyDescent="0.25">
      <c r="A223" s="1"/>
      <c r="B223" s="1"/>
      <c r="C223" s="1"/>
      <c r="D223" s="1"/>
      <c r="E223" s="1"/>
      <c r="F223" s="1"/>
      <c r="G223" s="1"/>
      <c r="H223" s="1"/>
      <c r="I223" s="1"/>
    </row>
    <row r="224" spans="1:9" x14ac:dyDescent="0.25">
      <c r="A224" s="1"/>
      <c r="B224" s="1"/>
      <c r="C224" s="1"/>
      <c r="D224" s="1"/>
      <c r="E224" s="1"/>
      <c r="F224" s="1"/>
      <c r="G224" s="1"/>
      <c r="H224" s="1"/>
      <c r="I224" s="1"/>
    </row>
    <row r="225" spans="1:9" x14ac:dyDescent="0.25">
      <c r="A225" s="1"/>
      <c r="B225" s="1"/>
      <c r="C225" s="1"/>
      <c r="D225" s="1"/>
      <c r="E225" s="1"/>
      <c r="F225" s="1"/>
      <c r="G225" s="1"/>
      <c r="H225" s="1"/>
      <c r="I225" s="1"/>
    </row>
    <row r="226" spans="1:9" x14ac:dyDescent="0.25">
      <c r="A226" s="1"/>
      <c r="B226" s="1"/>
      <c r="C226" s="1"/>
      <c r="D226" s="1"/>
      <c r="E226" s="1"/>
      <c r="F226" s="1"/>
      <c r="G226" s="1"/>
      <c r="H226" s="1"/>
      <c r="I226" s="1"/>
    </row>
    <row r="227" spans="1:9" x14ac:dyDescent="0.25">
      <c r="A227" s="1"/>
      <c r="B227" s="1"/>
      <c r="C227" s="1"/>
      <c r="D227" s="1"/>
      <c r="E227" s="1"/>
      <c r="F227" s="1"/>
      <c r="G227" s="1"/>
      <c r="H227" s="1"/>
      <c r="I227" s="1"/>
    </row>
    <row r="228" spans="1:9" x14ac:dyDescent="0.25">
      <c r="A228" s="1"/>
      <c r="B228" s="1"/>
      <c r="C228" s="1"/>
      <c r="D228" s="1"/>
      <c r="E228" s="1"/>
      <c r="F228" s="1"/>
      <c r="G228" s="1"/>
      <c r="H228" s="1"/>
      <c r="I228" s="1"/>
    </row>
    <row r="229" spans="1:9" x14ac:dyDescent="0.25">
      <c r="A229" s="1"/>
      <c r="B229" s="1"/>
      <c r="C229" s="1"/>
      <c r="D229" s="1"/>
      <c r="E229" s="1"/>
      <c r="F229" s="1"/>
      <c r="G229" s="1"/>
      <c r="H229" s="1"/>
      <c r="I229" s="1"/>
    </row>
    <row r="230" spans="1:9" x14ac:dyDescent="0.25">
      <c r="A230" s="1"/>
      <c r="B230" s="1"/>
      <c r="C230" s="1"/>
      <c r="D230" s="1"/>
      <c r="E230" s="1"/>
      <c r="F230" s="1"/>
      <c r="G230" s="1"/>
      <c r="H230" s="1"/>
      <c r="I230" s="1"/>
    </row>
    <row r="231" spans="1:9" x14ac:dyDescent="0.25">
      <c r="A231" s="1"/>
      <c r="B231" s="1"/>
      <c r="C231" s="1"/>
      <c r="D231" s="1"/>
      <c r="E231" s="1"/>
      <c r="F231" s="1"/>
      <c r="G231" s="1"/>
      <c r="H231" s="1"/>
      <c r="I231" s="1"/>
    </row>
    <row r="232" spans="1:9" x14ac:dyDescent="0.25">
      <c r="A232" s="1"/>
      <c r="B232" s="1"/>
      <c r="C232" s="1"/>
      <c r="D232" s="1"/>
      <c r="E232" s="1"/>
      <c r="F232" s="1"/>
      <c r="G232" s="1"/>
      <c r="H232" s="1"/>
      <c r="I232" s="1"/>
    </row>
    <row r="233" spans="1:9" x14ac:dyDescent="0.25">
      <c r="A233" s="1"/>
      <c r="B233" s="1"/>
      <c r="C233" s="1"/>
      <c r="D233" s="1"/>
      <c r="E233" s="1"/>
      <c r="F233" s="1"/>
      <c r="G233" s="1"/>
      <c r="H233" s="1"/>
      <c r="I233" s="1"/>
    </row>
    <row r="234" spans="1:9" x14ac:dyDescent="0.25">
      <c r="A234" s="1"/>
      <c r="B234" s="1"/>
      <c r="C234" s="1"/>
      <c r="D234" s="1"/>
      <c r="E234" s="1"/>
      <c r="F234" s="1"/>
      <c r="G234" s="1"/>
      <c r="H234" s="1"/>
      <c r="I234" s="1"/>
    </row>
    <row r="235" spans="1:9" x14ac:dyDescent="0.25">
      <c r="A235" s="1"/>
      <c r="B235" s="1"/>
      <c r="C235" s="1"/>
      <c r="D235" s="1"/>
      <c r="E235" s="1"/>
      <c r="F235" s="1"/>
      <c r="G235" s="1"/>
      <c r="H235" s="1"/>
      <c r="I235" s="1"/>
    </row>
    <row r="236" spans="1:9" x14ac:dyDescent="0.25">
      <c r="A236" s="1"/>
      <c r="B236" s="1"/>
      <c r="C236" s="1"/>
      <c r="D236" s="1"/>
      <c r="E236" s="1"/>
      <c r="F236" s="1"/>
      <c r="G236" s="1"/>
      <c r="H236" s="1"/>
      <c r="I236" s="1"/>
    </row>
    <row r="237" spans="1:9" x14ac:dyDescent="0.25">
      <c r="A237" s="1"/>
      <c r="B237" s="1"/>
      <c r="C237" s="1"/>
      <c r="D237" s="1"/>
      <c r="E237" s="1"/>
      <c r="F237" s="1"/>
      <c r="G237" s="1"/>
      <c r="H237" s="1"/>
      <c r="I237" s="1"/>
    </row>
    <row r="238" spans="1:9" x14ac:dyDescent="0.25">
      <c r="A238" s="1"/>
      <c r="B238" s="1"/>
      <c r="C238" s="1"/>
      <c r="D238" s="1"/>
      <c r="E238" s="1"/>
      <c r="F238" s="1"/>
      <c r="G238" s="1"/>
      <c r="H238" s="1"/>
      <c r="I238" s="1"/>
    </row>
    <row r="239" spans="1:9" x14ac:dyDescent="0.25">
      <c r="A239" s="1"/>
      <c r="B239" s="1"/>
      <c r="C239" s="1"/>
      <c r="D239" s="1"/>
      <c r="E239" s="1"/>
      <c r="F239" s="1"/>
      <c r="G239" s="1"/>
      <c r="H239" s="1"/>
      <c r="I239" s="1"/>
    </row>
    <row r="240" spans="1:9" x14ac:dyDescent="0.25">
      <c r="A240" s="1"/>
      <c r="B240" s="1"/>
      <c r="C240" s="1"/>
      <c r="D240" s="1"/>
      <c r="E240" s="1"/>
      <c r="F240" s="1"/>
      <c r="G240" s="1"/>
      <c r="H240" s="1"/>
      <c r="I240" s="1"/>
    </row>
    <row r="241" spans="1:9" x14ac:dyDescent="0.25">
      <c r="A241" s="1"/>
      <c r="B241" s="1"/>
      <c r="C241" s="1"/>
      <c r="D241" s="1"/>
      <c r="E241" s="1"/>
      <c r="F241" s="1"/>
      <c r="G241" s="1"/>
      <c r="H241" s="1"/>
      <c r="I241" s="1"/>
    </row>
    <row r="242" spans="1:9" x14ac:dyDescent="0.25">
      <c r="A242" s="1"/>
      <c r="B242" s="1"/>
      <c r="C242" s="1"/>
      <c r="D242" s="1"/>
      <c r="E242" s="1"/>
      <c r="F242" s="1"/>
      <c r="G242" s="1"/>
      <c r="H242" s="1"/>
      <c r="I242" s="1"/>
    </row>
    <row r="243" spans="1:9" x14ac:dyDescent="0.25">
      <c r="A243" s="1"/>
      <c r="B243" s="1"/>
      <c r="C243" s="1"/>
      <c r="D243" s="1"/>
      <c r="E243" s="1"/>
      <c r="F243" s="1"/>
      <c r="G243" s="1"/>
      <c r="H243" s="1"/>
      <c r="I243" s="1"/>
    </row>
    <row r="244" spans="1:9" x14ac:dyDescent="0.25">
      <c r="A244" s="1"/>
      <c r="B244" s="1"/>
      <c r="C244" s="1"/>
      <c r="D244" s="1"/>
      <c r="E244" s="1"/>
      <c r="F244" s="1"/>
      <c r="G244" s="1"/>
      <c r="H244" s="1"/>
      <c r="I244" s="1"/>
    </row>
    <row r="245" spans="1:9" x14ac:dyDescent="0.25">
      <c r="A245" s="1"/>
      <c r="B245" s="1"/>
      <c r="C245" s="1"/>
      <c r="D245" s="1"/>
      <c r="E245" s="1"/>
      <c r="F245" s="1"/>
      <c r="G245" s="1"/>
      <c r="H245" s="1"/>
      <c r="I245" s="1"/>
    </row>
    <row r="246" spans="1:9" x14ac:dyDescent="0.25">
      <c r="A246" s="1"/>
      <c r="B246" s="1"/>
      <c r="C246" s="1"/>
      <c r="D246" s="1"/>
      <c r="E246" s="1"/>
      <c r="F246" s="1"/>
      <c r="G246" s="1"/>
      <c r="H246" s="1"/>
      <c r="I246" s="1"/>
    </row>
    <row r="247" spans="1:9" x14ac:dyDescent="0.25">
      <c r="A247" s="1"/>
      <c r="B247" s="1"/>
      <c r="C247" s="1"/>
      <c r="D247" s="1"/>
      <c r="E247" s="1"/>
      <c r="F247" s="1"/>
      <c r="G247" s="1"/>
      <c r="H247" s="1"/>
      <c r="I247" s="1"/>
    </row>
    <row r="248" spans="1:9" x14ac:dyDescent="0.25">
      <c r="A248" s="1"/>
      <c r="B248" s="1"/>
      <c r="C248" s="1"/>
      <c r="D248" s="1"/>
      <c r="E248" s="1"/>
      <c r="F248" s="1"/>
      <c r="G248" s="1"/>
      <c r="H248" s="1"/>
      <c r="I248" s="1"/>
    </row>
    <row r="249" spans="1:9" x14ac:dyDescent="0.25">
      <c r="A249" s="1"/>
      <c r="B249" s="1"/>
      <c r="C249" s="1"/>
      <c r="D249" s="1"/>
      <c r="E249" s="1"/>
      <c r="F249" s="1"/>
      <c r="G249" s="1"/>
      <c r="H249" s="1"/>
      <c r="I249" s="1"/>
    </row>
    <row r="250" spans="1:9" x14ac:dyDescent="0.25">
      <c r="A250" s="1"/>
      <c r="B250" s="1"/>
      <c r="C250" s="1"/>
      <c r="D250" s="1"/>
      <c r="E250" s="1"/>
      <c r="F250" s="1"/>
      <c r="G250" s="1"/>
      <c r="H250" s="1"/>
      <c r="I250" s="1"/>
    </row>
    <row r="251" spans="1:9" x14ac:dyDescent="0.25">
      <c r="A251" s="1"/>
      <c r="B251" s="1"/>
      <c r="C251" s="1"/>
      <c r="D251" s="1"/>
      <c r="E251" s="1"/>
      <c r="F251" s="1"/>
      <c r="G251" s="1"/>
      <c r="H251" s="1"/>
      <c r="I251" s="1"/>
    </row>
    <row r="252" spans="1:9" x14ac:dyDescent="0.25">
      <c r="A252" s="1"/>
      <c r="B252" s="1"/>
      <c r="C252" s="1"/>
      <c r="D252" s="1"/>
      <c r="E252" s="1"/>
      <c r="F252" s="1"/>
      <c r="G252" s="1"/>
      <c r="H252" s="1"/>
      <c r="I252" s="1"/>
    </row>
    <row r="253" spans="1:9" x14ac:dyDescent="0.25">
      <c r="A253" s="1"/>
      <c r="B253" s="1"/>
      <c r="C253" s="1"/>
      <c r="D253" s="1"/>
      <c r="E253" s="1"/>
      <c r="F253" s="1"/>
      <c r="G253" s="1"/>
      <c r="H253" s="1"/>
      <c r="I253" s="1"/>
    </row>
    <row r="254" spans="1:9" x14ac:dyDescent="0.25">
      <c r="A254" s="1"/>
      <c r="B254" s="1"/>
      <c r="C254" s="1"/>
      <c r="D254" s="1"/>
      <c r="E254" s="1"/>
      <c r="F254" s="1"/>
      <c r="G254" s="1"/>
      <c r="H254" s="1"/>
      <c r="I254" s="1"/>
    </row>
    <row r="255" spans="1:9" x14ac:dyDescent="0.25">
      <c r="A255" s="1"/>
      <c r="B255" s="1"/>
      <c r="C255" s="1"/>
      <c r="D255" s="1"/>
      <c r="E255" s="1"/>
      <c r="F255" s="1"/>
      <c r="G255" s="1"/>
      <c r="H255" s="1"/>
      <c r="I255" s="1"/>
    </row>
    <row r="256" spans="1:9" x14ac:dyDescent="0.25">
      <c r="A256" s="1"/>
      <c r="B256" s="1"/>
      <c r="C256" s="1"/>
      <c r="D256" s="1"/>
      <c r="E256" s="1"/>
      <c r="F256" s="1"/>
      <c r="G256" s="1"/>
      <c r="H256" s="1"/>
      <c r="I256" s="1"/>
    </row>
    <row r="257" spans="1:9" x14ac:dyDescent="0.25">
      <c r="A257" s="1"/>
      <c r="B257" s="1"/>
      <c r="C257" s="1"/>
      <c r="D257" s="1"/>
      <c r="E257" s="1"/>
      <c r="F257" s="1"/>
      <c r="G257" s="1"/>
      <c r="H257" s="1"/>
      <c r="I257" s="1"/>
    </row>
    <row r="258" spans="1:9" x14ac:dyDescent="0.25">
      <c r="A258" s="1"/>
      <c r="B258" s="1"/>
      <c r="C258" s="1"/>
      <c r="D258" s="1"/>
      <c r="E258" s="1"/>
      <c r="F258" s="1"/>
      <c r="G258" s="1"/>
      <c r="H258" s="1"/>
      <c r="I258" s="1"/>
    </row>
    <row r="259" spans="1:9" x14ac:dyDescent="0.25">
      <c r="A259" s="1"/>
      <c r="B259" s="1"/>
      <c r="C259" s="1"/>
      <c r="D259" s="1"/>
      <c r="E259" s="1"/>
      <c r="F259" s="1"/>
      <c r="G259" s="1"/>
      <c r="H259" s="1"/>
      <c r="I259" s="1"/>
    </row>
    <row r="260" spans="1:9" x14ac:dyDescent="0.25">
      <c r="A260" s="1"/>
      <c r="B260" s="1"/>
      <c r="C260" s="1"/>
      <c r="D260" s="1"/>
      <c r="E260" s="1"/>
      <c r="F260" s="1"/>
      <c r="G260" s="1"/>
      <c r="H260" s="1"/>
      <c r="I260" s="1"/>
    </row>
    <row r="261" spans="1:9" x14ac:dyDescent="0.25">
      <c r="A261" s="1"/>
      <c r="B261" s="1"/>
      <c r="C261" s="1"/>
      <c r="D261" s="1"/>
      <c r="E261" s="1"/>
      <c r="F261" s="1"/>
      <c r="G261" s="1"/>
      <c r="H261" s="1"/>
      <c r="I261" s="1"/>
    </row>
    <row r="262" spans="1:9" x14ac:dyDescent="0.25">
      <c r="A262" s="1"/>
      <c r="B262" s="1"/>
      <c r="C262" s="1"/>
      <c r="D262" s="1"/>
      <c r="E262" s="1"/>
      <c r="F262" s="1"/>
      <c r="G262" s="1"/>
      <c r="H262" s="1"/>
      <c r="I262" s="1"/>
    </row>
    <row r="263" spans="1:9" x14ac:dyDescent="0.25">
      <c r="A263" s="1"/>
      <c r="B263" s="1"/>
      <c r="C263" s="1"/>
      <c r="D263" s="1"/>
      <c r="E263" s="1"/>
      <c r="F263" s="1"/>
      <c r="G263" s="1"/>
      <c r="H263" s="1"/>
      <c r="I263" s="1"/>
    </row>
    <row r="264" spans="1:9" x14ac:dyDescent="0.25">
      <c r="A264" s="1"/>
      <c r="B264" s="1"/>
      <c r="C264" s="1"/>
      <c r="D264" s="1"/>
      <c r="E264" s="1"/>
      <c r="F264" s="1"/>
      <c r="G264" s="1"/>
      <c r="H264" s="1"/>
      <c r="I264" s="1"/>
    </row>
    <row r="265" spans="1:9" x14ac:dyDescent="0.25">
      <c r="A265" s="1"/>
      <c r="B265" s="1"/>
      <c r="C265" s="1"/>
      <c r="D265" s="1"/>
      <c r="E265" s="1"/>
      <c r="F265" s="1"/>
      <c r="G265" s="1"/>
      <c r="H265" s="1"/>
      <c r="I265" s="1"/>
    </row>
    <row r="266" spans="1:9" x14ac:dyDescent="0.25">
      <c r="A266" s="1"/>
      <c r="B266" s="1"/>
      <c r="C266" s="1"/>
      <c r="D266" s="1"/>
      <c r="E266" s="1"/>
      <c r="F266" s="1"/>
      <c r="G266" s="1"/>
      <c r="H266" s="1"/>
      <c r="I266" s="1"/>
    </row>
    <row r="267" spans="1:9" x14ac:dyDescent="0.25">
      <c r="A267" s="1"/>
      <c r="B267" s="1"/>
      <c r="C267" s="1"/>
      <c r="D267" s="1"/>
      <c r="E267" s="1"/>
      <c r="F267" s="1"/>
      <c r="G267" s="1"/>
      <c r="H267" s="1"/>
      <c r="I267" s="1"/>
    </row>
    <row r="268" spans="1:9" x14ac:dyDescent="0.25">
      <c r="A268" s="1"/>
      <c r="B268" s="1"/>
      <c r="C268" s="1"/>
      <c r="D268" s="1"/>
      <c r="E268" s="1"/>
      <c r="F268" s="1"/>
      <c r="G268" s="1"/>
      <c r="H268" s="1"/>
      <c r="I268" s="1"/>
    </row>
    <row r="269" spans="1:9" x14ac:dyDescent="0.25">
      <c r="A269" s="1"/>
      <c r="B269" s="1"/>
      <c r="C269" s="1"/>
      <c r="D269" s="1"/>
      <c r="E269" s="1"/>
      <c r="F269" s="1"/>
      <c r="G269" s="1"/>
      <c r="H269" s="1"/>
      <c r="I269" s="1"/>
    </row>
    <row r="270" spans="1:9" x14ac:dyDescent="0.25">
      <c r="A270" s="1"/>
      <c r="B270" s="1"/>
      <c r="C270" s="1"/>
      <c r="D270" s="1"/>
      <c r="E270" s="1"/>
      <c r="F270" s="1"/>
      <c r="G270" s="1"/>
      <c r="H270" s="1"/>
      <c r="I270" s="1"/>
    </row>
    <row r="271" spans="1:9" x14ac:dyDescent="0.25">
      <c r="A271" s="1"/>
      <c r="B271" s="1"/>
      <c r="C271" s="1"/>
      <c r="D271" s="1"/>
      <c r="E271" s="1"/>
      <c r="F271" s="1"/>
      <c r="G271" s="1"/>
      <c r="H271" s="1"/>
      <c r="I271" s="1"/>
    </row>
    <row r="272" spans="1:9" x14ac:dyDescent="0.25">
      <c r="A272" s="1"/>
      <c r="B272" s="1"/>
      <c r="C272" s="1"/>
      <c r="D272" s="1"/>
      <c r="E272" s="1"/>
      <c r="F272" s="1"/>
      <c r="G272" s="1"/>
      <c r="H272" s="1"/>
      <c r="I272" s="1"/>
    </row>
    <row r="273" spans="1:9" x14ac:dyDescent="0.25">
      <c r="A273" s="1"/>
      <c r="B273" s="1"/>
      <c r="C273" s="1"/>
      <c r="D273" s="1"/>
      <c r="E273" s="1"/>
      <c r="F273" s="1"/>
      <c r="G273" s="1"/>
      <c r="H273" s="1"/>
      <c r="I273" s="1"/>
    </row>
    <row r="274" spans="1:9" x14ac:dyDescent="0.25">
      <c r="A274" s="1"/>
      <c r="B274" s="1"/>
      <c r="C274" s="1"/>
      <c r="D274" s="1"/>
      <c r="E274" s="1"/>
      <c r="F274" s="1"/>
      <c r="G274" s="1"/>
      <c r="H274" s="1"/>
      <c r="I274" s="1"/>
    </row>
    <row r="275" spans="1:9" x14ac:dyDescent="0.25">
      <c r="A275" s="1"/>
      <c r="B275" s="1"/>
      <c r="C275" s="1"/>
      <c r="D275" s="1"/>
      <c r="E275" s="1"/>
      <c r="F275" s="1"/>
      <c r="G275" s="1"/>
      <c r="H275" s="1"/>
      <c r="I275" s="1"/>
    </row>
    <row r="276" spans="1:9" x14ac:dyDescent="0.25">
      <c r="A276" s="1"/>
      <c r="B276" s="1"/>
      <c r="C276" s="1"/>
      <c r="D276" s="1"/>
      <c r="E276" s="1"/>
      <c r="F276" s="1"/>
      <c r="G276" s="1"/>
      <c r="H276" s="1"/>
      <c r="I276" s="1"/>
    </row>
    <row r="277" spans="1:9" x14ac:dyDescent="0.25">
      <c r="A277" s="1"/>
      <c r="B277" s="1"/>
      <c r="C277" s="1"/>
      <c r="D277" s="1"/>
      <c r="E277" s="1"/>
      <c r="F277" s="1"/>
      <c r="G277" s="1"/>
      <c r="H277" s="1"/>
      <c r="I277" s="1"/>
    </row>
    <row r="278" spans="1:9" x14ac:dyDescent="0.25">
      <c r="A278" s="1"/>
      <c r="B278" s="1"/>
      <c r="C278" s="1"/>
      <c r="D278" s="1"/>
      <c r="E278" s="1"/>
      <c r="F278" s="1"/>
      <c r="G278" s="1"/>
      <c r="H278" s="1"/>
      <c r="I278" s="1"/>
    </row>
    <row r="279" spans="1:9" x14ac:dyDescent="0.25">
      <c r="A279" s="1"/>
      <c r="B279" s="1"/>
      <c r="C279" s="1"/>
      <c r="D279" s="1"/>
      <c r="E279" s="1"/>
      <c r="F279" s="1"/>
      <c r="G279" s="1"/>
      <c r="H279" s="1"/>
      <c r="I279" s="1"/>
    </row>
    <row r="280" spans="1:9" x14ac:dyDescent="0.25">
      <c r="A280" s="1"/>
      <c r="B280" s="1"/>
      <c r="C280" s="1"/>
      <c r="D280" s="1"/>
      <c r="E280" s="1"/>
      <c r="F280" s="1"/>
      <c r="G280" s="1"/>
      <c r="H280" s="1"/>
      <c r="I280" s="1"/>
    </row>
    <row r="281" spans="1:9" x14ac:dyDescent="0.25">
      <c r="A281" s="1"/>
      <c r="B281" s="1"/>
      <c r="C281" s="1"/>
      <c r="D281" s="1"/>
      <c r="E281" s="1"/>
      <c r="F281" s="1"/>
      <c r="G281" s="1"/>
      <c r="H281" s="1"/>
      <c r="I281" s="1"/>
    </row>
    <row r="282" spans="1:9" x14ac:dyDescent="0.25">
      <c r="A282" s="1"/>
      <c r="B282" s="1"/>
      <c r="C282" s="1"/>
      <c r="D282" s="1"/>
      <c r="E282" s="1"/>
      <c r="F282" s="1"/>
      <c r="G282" s="1"/>
      <c r="H282" s="1"/>
      <c r="I282" s="1"/>
    </row>
    <row r="283" spans="1:9" x14ac:dyDescent="0.25">
      <c r="A283" s="1"/>
      <c r="B283" s="1"/>
      <c r="C283" s="1"/>
      <c r="D283" s="1"/>
      <c r="E283" s="1"/>
      <c r="F283" s="1"/>
      <c r="G283" s="1"/>
      <c r="H283" s="1"/>
      <c r="I283" s="1"/>
    </row>
    <row r="284" spans="1:9" x14ac:dyDescent="0.25">
      <c r="A284" s="1"/>
      <c r="B284" s="1"/>
      <c r="C284" s="1"/>
      <c r="D284" s="1"/>
      <c r="E284" s="1"/>
      <c r="F284" s="1"/>
      <c r="G284" s="1"/>
      <c r="H284" s="1"/>
      <c r="I284" s="1"/>
    </row>
    <row r="285" spans="1:9" x14ac:dyDescent="0.25">
      <c r="A285" s="1"/>
      <c r="B285" s="1"/>
      <c r="C285" s="1"/>
      <c r="D285" s="1"/>
      <c r="E285" s="1"/>
      <c r="F285" s="1"/>
      <c r="G285" s="1"/>
      <c r="H285" s="1"/>
      <c r="I285" s="1"/>
    </row>
    <row r="286" spans="1:9" x14ac:dyDescent="0.25">
      <c r="A286" s="1"/>
      <c r="B286" s="1"/>
      <c r="C286" s="1"/>
      <c r="D286" s="1"/>
      <c r="E286" s="1"/>
      <c r="F286" s="1"/>
      <c r="G286" s="1"/>
      <c r="H286" s="1"/>
      <c r="I286" s="1"/>
    </row>
    <row r="287" spans="1:9" x14ac:dyDescent="0.25">
      <c r="A287" s="1"/>
      <c r="B287" s="1"/>
      <c r="C287" s="1"/>
      <c r="D287" s="1"/>
      <c r="E287" s="1"/>
      <c r="F287" s="1"/>
      <c r="G287" s="1"/>
      <c r="H287" s="1"/>
      <c r="I287" s="1"/>
    </row>
    <row r="288" spans="1:9" x14ac:dyDescent="0.25">
      <c r="A288" s="1"/>
      <c r="B288" s="1"/>
      <c r="C288" s="1"/>
      <c r="D288" s="1"/>
      <c r="E288" s="1"/>
      <c r="F288" s="1"/>
      <c r="G288" s="1"/>
      <c r="H288" s="1"/>
      <c r="I288" s="1"/>
    </row>
    <row r="289" spans="1:9" x14ac:dyDescent="0.25">
      <c r="A289" s="1"/>
      <c r="B289" s="1"/>
      <c r="C289" s="1"/>
      <c r="D289" s="1"/>
      <c r="E289" s="1"/>
      <c r="F289" s="1"/>
      <c r="G289" s="1"/>
      <c r="H289" s="1"/>
      <c r="I289" s="1"/>
    </row>
    <row r="290" spans="1:9" x14ac:dyDescent="0.25">
      <c r="A290" s="1"/>
      <c r="B290" s="1"/>
      <c r="C290" s="1"/>
      <c r="D290" s="1"/>
      <c r="E290" s="1"/>
      <c r="F290" s="1"/>
      <c r="G290" s="1"/>
      <c r="H290" s="1"/>
      <c r="I290" s="1"/>
    </row>
    <row r="291" spans="1:9" x14ac:dyDescent="0.25">
      <c r="A291" s="1"/>
      <c r="B291" s="1"/>
      <c r="C291" s="1"/>
      <c r="D291" s="1"/>
      <c r="E291" s="1"/>
      <c r="F291" s="1"/>
      <c r="G291" s="1"/>
      <c r="H291" s="1"/>
      <c r="I291" s="1"/>
    </row>
    <row r="292" spans="1:9" x14ac:dyDescent="0.25">
      <c r="A292" s="1"/>
      <c r="B292" s="1"/>
      <c r="C292" s="1"/>
      <c r="D292" s="1"/>
      <c r="E292" s="1"/>
      <c r="F292" s="1"/>
      <c r="G292" s="1"/>
      <c r="H292" s="1"/>
      <c r="I292" s="1"/>
    </row>
    <row r="293" spans="1:9" x14ac:dyDescent="0.25">
      <c r="A293" s="1"/>
      <c r="B293" s="1"/>
      <c r="C293" s="1"/>
      <c r="D293" s="1"/>
      <c r="E293" s="1"/>
      <c r="F293" s="1"/>
      <c r="G293" s="1"/>
      <c r="H293" s="1"/>
      <c r="I293" s="1"/>
    </row>
    <row r="294" spans="1:9" x14ac:dyDescent="0.25">
      <c r="A294" s="1"/>
      <c r="B294" s="1"/>
      <c r="C294" s="1"/>
      <c r="D294" s="1"/>
      <c r="E294" s="1"/>
      <c r="F294" s="1"/>
      <c r="G294" s="1"/>
      <c r="H294" s="1"/>
      <c r="I294" s="1"/>
    </row>
    <row r="295" spans="1:9" x14ac:dyDescent="0.25">
      <c r="A295" s="1"/>
      <c r="B295" s="1"/>
      <c r="C295" s="1"/>
      <c r="D295" s="1"/>
      <c r="E295" s="1"/>
      <c r="F295" s="1"/>
      <c r="G295" s="1"/>
      <c r="H295" s="1"/>
      <c r="I295" s="1"/>
    </row>
    <row r="296" spans="1:9" x14ac:dyDescent="0.25">
      <c r="A296" s="1"/>
      <c r="B296" s="1"/>
      <c r="C296" s="1"/>
      <c r="D296" s="1"/>
      <c r="E296" s="1"/>
      <c r="F296" s="1"/>
      <c r="G296" s="1"/>
      <c r="H296" s="1"/>
      <c r="I296" s="1"/>
    </row>
    <row r="297" spans="1:9" x14ac:dyDescent="0.25">
      <c r="A297" s="1"/>
      <c r="B297" s="1"/>
      <c r="C297" s="1"/>
      <c r="D297" s="1"/>
      <c r="E297" s="1"/>
      <c r="F297" s="1"/>
      <c r="G297" s="1"/>
      <c r="H297" s="1"/>
      <c r="I297" s="1"/>
    </row>
    <row r="298" spans="1:9" x14ac:dyDescent="0.25">
      <c r="A298" s="1"/>
      <c r="B298" s="1"/>
      <c r="C298" s="1"/>
      <c r="D298" s="1"/>
      <c r="E298" s="1"/>
      <c r="F298" s="1"/>
      <c r="G298" s="1"/>
      <c r="H298" s="1"/>
      <c r="I298" s="1"/>
    </row>
    <row r="299" spans="1:9" x14ac:dyDescent="0.25">
      <c r="A299" s="1"/>
      <c r="B299" s="1"/>
      <c r="C299" s="1"/>
      <c r="D299" s="1"/>
      <c r="E299" s="1"/>
      <c r="F299" s="1"/>
      <c r="G299" s="1"/>
      <c r="H299" s="1"/>
      <c r="I299" s="1"/>
    </row>
    <row r="300" spans="1:9" x14ac:dyDescent="0.25">
      <c r="A300" s="1"/>
      <c r="B300" s="1"/>
      <c r="C300" s="1"/>
      <c r="D300" s="1"/>
      <c r="E300" s="1"/>
      <c r="F300" s="1"/>
      <c r="G300" s="1"/>
      <c r="H300" s="1"/>
      <c r="I300" s="1"/>
    </row>
    <row r="301" spans="1:9" x14ac:dyDescent="0.25">
      <c r="A301" s="1"/>
      <c r="B301" s="1"/>
      <c r="C301" s="1"/>
      <c r="D301" s="1"/>
      <c r="E301" s="1"/>
      <c r="F301" s="1"/>
      <c r="G301" s="1"/>
      <c r="H301" s="1"/>
      <c r="I301" s="1"/>
    </row>
    <row r="302" spans="1:9" x14ac:dyDescent="0.25">
      <c r="A302" s="1"/>
      <c r="B302" s="1"/>
      <c r="C302" s="1"/>
      <c r="D302" s="1"/>
      <c r="E302" s="1"/>
      <c r="F302" s="1"/>
      <c r="G302" s="1"/>
      <c r="H302" s="1"/>
      <c r="I302" s="1"/>
    </row>
    <row r="303" spans="1:9" x14ac:dyDescent="0.25">
      <c r="A303" s="1"/>
      <c r="B303" s="1"/>
      <c r="C303" s="1"/>
      <c r="D303" s="1"/>
      <c r="E303" s="1"/>
      <c r="F303" s="1"/>
      <c r="G303" s="1"/>
      <c r="H303" s="1"/>
      <c r="I303" s="1"/>
    </row>
    <row r="304" spans="1:9" x14ac:dyDescent="0.25">
      <c r="A304" s="1"/>
      <c r="B304" s="1"/>
      <c r="C304" s="1"/>
      <c r="D304" s="1"/>
      <c r="E304" s="1"/>
      <c r="F304" s="1"/>
      <c r="G304" s="1"/>
      <c r="H304" s="1"/>
      <c r="I304" s="1"/>
    </row>
    <row r="305" spans="1:9" x14ac:dyDescent="0.25">
      <c r="A305" s="1"/>
      <c r="B305" s="1"/>
      <c r="C305" s="1"/>
      <c r="D305" s="1"/>
      <c r="E305" s="1"/>
      <c r="F305" s="1"/>
      <c r="G305" s="1"/>
      <c r="H305" s="1"/>
      <c r="I305" s="1"/>
    </row>
    <row r="306" spans="1:9" x14ac:dyDescent="0.25">
      <c r="A306" s="1"/>
      <c r="B306" s="1"/>
      <c r="C306" s="1"/>
      <c r="D306" s="1"/>
      <c r="E306" s="1"/>
      <c r="F306" s="1"/>
      <c r="G306" s="1"/>
      <c r="H306" s="1"/>
      <c r="I306" s="1"/>
    </row>
    <row r="307" spans="1:9" x14ac:dyDescent="0.25">
      <c r="A307" s="1"/>
      <c r="B307" s="1"/>
      <c r="C307" s="1"/>
      <c r="D307" s="1"/>
      <c r="E307" s="1"/>
      <c r="F307" s="1"/>
      <c r="G307" s="1"/>
      <c r="H307" s="1"/>
      <c r="I307" s="1"/>
    </row>
    <row r="308" spans="1:9" x14ac:dyDescent="0.25">
      <c r="A308" s="1"/>
      <c r="B308" s="1"/>
      <c r="C308" s="1"/>
      <c r="D308" s="1"/>
      <c r="E308" s="1"/>
      <c r="F308" s="1"/>
      <c r="G308" s="1"/>
      <c r="H308" s="1"/>
      <c r="I308" s="1"/>
    </row>
    <row r="309" spans="1:9" x14ac:dyDescent="0.25">
      <c r="A309" s="1"/>
      <c r="B309" s="1"/>
      <c r="C309" s="1"/>
      <c r="D309" s="1"/>
      <c r="E309" s="1"/>
      <c r="F309" s="1"/>
      <c r="G309" s="1"/>
      <c r="H309" s="1"/>
      <c r="I309" s="1"/>
    </row>
    <row r="310" spans="1:9" x14ac:dyDescent="0.25">
      <c r="A310" s="1"/>
      <c r="B310" s="1"/>
      <c r="C310" s="1"/>
      <c r="D310" s="1"/>
      <c r="E310" s="1"/>
      <c r="F310" s="1"/>
      <c r="G310" s="1"/>
      <c r="H310" s="1"/>
      <c r="I310" s="1"/>
    </row>
    <row r="311" spans="1:9" x14ac:dyDescent="0.25">
      <c r="A311" s="1"/>
      <c r="B311" s="1"/>
      <c r="C311" s="1"/>
      <c r="D311" s="1"/>
      <c r="E311" s="1"/>
      <c r="F311" s="1"/>
      <c r="G311" s="1"/>
      <c r="H311" s="1"/>
      <c r="I311" s="1"/>
    </row>
    <row r="312" spans="1:9" x14ac:dyDescent="0.25">
      <c r="A312" s="1"/>
      <c r="B312" s="1"/>
      <c r="C312" s="1"/>
      <c r="D312" s="1"/>
      <c r="E312" s="1"/>
      <c r="F312" s="1"/>
      <c r="G312" s="1"/>
      <c r="H312" s="1"/>
      <c r="I312" s="1"/>
    </row>
    <row r="313" spans="1:9" x14ac:dyDescent="0.25">
      <c r="A313" s="1"/>
      <c r="B313" s="1"/>
      <c r="C313" s="1"/>
      <c r="D313" s="1"/>
      <c r="E313" s="1"/>
      <c r="F313" s="1"/>
      <c r="G313" s="1"/>
      <c r="H313" s="1"/>
      <c r="I313" s="1"/>
    </row>
    <row r="314" spans="1:9" x14ac:dyDescent="0.25">
      <c r="A314" s="1"/>
      <c r="B314" s="1"/>
      <c r="C314" s="1"/>
      <c r="D314" s="1"/>
      <c r="E314" s="1"/>
      <c r="F314" s="1"/>
      <c r="G314" s="1"/>
      <c r="H314" s="1"/>
      <c r="I314" s="1"/>
    </row>
    <row r="315" spans="1:9" x14ac:dyDescent="0.25">
      <c r="A315" s="1"/>
      <c r="B315" s="1"/>
      <c r="C315" s="1"/>
      <c r="D315" s="1"/>
      <c r="E315" s="1"/>
      <c r="F315" s="1"/>
      <c r="G315" s="1"/>
      <c r="H315" s="1"/>
      <c r="I315" s="1"/>
    </row>
    <row r="316" spans="1:9" x14ac:dyDescent="0.25">
      <c r="A316" s="1"/>
      <c r="B316" s="1"/>
      <c r="C316" s="1"/>
      <c r="D316" s="1"/>
      <c r="E316" s="1"/>
      <c r="F316" s="1"/>
      <c r="G316" s="1"/>
      <c r="H316" s="1"/>
      <c r="I316" s="1"/>
    </row>
    <row r="317" spans="1:9" x14ac:dyDescent="0.25">
      <c r="A317" s="1"/>
      <c r="B317" s="1"/>
      <c r="C317" s="1"/>
      <c r="D317" s="1"/>
      <c r="E317" s="1"/>
      <c r="F317" s="1"/>
      <c r="G317" s="1"/>
      <c r="H317" s="1"/>
      <c r="I317" s="1"/>
    </row>
    <row r="318" spans="1:9" x14ac:dyDescent="0.25">
      <c r="A318" s="1"/>
      <c r="B318" s="1"/>
      <c r="C318" s="1"/>
      <c r="D318" s="1"/>
      <c r="E318" s="1"/>
      <c r="F318" s="1"/>
      <c r="G318" s="1"/>
      <c r="H318" s="1"/>
      <c r="I318" s="1"/>
    </row>
    <row r="319" spans="1:9" x14ac:dyDescent="0.25">
      <c r="A319" s="1"/>
      <c r="B319" s="1"/>
      <c r="C319" s="1"/>
      <c r="D319" s="1"/>
      <c r="E319" s="1"/>
      <c r="F319" s="1"/>
      <c r="G319" s="1"/>
      <c r="H319" s="1"/>
      <c r="I319" s="1"/>
    </row>
    <row r="320" spans="1:9" x14ac:dyDescent="0.25">
      <c r="A320" s="1"/>
      <c r="B320" s="1"/>
      <c r="C320" s="1"/>
      <c r="D320" s="1"/>
      <c r="E320" s="1"/>
      <c r="F320" s="1"/>
      <c r="G320" s="1"/>
      <c r="H320" s="1"/>
      <c r="I320" s="1"/>
    </row>
    <row r="321" spans="1:9" x14ac:dyDescent="0.25">
      <c r="A321" s="1"/>
      <c r="B321" s="1"/>
      <c r="C321" s="1"/>
      <c r="D321" s="1"/>
      <c r="E321" s="1"/>
      <c r="F321" s="1"/>
      <c r="G321" s="1"/>
      <c r="H321" s="1"/>
      <c r="I321" s="1"/>
    </row>
    <row r="322" spans="1:9" x14ac:dyDescent="0.25">
      <c r="A322" s="1"/>
      <c r="B322" s="1"/>
      <c r="C322" s="1"/>
      <c r="D322" s="1"/>
      <c r="E322" s="1"/>
      <c r="F322" s="1"/>
      <c r="G322" s="1"/>
      <c r="H322" s="1"/>
      <c r="I322" s="1"/>
    </row>
    <row r="323" spans="1:9" x14ac:dyDescent="0.25">
      <c r="A323" s="1"/>
      <c r="B323" s="1"/>
      <c r="C323" s="1"/>
      <c r="D323" s="1"/>
      <c r="E323" s="1"/>
      <c r="F323" s="1"/>
      <c r="G323" s="1"/>
      <c r="H323" s="1"/>
      <c r="I323" s="1"/>
    </row>
    <row r="324" spans="1:9" x14ac:dyDescent="0.25">
      <c r="A324" s="1"/>
      <c r="B324" s="1"/>
      <c r="C324" s="1"/>
      <c r="D324" s="1"/>
      <c r="E324" s="1"/>
      <c r="F324" s="1"/>
      <c r="G324" s="1"/>
      <c r="H324" s="1"/>
      <c r="I324" s="1"/>
    </row>
    <row r="325" spans="1:9" x14ac:dyDescent="0.25">
      <c r="A325" s="1"/>
      <c r="B325" s="1"/>
      <c r="C325" s="1"/>
      <c r="D325" s="1"/>
      <c r="E325" s="1"/>
      <c r="F325" s="1"/>
      <c r="G325" s="1"/>
      <c r="H325" s="1"/>
      <c r="I325" s="1"/>
    </row>
    <row r="326" spans="1:9" x14ac:dyDescent="0.25">
      <c r="A326" s="1"/>
      <c r="B326" s="1"/>
      <c r="C326" s="1"/>
      <c r="D326" s="1"/>
      <c r="E326" s="1"/>
      <c r="F326" s="1"/>
      <c r="G326" s="1"/>
      <c r="H326" s="1"/>
      <c r="I326" s="1"/>
    </row>
    <row r="327" spans="1:9" x14ac:dyDescent="0.25">
      <c r="A327" s="1"/>
      <c r="B327" s="1"/>
      <c r="C327" s="1"/>
      <c r="D327" s="1"/>
      <c r="E327" s="1"/>
      <c r="F327" s="1"/>
      <c r="G327" s="1"/>
      <c r="H327" s="1"/>
      <c r="I327" s="1"/>
    </row>
    <row r="328" spans="1:9" x14ac:dyDescent="0.25">
      <c r="A328" s="1"/>
      <c r="B328" s="1"/>
      <c r="C328" s="1"/>
      <c r="D328" s="1"/>
      <c r="E328" s="1"/>
      <c r="F328" s="1"/>
      <c r="G328" s="1"/>
      <c r="H328" s="1"/>
      <c r="I328" s="1"/>
    </row>
    <row r="329" spans="1:9" x14ac:dyDescent="0.25">
      <c r="A329" s="1"/>
      <c r="B329" s="1"/>
      <c r="C329" s="1"/>
      <c r="D329" s="1"/>
      <c r="E329" s="1"/>
      <c r="F329" s="1"/>
      <c r="G329" s="1"/>
      <c r="H329" s="1"/>
      <c r="I329" s="1"/>
    </row>
    <row r="330" spans="1:9" x14ac:dyDescent="0.25">
      <c r="A330" s="1"/>
      <c r="B330" s="1"/>
      <c r="C330" s="1"/>
      <c r="D330" s="1"/>
      <c r="E330" s="1"/>
      <c r="F330" s="1"/>
      <c r="G330" s="1"/>
      <c r="H330" s="1"/>
      <c r="I330" s="1"/>
    </row>
    <row r="331" spans="1:9" x14ac:dyDescent="0.25">
      <c r="A331" s="1"/>
      <c r="B331" s="1"/>
      <c r="C331" s="1"/>
      <c r="D331" s="1"/>
      <c r="E331" s="1"/>
      <c r="F331" s="1"/>
      <c r="G331" s="1"/>
      <c r="H331" s="1"/>
      <c r="I331" s="1"/>
    </row>
    <row r="332" spans="1:9" x14ac:dyDescent="0.25">
      <c r="A332" s="1"/>
      <c r="B332" s="1"/>
      <c r="C332" s="1"/>
      <c r="D332" s="1"/>
      <c r="E332" s="1"/>
      <c r="F332" s="1"/>
      <c r="G332" s="1"/>
      <c r="H332" s="1"/>
      <c r="I332" s="1"/>
    </row>
    <row r="333" spans="1:9" x14ac:dyDescent="0.25">
      <c r="A333" s="1"/>
      <c r="B333" s="1"/>
      <c r="C333" s="1"/>
      <c r="D333" s="1"/>
      <c r="E333" s="1"/>
      <c r="F333" s="1"/>
      <c r="G333" s="1"/>
      <c r="H333" s="1"/>
      <c r="I333" s="1"/>
    </row>
    <row r="334" spans="1:9" x14ac:dyDescent="0.25">
      <c r="A334" s="1"/>
      <c r="B334" s="1"/>
      <c r="C334" s="1"/>
      <c r="D334" s="1"/>
      <c r="E334" s="1"/>
      <c r="F334" s="1"/>
      <c r="G334" s="1"/>
      <c r="H334" s="1"/>
      <c r="I334" s="1"/>
    </row>
    <row r="335" spans="1:9" x14ac:dyDescent="0.25">
      <c r="A335" s="1"/>
      <c r="B335" s="1"/>
      <c r="C335" s="1"/>
      <c r="D335" s="1"/>
      <c r="E335" s="1"/>
      <c r="F335" s="1"/>
      <c r="G335" s="1"/>
      <c r="H335" s="1"/>
      <c r="I335" s="1"/>
    </row>
    <row r="336" spans="1:9" x14ac:dyDescent="0.25">
      <c r="A336" s="1"/>
      <c r="B336" s="1"/>
      <c r="C336" s="1"/>
      <c r="D336" s="1"/>
      <c r="E336" s="1"/>
      <c r="F336" s="1"/>
      <c r="G336" s="1"/>
      <c r="H336" s="1"/>
      <c r="I336" s="1"/>
    </row>
    <row r="337" spans="1:9" x14ac:dyDescent="0.25">
      <c r="A337" s="1"/>
      <c r="B337" s="1"/>
      <c r="C337" s="1"/>
      <c r="D337" s="1"/>
      <c r="E337" s="1"/>
      <c r="F337" s="1"/>
      <c r="G337" s="1"/>
      <c r="H337" s="1"/>
      <c r="I337" s="1"/>
    </row>
    <row r="338" spans="1:9" x14ac:dyDescent="0.25">
      <c r="A338" s="1"/>
      <c r="B338" s="1"/>
      <c r="C338" s="1"/>
      <c r="D338" s="1"/>
      <c r="E338" s="1"/>
      <c r="F338" s="1"/>
      <c r="G338" s="1"/>
      <c r="H338" s="1"/>
      <c r="I338" s="1"/>
    </row>
    <row r="339" spans="1:9" x14ac:dyDescent="0.25">
      <c r="A339" s="1"/>
      <c r="B339" s="1"/>
      <c r="C339" s="1"/>
      <c r="D339" s="1"/>
      <c r="E339" s="1"/>
      <c r="F339" s="1"/>
      <c r="G339" s="1"/>
      <c r="H339" s="1"/>
      <c r="I339" s="1"/>
    </row>
    <row r="340" spans="1:9" x14ac:dyDescent="0.25">
      <c r="A340" s="1"/>
      <c r="B340" s="1"/>
      <c r="C340" s="1"/>
      <c r="D340" s="1"/>
      <c r="E340" s="1"/>
      <c r="F340" s="1"/>
      <c r="G340" s="1"/>
      <c r="H340" s="1"/>
      <c r="I340" s="1"/>
    </row>
    <row r="341" spans="1:9" x14ac:dyDescent="0.25">
      <c r="A341" s="1"/>
      <c r="B341" s="1"/>
      <c r="C341" s="1"/>
      <c r="D341" s="1"/>
      <c r="E341" s="1"/>
      <c r="F341" s="1"/>
      <c r="G341" s="1"/>
      <c r="H341" s="1"/>
      <c r="I341" s="1"/>
    </row>
    <row r="342" spans="1:9" x14ac:dyDescent="0.25">
      <c r="A342" s="1"/>
      <c r="B342" s="1"/>
      <c r="C342" s="1"/>
      <c r="D342" s="1"/>
      <c r="E342" s="1"/>
      <c r="F342" s="1"/>
      <c r="G342" s="1"/>
      <c r="H342" s="1"/>
      <c r="I342" s="1"/>
    </row>
    <row r="343" spans="1:9" x14ac:dyDescent="0.25">
      <c r="A343" s="1"/>
      <c r="B343" s="1"/>
      <c r="C343" s="1"/>
      <c r="D343" s="1"/>
      <c r="E343" s="1"/>
      <c r="F343" s="1"/>
      <c r="G343" s="1"/>
      <c r="H343" s="1"/>
      <c r="I343" s="1"/>
    </row>
    <row r="344" spans="1:9" x14ac:dyDescent="0.25">
      <c r="A344" s="1"/>
      <c r="B344" s="1"/>
      <c r="C344" s="1"/>
      <c r="D344" s="1"/>
      <c r="E344" s="1"/>
      <c r="F344" s="1"/>
      <c r="G344" s="1"/>
      <c r="H344" s="1"/>
      <c r="I344" s="1"/>
    </row>
    <row r="345" spans="1:9" x14ac:dyDescent="0.25">
      <c r="A345" s="1"/>
      <c r="B345" s="1"/>
      <c r="C345" s="1"/>
      <c r="D345" s="1"/>
      <c r="E345" s="1"/>
      <c r="F345" s="1"/>
      <c r="G345" s="1"/>
      <c r="H345" s="1"/>
      <c r="I345" s="1"/>
    </row>
    <row r="346" spans="1:9" x14ac:dyDescent="0.25">
      <c r="A346" s="1"/>
      <c r="B346" s="1"/>
      <c r="C346" s="1"/>
      <c r="D346" s="1"/>
      <c r="E346" s="1"/>
      <c r="F346" s="1"/>
      <c r="G346" s="1"/>
      <c r="H346" s="1"/>
      <c r="I346" s="1"/>
    </row>
    <row r="347" spans="1:9" x14ac:dyDescent="0.25">
      <c r="A347" s="1"/>
      <c r="B347" s="1"/>
      <c r="C347" s="1"/>
      <c r="D347" s="1"/>
      <c r="E347" s="1"/>
      <c r="F347" s="1"/>
      <c r="G347" s="1"/>
      <c r="H347" s="1"/>
      <c r="I347" s="1"/>
    </row>
    <row r="348" spans="1:9" x14ac:dyDescent="0.25">
      <c r="A348" s="1"/>
      <c r="B348" s="1"/>
      <c r="C348" s="1"/>
      <c r="D348" s="1"/>
      <c r="E348" s="1"/>
      <c r="F348" s="1"/>
      <c r="G348" s="1"/>
      <c r="H348" s="1"/>
      <c r="I348" s="1"/>
    </row>
    <row r="349" spans="1:9" x14ac:dyDescent="0.25">
      <c r="A349" s="1"/>
      <c r="B349" s="1"/>
      <c r="C349" s="1"/>
      <c r="D349" s="1"/>
      <c r="E349" s="1"/>
      <c r="F349" s="1"/>
      <c r="G349" s="1"/>
      <c r="H349" s="1"/>
      <c r="I349" s="1"/>
    </row>
    <row r="350" spans="1:9" x14ac:dyDescent="0.25">
      <c r="A350" s="1"/>
      <c r="B350" s="1"/>
      <c r="C350" s="1"/>
      <c r="D350" s="1"/>
      <c r="E350" s="1"/>
      <c r="F350" s="1"/>
      <c r="G350" s="1"/>
      <c r="H350" s="1"/>
      <c r="I350" s="1"/>
    </row>
    <row r="351" spans="1:9" x14ac:dyDescent="0.25">
      <c r="A351" s="1"/>
      <c r="B351" s="1"/>
      <c r="C351" s="1"/>
      <c r="D351" s="1"/>
      <c r="E351" s="1"/>
      <c r="F351" s="1"/>
      <c r="G351" s="1"/>
      <c r="H351" s="1"/>
      <c r="I351" s="1"/>
    </row>
    <row r="352" spans="1:9" x14ac:dyDescent="0.25">
      <c r="A352" s="1"/>
      <c r="B352" s="1"/>
      <c r="C352" s="1"/>
      <c r="D352" s="1"/>
      <c r="E352" s="1"/>
      <c r="F352" s="1"/>
      <c r="G352" s="1"/>
      <c r="H352" s="1"/>
      <c r="I352" s="1"/>
    </row>
    <row r="353" spans="1:9" x14ac:dyDescent="0.25">
      <c r="A353" s="1"/>
      <c r="B353" s="1"/>
      <c r="C353" s="1"/>
      <c r="D353" s="1"/>
      <c r="E353" s="1"/>
      <c r="F353" s="1"/>
      <c r="G353" s="1"/>
      <c r="H353" s="1"/>
      <c r="I353" s="1"/>
    </row>
    <row r="354" spans="1:9" x14ac:dyDescent="0.25">
      <c r="A354" s="1"/>
      <c r="B354" s="1"/>
      <c r="C354" s="1"/>
      <c r="D354" s="1"/>
      <c r="E354" s="1"/>
      <c r="F354" s="1"/>
      <c r="G354" s="1"/>
      <c r="H354" s="1"/>
      <c r="I354" s="1"/>
    </row>
    <row r="355" spans="1:9" x14ac:dyDescent="0.25">
      <c r="A355" s="1"/>
      <c r="B355" s="1"/>
      <c r="C355" s="1"/>
      <c r="D355" s="1"/>
      <c r="E355" s="1"/>
      <c r="F355" s="1"/>
      <c r="G355" s="1"/>
      <c r="H355" s="1"/>
      <c r="I355" s="1"/>
    </row>
    <row r="356" spans="1:9" x14ac:dyDescent="0.25">
      <c r="A356" s="1"/>
      <c r="B356" s="1"/>
      <c r="C356" s="1"/>
      <c r="D356" s="1"/>
      <c r="E356" s="1"/>
      <c r="F356" s="1"/>
      <c r="G356" s="1"/>
      <c r="H356" s="1"/>
      <c r="I356" s="1"/>
    </row>
    <row r="357" spans="1:9" x14ac:dyDescent="0.25">
      <c r="A357" s="1"/>
      <c r="B357" s="1"/>
      <c r="C357" s="1"/>
      <c r="D357" s="1"/>
      <c r="E357" s="1"/>
      <c r="F357" s="1"/>
      <c r="G357" s="1"/>
      <c r="H357" s="1"/>
      <c r="I357" s="1"/>
    </row>
    <row r="358" spans="1:9" x14ac:dyDescent="0.25">
      <c r="A358" s="1"/>
      <c r="B358" s="1"/>
      <c r="C358" s="1"/>
      <c r="D358" s="1"/>
      <c r="E358" s="1"/>
      <c r="F358" s="1"/>
      <c r="G358" s="1"/>
      <c r="H358" s="1"/>
      <c r="I358" s="1"/>
    </row>
    <row r="359" spans="1:9" x14ac:dyDescent="0.25">
      <c r="A359" s="1"/>
      <c r="B359" s="1"/>
      <c r="C359" s="1"/>
      <c r="D359" s="1"/>
      <c r="E359" s="1"/>
      <c r="F359" s="1"/>
      <c r="G359" s="1"/>
      <c r="H359" s="1"/>
      <c r="I359" s="1"/>
    </row>
    <row r="360" spans="1:9" x14ac:dyDescent="0.25">
      <c r="A360" s="1"/>
      <c r="B360" s="1"/>
      <c r="C360" s="1"/>
      <c r="D360" s="1"/>
      <c r="E360" s="1"/>
      <c r="F360" s="1"/>
      <c r="G360" s="1"/>
      <c r="H360" s="1"/>
      <c r="I360" s="1"/>
    </row>
    <row r="361" spans="1:9" x14ac:dyDescent="0.25">
      <c r="A361" s="1"/>
      <c r="B361" s="1"/>
      <c r="C361" s="1"/>
      <c r="D361" s="1"/>
      <c r="E361" s="1"/>
      <c r="F361" s="1"/>
      <c r="G361" s="1"/>
      <c r="H361" s="1"/>
      <c r="I361" s="1"/>
    </row>
    <row r="362" spans="1:9" x14ac:dyDescent="0.25">
      <c r="A362" s="1"/>
      <c r="B362" s="1"/>
      <c r="C362" s="1"/>
      <c r="D362" s="1"/>
      <c r="E362" s="1"/>
      <c r="F362" s="1"/>
      <c r="G362" s="1"/>
      <c r="H362" s="1"/>
      <c r="I362" s="1"/>
    </row>
    <row r="363" spans="1:9" x14ac:dyDescent="0.25">
      <c r="A363" s="1"/>
      <c r="B363" s="1"/>
      <c r="C363" s="1"/>
      <c r="D363" s="1"/>
      <c r="E363" s="1"/>
      <c r="F363" s="1"/>
      <c r="G363" s="1"/>
      <c r="H363" s="1"/>
      <c r="I363" s="1"/>
    </row>
    <row r="364" spans="1:9" x14ac:dyDescent="0.25">
      <c r="A364" s="1"/>
      <c r="B364" s="1"/>
      <c r="C364" s="1"/>
      <c r="D364" s="1"/>
      <c r="E364" s="1"/>
      <c r="F364" s="1"/>
      <c r="G364" s="1"/>
      <c r="H364" s="1"/>
      <c r="I364" s="1"/>
    </row>
    <row r="365" spans="1:9" x14ac:dyDescent="0.25">
      <c r="A365" s="1"/>
      <c r="B365" s="1"/>
      <c r="C365" s="1"/>
      <c r="D365" s="1"/>
      <c r="E365" s="1"/>
      <c r="F365" s="1"/>
      <c r="G365" s="1"/>
      <c r="H365" s="1"/>
      <c r="I365" s="1"/>
    </row>
    <row r="366" spans="1:9" x14ac:dyDescent="0.25">
      <c r="B366" s="1"/>
      <c r="C366" s="1"/>
      <c r="D366" s="1"/>
      <c r="E366" s="1"/>
      <c r="F366" s="1"/>
      <c r="G366" s="1"/>
      <c r="H366" s="1"/>
      <c r="I366" s="1"/>
    </row>
    <row r="367" spans="1:9" x14ac:dyDescent="0.25">
      <c r="B367" s="1"/>
      <c r="C367" s="1"/>
      <c r="D367" s="1"/>
      <c r="E367" s="1"/>
      <c r="F367" s="1"/>
      <c r="G367" s="1"/>
      <c r="H367" s="1"/>
      <c r="I367" s="1"/>
    </row>
    <row r="368" spans="1:9" x14ac:dyDescent="0.25">
      <c r="B368" s="1"/>
      <c r="C368" s="1"/>
      <c r="D368" s="1"/>
      <c r="E368" s="1"/>
      <c r="F368" s="1"/>
      <c r="G368" s="1"/>
      <c r="H368" s="1"/>
      <c r="I368" s="1"/>
    </row>
    <row r="369" spans="2:9" x14ac:dyDescent="0.25">
      <c r="B369" s="1"/>
      <c r="C369" s="1"/>
      <c r="D369" s="1"/>
      <c r="E369" s="1"/>
      <c r="F369" s="1"/>
      <c r="G369" s="1"/>
      <c r="H369" s="1"/>
      <c r="I369" s="1"/>
    </row>
    <row r="370" spans="2:9" x14ac:dyDescent="0.25">
      <c r="B370" s="1"/>
      <c r="C370" s="1"/>
      <c r="D370" s="1"/>
      <c r="E370" s="1"/>
      <c r="F370" s="1"/>
      <c r="G370" s="1"/>
      <c r="H370" s="1"/>
      <c r="I370" s="1"/>
    </row>
    <row r="371" spans="2:9" x14ac:dyDescent="0.25">
      <c r="B371" s="1"/>
      <c r="C371" s="1"/>
      <c r="D371" s="1"/>
      <c r="E371" s="1"/>
      <c r="F371" s="1"/>
      <c r="G371" s="1"/>
      <c r="H371" s="1"/>
      <c r="I371" s="1"/>
    </row>
    <row r="372" spans="2:9" x14ac:dyDescent="0.25">
      <c r="B372" s="1"/>
      <c r="C372" s="1"/>
      <c r="D372" s="1"/>
      <c r="E372" s="1"/>
      <c r="F372" s="1"/>
      <c r="G372" s="1"/>
      <c r="H372" s="1"/>
      <c r="I372" s="1"/>
    </row>
    <row r="373" spans="2:9" x14ac:dyDescent="0.25">
      <c r="B373" s="1"/>
      <c r="C373" s="1"/>
      <c r="D373" s="1"/>
      <c r="E373" s="1"/>
      <c r="F373" s="1"/>
      <c r="G373" s="1"/>
      <c r="H373" s="1"/>
      <c r="I373" s="1"/>
    </row>
    <row r="374" spans="2:9" x14ac:dyDescent="0.25">
      <c r="B374" s="1"/>
      <c r="C374" s="1"/>
      <c r="D374" s="1"/>
      <c r="E374" s="1"/>
      <c r="F374" s="1"/>
      <c r="G374" s="1"/>
      <c r="H374" s="1"/>
      <c r="I374" s="1"/>
    </row>
    <row r="375" spans="2:9" x14ac:dyDescent="0.25">
      <c r="B375" s="1"/>
      <c r="C375" s="1"/>
      <c r="D375" s="1"/>
      <c r="E375" s="1"/>
      <c r="F375" s="1"/>
      <c r="G375" s="1"/>
      <c r="H375" s="1"/>
      <c r="I375" s="1"/>
    </row>
    <row r="376" spans="2:9" x14ac:dyDescent="0.25">
      <c r="B376" s="1"/>
      <c r="C376" s="1"/>
      <c r="D376" s="1"/>
      <c r="E376" s="1"/>
      <c r="F376" s="1"/>
      <c r="G376" s="1"/>
      <c r="H376" s="1"/>
      <c r="I376" s="1"/>
    </row>
    <row r="377" spans="2:9" x14ac:dyDescent="0.25">
      <c r="B377" s="1"/>
      <c r="C377" s="1"/>
      <c r="D377" s="1"/>
      <c r="E377" s="1"/>
      <c r="F377" s="1"/>
      <c r="G377" s="1"/>
      <c r="H377" s="1"/>
      <c r="I377" s="1"/>
    </row>
    <row r="378" spans="2:9" x14ac:dyDescent="0.25">
      <c r="B378" s="1"/>
      <c r="C378" s="1"/>
      <c r="D378" s="1"/>
      <c r="E378" s="1"/>
      <c r="F378" s="1"/>
      <c r="G378" s="1"/>
      <c r="H378" s="1"/>
      <c r="I378" s="1"/>
    </row>
    <row r="379" spans="2:9" x14ac:dyDescent="0.25">
      <c r="B379" s="1"/>
      <c r="C379" s="1"/>
      <c r="D379" s="1"/>
      <c r="E379" s="1"/>
      <c r="F379" s="1"/>
      <c r="G379" s="1"/>
      <c r="H379" s="1"/>
      <c r="I379" s="1"/>
    </row>
    <row r="380" spans="2:9" x14ac:dyDescent="0.25">
      <c r="B380" s="1"/>
      <c r="C380" s="1"/>
      <c r="D380" s="1"/>
      <c r="E380" s="1"/>
      <c r="F380" s="1"/>
      <c r="G380" s="1"/>
      <c r="H380" s="1"/>
      <c r="I380" s="1"/>
    </row>
    <row r="381" spans="2:9" x14ac:dyDescent="0.25">
      <c r="B381" s="1"/>
      <c r="C381" s="1"/>
      <c r="D381" s="1"/>
      <c r="E381" s="1"/>
      <c r="F381" s="1"/>
      <c r="G381" s="1"/>
      <c r="H381" s="1"/>
      <c r="I381" s="1"/>
    </row>
    <row r="382" spans="2:9" x14ac:dyDescent="0.25">
      <c r="B382" s="1"/>
      <c r="C382" s="1"/>
      <c r="D382" s="1"/>
      <c r="E382" s="1"/>
      <c r="F382" s="1"/>
      <c r="G382" s="1"/>
      <c r="H382" s="1"/>
      <c r="I382" s="1"/>
    </row>
    <row r="383" spans="2:9" x14ac:dyDescent="0.25">
      <c r="B383" s="1"/>
      <c r="C383" s="1"/>
      <c r="D383" s="1"/>
      <c r="E383" s="1"/>
      <c r="F383" s="1"/>
      <c r="G383" s="1"/>
      <c r="H383" s="1"/>
      <c r="I383" s="1"/>
    </row>
    <row r="384" spans="2:9" x14ac:dyDescent="0.25">
      <c r="B384" s="1"/>
      <c r="C384" s="1"/>
      <c r="D384" s="1"/>
      <c r="E384" s="1"/>
      <c r="F384" s="1"/>
      <c r="G384" s="1"/>
      <c r="H384" s="1"/>
      <c r="I384" s="1"/>
    </row>
    <row r="385" spans="2:9" x14ac:dyDescent="0.25">
      <c r="B385" s="1"/>
      <c r="C385" s="1"/>
      <c r="D385" s="1"/>
      <c r="E385" s="1"/>
      <c r="F385" s="1"/>
      <c r="G385" s="1"/>
      <c r="H385" s="1"/>
      <c r="I385" s="1"/>
    </row>
    <row r="386" spans="2:9" x14ac:dyDescent="0.25">
      <c r="B386" s="1"/>
      <c r="C386" s="1"/>
      <c r="D386" s="1"/>
      <c r="E386" s="1"/>
      <c r="F386" s="1"/>
      <c r="G386" s="1"/>
      <c r="H386" s="1"/>
      <c r="I386" s="1"/>
    </row>
    <row r="387" spans="2:9" x14ac:dyDescent="0.25">
      <c r="B387" s="1"/>
      <c r="C387" s="1"/>
      <c r="D387" s="1"/>
      <c r="E387" s="1"/>
      <c r="F387" s="1"/>
      <c r="G387" s="1"/>
      <c r="H387" s="1"/>
      <c r="I387" s="1"/>
    </row>
    <row r="388" spans="2:9" x14ac:dyDescent="0.25">
      <c r="B388" s="1"/>
      <c r="C388" s="1"/>
      <c r="D388" s="1"/>
      <c r="E388" s="1"/>
      <c r="F388" s="1"/>
      <c r="G388" s="1"/>
      <c r="H388" s="1"/>
      <c r="I388" s="1"/>
    </row>
    <row r="389" spans="2:9" x14ac:dyDescent="0.25">
      <c r="B389" s="1"/>
      <c r="C389" s="1"/>
      <c r="D389" s="1"/>
      <c r="E389" s="1"/>
      <c r="F389" s="1"/>
      <c r="G389" s="1"/>
      <c r="H389" s="1"/>
      <c r="I389" s="1"/>
    </row>
    <row r="390" spans="2:9" x14ac:dyDescent="0.25">
      <c r="B390" s="1"/>
      <c r="C390" s="1"/>
      <c r="D390" s="1"/>
      <c r="E390" s="1"/>
      <c r="F390" s="1"/>
      <c r="G390" s="1"/>
      <c r="H390" s="1"/>
      <c r="I390" s="1"/>
    </row>
    <row r="391" spans="2:9" x14ac:dyDescent="0.25">
      <c r="B391" s="1"/>
      <c r="C391" s="1"/>
      <c r="D391" s="1"/>
      <c r="E391" s="1"/>
      <c r="F391" s="1"/>
      <c r="G391" s="1"/>
      <c r="H391" s="1"/>
      <c r="I391" s="1"/>
    </row>
    <row r="392" spans="2:9" x14ac:dyDescent="0.25">
      <c r="B392" s="1"/>
      <c r="C392" s="1"/>
      <c r="D392" s="1"/>
      <c r="E392" s="1"/>
      <c r="F392" s="1"/>
      <c r="G392" s="1"/>
      <c r="H392" s="1"/>
      <c r="I392" s="1"/>
    </row>
    <row r="393" spans="2:9" x14ac:dyDescent="0.25">
      <c r="B393" s="1"/>
      <c r="C393" s="1"/>
      <c r="D393" s="1"/>
      <c r="E393" s="1"/>
      <c r="F393" s="1"/>
      <c r="G393" s="1"/>
      <c r="H393" s="1"/>
      <c r="I393" s="1"/>
    </row>
    <row r="394" spans="2:9" x14ac:dyDescent="0.25">
      <c r="B394" s="1"/>
      <c r="C394" s="1"/>
      <c r="D394" s="1"/>
      <c r="E394" s="1"/>
      <c r="F394" s="1"/>
      <c r="G394" s="1"/>
      <c r="H394" s="1"/>
      <c r="I394" s="1"/>
    </row>
    <row r="395" spans="2:9" x14ac:dyDescent="0.25">
      <c r="B395" s="1"/>
      <c r="C395" s="1"/>
      <c r="D395" s="1"/>
      <c r="E395" s="1"/>
      <c r="F395" s="1"/>
      <c r="G395" s="1"/>
      <c r="H395" s="1"/>
      <c r="I395" s="1"/>
    </row>
    <row r="396" spans="2:9" x14ac:dyDescent="0.25">
      <c r="B396" s="1"/>
      <c r="C396" s="1"/>
      <c r="D396" s="1"/>
      <c r="E396" s="1"/>
      <c r="F396" s="1"/>
      <c r="G396" s="1"/>
      <c r="H396" s="1"/>
      <c r="I396" s="1"/>
    </row>
    <row r="397" spans="2:9" x14ac:dyDescent="0.25">
      <c r="B397" s="1"/>
      <c r="C397" s="1"/>
      <c r="D397" s="1"/>
      <c r="E397" s="1"/>
      <c r="F397" s="1"/>
      <c r="G397" s="1"/>
      <c r="H397" s="1"/>
      <c r="I397" s="1"/>
    </row>
    <row r="398" spans="2:9" x14ac:dyDescent="0.25">
      <c r="B398" s="1"/>
      <c r="C398" s="1"/>
      <c r="D398" s="1"/>
      <c r="E398" s="1"/>
      <c r="F398" s="1"/>
      <c r="G398" s="1"/>
      <c r="H398" s="1"/>
      <c r="I398" s="1"/>
    </row>
    <row r="399" spans="2:9" x14ac:dyDescent="0.25">
      <c r="B399" s="1"/>
      <c r="C399" s="1"/>
      <c r="D399" s="1"/>
      <c r="E399" s="1"/>
      <c r="F399" s="1"/>
      <c r="G399" s="1"/>
      <c r="H399" s="1"/>
      <c r="I399" s="1"/>
    </row>
    <row r="400" spans="2:9" x14ac:dyDescent="0.25">
      <c r="B400" s="1"/>
      <c r="C400" s="1"/>
      <c r="D400" s="1"/>
      <c r="E400" s="1"/>
      <c r="F400" s="1"/>
      <c r="G400" s="1"/>
      <c r="H400" s="1"/>
      <c r="I400" s="1"/>
    </row>
    <row r="401" spans="2:9" x14ac:dyDescent="0.25">
      <c r="B401" s="1"/>
      <c r="C401" s="1"/>
      <c r="D401" s="1"/>
      <c r="E401" s="1"/>
      <c r="F401" s="1"/>
      <c r="G401" s="1"/>
      <c r="H401" s="1"/>
      <c r="I401" s="1"/>
    </row>
    <row r="402" spans="2:9" x14ac:dyDescent="0.25">
      <c r="B402" s="1"/>
      <c r="C402" s="1"/>
      <c r="D402" s="1"/>
      <c r="E402" s="1"/>
      <c r="F402" s="1"/>
      <c r="G402" s="1"/>
      <c r="H402" s="1"/>
      <c r="I402" s="1"/>
    </row>
    <row r="403" spans="2:9" x14ac:dyDescent="0.25">
      <c r="B403" s="1"/>
      <c r="C403" s="1"/>
      <c r="D403" s="1"/>
      <c r="E403" s="1"/>
      <c r="F403" s="1"/>
      <c r="G403" s="1"/>
      <c r="H403" s="1"/>
      <c r="I403" s="1"/>
    </row>
    <row r="404" spans="2:9" x14ac:dyDescent="0.25">
      <c r="B404" s="1"/>
      <c r="C404" s="1"/>
      <c r="D404" s="1"/>
      <c r="E404" s="1"/>
      <c r="F404" s="1"/>
      <c r="G404" s="1"/>
      <c r="H404" s="1"/>
      <c r="I404" s="1"/>
    </row>
    <row r="405" spans="2:9" x14ac:dyDescent="0.25">
      <c r="B405" s="1"/>
      <c r="C405" s="1"/>
      <c r="D405" s="1"/>
      <c r="E405" s="1"/>
      <c r="F405" s="1"/>
      <c r="G405" s="1"/>
      <c r="H405" s="1"/>
      <c r="I405" s="1"/>
    </row>
    <row r="406" spans="2:9" x14ac:dyDescent="0.25">
      <c r="B406" s="1"/>
      <c r="C406" s="1"/>
      <c r="D406" s="1"/>
      <c r="E406" s="1"/>
      <c r="F406" s="1"/>
      <c r="G406" s="1"/>
      <c r="H406" s="1"/>
      <c r="I406" s="1"/>
    </row>
    <row r="407" spans="2:9" x14ac:dyDescent="0.25">
      <c r="B407" s="1"/>
      <c r="C407" s="1"/>
      <c r="D407" s="1"/>
      <c r="E407" s="1"/>
      <c r="F407" s="1"/>
      <c r="G407" s="1"/>
      <c r="H407" s="1"/>
      <c r="I407" s="1"/>
    </row>
    <row r="408" spans="2:9" x14ac:dyDescent="0.25">
      <c r="B408" s="1"/>
      <c r="C408" s="1"/>
      <c r="D408" s="1"/>
      <c r="E408" s="1"/>
      <c r="F408" s="1"/>
      <c r="G408" s="1"/>
      <c r="H408" s="1"/>
      <c r="I408" s="1"/>
    </row>
    <row r="409" spans="2:9" x14ac:dyDescent="0.25">
      <c r="B409" s="1"/>
      <c r="C409" s="1"/>
      <c r="D409" s="1"/>
      <c r="E409" s="1"/>
      <c r="F409" s="1"/>
      <c r="G409" s="1"/>
      <c r="H409" s="1"/>
      <c r="I409" s="1"/>
    </row>
    <row r="410" spans="2:9" x14ac:dyDescent="0.25">
      <c r="B410" s="1"/>
      <c r="C410" s="1"/>
      <c r="D410" s="1"/>
      <c r="E410" s="1"/>
      <c r="F410" s="1"/>
      <c r="G410" s="1"/>
      <c r="H410" s="1"/>
      <c r="I410" s="1"/>
    </row>
    <row r="411" spans="2:9" x14ac:dyDescent="0.25">
      <c r="B411" s="1"/>
      <c r="C411" s="1"/>
      <c r="D411" s="1"/>
      <c r="E411" s="1"/>
      <c r="F411" s="1"/>
      <c r="G411" s="1"/>
      <c r="H411" s="1"/>
      <c r="I411" s="1"/>
    </row>
    <row r="412" spans="2:9" x14ac:dyDescent="0.25">
      <c r="B412" s="1"/>
      <c r="C412" s="1"/>
      <c r="D412" s="1"/>
      <c r="E412" s="1"/>
      <c r="F412" s="1"/>
      <c r="G412" s="1"/>
      <c r="H412" s="1"/>
      <c r="I412" s="1"/>
    </row>
    <row r="413" spans="2:9" x14ac:dyDescent="0.25">
      <c r="B413" s="1"/>
      <c r="C413" s="1"/>
      <c r="D413" s="1"/>
      <c r="E413" s="1"/>
      <c r="F413" s="1"/>
      <c r="G413" s="1"/>
      <c r="H413" s="1"/>
      <c r="I413" s="1"/>
    </row>
    <row r="414" spans="2:9" x14ac:dyDescent="0.25">
      <c r="B414" s="1"/>
      <c r="C414" s="1"/>
      <c r="D414" s="1"/>
      <c r="E414" s="1"/>
      <c r="F414" s="1"/>
      <c r="G414" s="1"/>
      <c r="H414" s="1"/>
      <c r="I414" s="1"/>
    </row>
    <row r="415" spans="2:9" x14ac:dyDescent="0.25">
      <c r="B415" s="1"/>
      <c r="C415" s="1"/>
      <c r="D415" s="1"/>
      <c r="E415" s="1"/>
      <c r="F415" s="1"/>
      <c r="G415" s="1"/>
      <c r="H415" s="1"/>
      <c r="I415" s="1"/>
    </row>
    <row r="416" spans="2:9" x14ac:dyDescent="0.25">
      <c r="B416" s="1"/>
      <c r="C416" s="1"/>
      <c r="D416" s="1"/>
      <c r="E416" s="1"/>
      <c r="F416" s="1"/>
      <c r="G416" s="1"/>
      <c r="H416" s="1"/>
      <c r="I416" s="1"/>
    </row>
    <row r="417" spans="2:9" x14ac:dyDescent="0.25">
      <c r="B417" s="1"/>
      <c r="C417" s="1"/>
      <c r="D417" s="1"/>
      <c r="E417" s="1"/>
      <c r="F417" s="1"/>
      <c r="G417" s="1"/>
      <c r="H417" s="1"/>
      <c r="I417" s="1"/>
    </row>
    <row r="418" spans="2:9" x14ac:dyDescent="0.25">
      <c r="B418" s="1"/>
      <c r="C418" s="1"/>
      <c r="D418" s="1"/>
      <c r="E418" s="1"/>
      <c r="F418" s="1"/>
      <c r="G418" s="1"/>
      <c r="H418" s="1"/>
      <c r="I418" s="1"/>
    </row>
    <row r="419" spans="2:9" x14ac:dyDescent="0.25">
      <c r="B419" s="1"/>
      <c r="C419" s="1"/>
      <c r="D419" s="1"/>
      <c r="E419" s="1"/>
      <c r="F419" s="1"/>
      <c r="G419" s="1"/>
      <c r="H419" s="1"/>
      <c r="I419" s="1"/>
    </row>
    <row r="420" spans="2:9" x14ac:dyDescent="0.25">
      <c r="B420" s="1"/>
      <c r="C420" s="1"/>
      <c r="D420" s="1"/>
      <c r="E420" s="1"/>
      <c r="F420" s="1"/>
      <c r="G420" s="1"/>
      <c r="H420" s="1"/>
      <c r="I420" s="1"/>
    </row>
    <row r="421" spans="2:9" x14ac:dyDescent="0.25">
      <c r="B421" s="1"/>
      <c r="C421" s="1"/>
      <c r="D421" s="1"/>
      <c r="E421" s="1"/>
      <c r="F421" s="1"/>
      <c r="G421" s="1"/>
      <c r="H421" s="1"/>
      <c r="I421" s="1"/>
    </row>
    <row r="422" spans="2:9" x14ac:dyDescent="0.25">
      <c r="B422" s="1"/>
      <c r="C422" s="1"/>
      <c r="D422" s="1"/>
      <c r="E422" s="1"/>
      <c r="F422" s="1"/>
      <c r="G422" s="1"/>
      <c r="H422" s="1"/>
      <c r="I422" s="1"/>
    </row>
    <row r="423" spans="2:9" x14ac:dyDescent="0.25">
      <c r="B423" s="1"/>
      <c r="C423" s="1"/>
      <c r="D423" s="1"/>
      <c r="E423" s="1"/>
      <c r="F423" s="1"/>
      <c r="G423" s="1"/>
      <c r="H423" s="1"/>
      <c r="I423" s="1"/>
    </row>
    <row r="424" spans="2:9" x14ac:dyDescent="0.25">
      <c r="B424" s="1"/>
      <c r="C424" s="1"/>
      <c r="D424" s="1"/>
      <c r="E424" s="1"/>
      <c r="F424" s="1"/>
      <c r="G424" s="1"/>
      <c r="H424" s="1"/>
      <c r="I424" s="1"/>
    </row>
    <row r="425" spans="2:9" x14ac:dyDescent="0.25">
      <c r="B425" s="1"/>
      <c r="C425" s="1"/>
      <c r="D425" s="1"/>
      <c r="E425" s="1"/>
      <c r="F425" s="1"/>
      <c r="G425" s="1"/>
      <c r="H425" s="1"/>
      <c r="I425" s="1"/>
    </row>
    <row r="426" spans="2:9" x14ac:dyDescent="0.25">
      <c r="B426" s="1"/>
      <c r="C426" s="1"/>
      <c r="D426" s="1"/>
      <c r="E426" s="1"/>
      <c r="F426" s="1"/>
      <c r="G426" s="1"/>
      <c r="H426" s="1"/>
      <c r="I426" s="1"/>
    </row>
    <row r="427" spans="2:9" x14ac:dyDescent="0.25">
      <c r="B427" s="1"/>
      <c r="C427" s="1"/>
      <c r="D427" s="1"/>
      <c r="E427" s="1"/>
      <c r="F427" s="1"/>
      <c r="G427" s="1"/>
      <c r="H427" s="1"/>
      <c r="I427" s="1"/>
    </row>
    <row r="428" spans="2:9" x14ac:dyDescent="0.25">
      <c r="B428" s="1"/>
      <c r="C428" s="1"/>
      <c r="D428" s="1"/>
      <c r="E428" s="1"/>
      <c r="F428" s="1"/>
      <c r="G428" s="1"/>
      <c r="H428" s="1"/>
      <c r="I428" s="1"/>
    </row>
    <row r="429" spans="2:9" x14ac:dyDescent="0.25">
      <c r="B429" s="1"/>
      <c r="C429" s="1"/>
      <c r="D429" s="1"/>
      <c r="E429" s="1"/>
      <c r="F429" s="1"/>
      <c r="G429" s="1"/>
      <c r="H429" s="1"/>
      <c r="I429" s="1"/>
    </row>
    <row r="430" spans="2:9" x14ac:dyDescent="0.25">
      <c r="B430" s="1"/>
      <c r="C430" s="1"/>
      <c r="D430" s="1"/>
      <c r="E430" s="1"/>
      <c r="F430" s="1"/>
      <c r="G430" s="1"/>
      <c r="H430" s="1"/>
      <c r="I430" s="1"/>
    </row>
    <row r="431" spans="2:9" x14ac:dyDescent="0.25">
      <c r="B431" s="1"/>
      <c r="C431" s="1"/>
      <c r="D431" s="1"/>
      <c r="E431" s="1"/>
      <c r="F431" s="1"/>
      <c r="G431" s="1"/>
      <c r="H431" s="1"/>
      <c r="I431" s="1"/>
    </row>
    <row r="432" spans="2:9" x14ac:dyDescent="0.25">
      <c r="B432" s="1"/>
      <c r="C432" s="1"/>
      <c r="D432" s="1"/>
      <c r="E432" s="1"/>
      <c r="F432" s="1"/>
      <c r="G432" s="1"/>
      <c r="H432" s="1"/>
      <c r="I432" s="1"/>
    </row>
    <row r="433" spans="2:9" x14ac:dyDescent="0.25">
      <c r="B433" s="1"/>
      <c r="C433" s="1"/>
      <c r="D433" s="1"/>
      <c r="E433" s="1"/>
      <c r="F433" s="1"/>
      <c r="G433" s="1"/>
      <c r="H433" s="1"/>
      <c r="I433" s="1"/>
    </row>
    <row r="434" spans="2:9" x14ac:dyDescent="0.25">
      <c r="B434" s="1"/>
      <c r="C434" s="1"/>
      <c r="D434" s="1"/>
      <c r="E434" s="1"/>
      <c r="F434" s="1"/>
      <c r="G434" s="1"/>
      <c r="H434" s="1"/>
      <c r="I434" s="1"/>
    </row>
    <row r="435" spans="2:9" x14ac:dyDescent="0.25">
      <c r="B435" s="1"/>
      <c r="C435" s="1"/>
      <c r="D435" s="1"/>
      <c r="E435" s="1"/>
      <c r="F435" s="1"/>
      <c r="G435" s="1"/>
      <c r="H435" s="1"/>
      <c r="I435" s="1"/>
    </row>
    <row r="436" spans="2:9" x14ac:dyDescent="0.25">
      <c r="B436" s="1"/>
      <c r="C436" s="1"/>
      <c r="D436" s="1"/>
      <c r="E436" s="1"/>
      <c r="F436" s="1"/>
      <c r="G436" s="1"/>
      <c r="H436" s="1"/>
      <c r="I436" s="1"/>
    </row>
    <row r="437" spans="2:9" x14ac:dyDescent="0.25">
      <c r="B437" s="1"/>
      <c r="C437" s="1"/>
      <c r="D437" s="1"/>
      <c r="E437" s="1"/>
      <c r="F437" s="1"/>
      <c r="G437" s="1"/>
      <c r="H437" s="1"/>
      <c r="I437" s="1"/>
    </row>
    <row r="438" spans="2:9" x14ac:dyDescent="0.25">
      <c r="B438" s="1"/>
      <c r="C438" s="1"/>
      <c r="D438" s="1"/>
      <c r="E438" s="1"/>
      <c r="F438" s="1"/>
      <c r="G438" s="1"/>
      <c r="H438" s="1"/>
      <c r="I438" s="1"/>
    </row>
    <row r="439" spans="2:9" x14ac:dyDescent="0.25">
      <c r="B439" s="1"/>
      <c r="C439" s="1"/>
      <c r="D439" s="1"/>
      <c r="E439" s="1"/>
      <c r="F439" s="1"/>
      <c r="G439" s="1"/>
      <c r="H439" s="1"/>
      <c r="I439" s="1"/>
    </row>
    <row r="440" spans="2:9" x14ac:dyDescent="0.25">
      <c r="B440" s="1"/>
      <c r="C440" s="1"/>
      <c r="D440" s="1"/>
      <c r="E440" s="1"/>
      <c r="F440" s="1"/>
      <c r="G440" s="1"/>
      <c r="H440" s="1"/>
      <c r="I440" s="1"/>
    </row>
    <row r="441" spans="2:9" x14ac:dyDescent="0.25">
      <c r="B441" s="1"/>
      <c r="C441" s="1"/>
      <c r="D441" s="1"/>
      <c r="E441" s="1"/>
      <c r="F441" s="1"/>
      <c r="G441" s="1"/>
      <c r="H441" s="1"/>
      <c r="I441" s="1"/>
    </row>
    <row r="442" spans="2:9" x14ac:dyDescent="0.25">
      <c r="B442" s="1"/>
      <c r="C442" s="1"/>
      <c r="D442" s="1"/>
      <c r="E442" s="1"/>
      <c r="F442" s="1"/>
      <c r="G442" s="1"/>
      <c r="H442" s="1"/>
      <c r="I442" s="1"/>
    </row>
    <row r="443" spans="2:9" x14ac:dyDescent="0.25">
      <c r="B443" s="1"/>
      <c r="C443" s="1"/>
      <c r="D443" s="1"/>
      <c r="E443" s="1"/>
      <c r="F443" s="1"/>
      <c r="G443" s="1"/>
      <c r="H443" s="1"/>
      <c r="I443" s="1"/>
    </row>
    <row r="444" spans="2:9" x14ac:dyDescent="0.25">
      <c r="B444" s="1"/>
      <c r="C444" s="1"/>
      <c r="D444" s="1"/>
      <c r="E444" s="1"/>
      <c r="F444" s="1"/>
      <c r="G444" s="1"/>
      <c r="H444" s="1"/>
      <c r="I444" s="1"/>
    </row>
    <row r="445" spans="2:9" x14ac:dyDescent="0.25">
      <c r="B445" s="1"/>
      <c r="C445" s="1"/>
      <c r="D445" s="1"/>
      <c r="E445" s="1"/>
      <c r="F445" s="1"/>
      <c r="G445" s="1"/>
      <c r="H445" s="1"/>
      <c r="I445" s="1"/>
    </row>
    <row r="446" spans="2:9" x14ac:dyDescent="0.25">
      <c r="B446" s="1"/>
      <c r="C446" s="1"/>
      <c r="D446" s="1"/>
      <c r="E446" s="1"/>
      <c r="F446" s="1"/>
      <c r="G446" s="1"/>
      <c r="H446" s="1"/>
      <c r="I446" s="1"/>
    </row>
    <row r="447" spans="2:9" x14ac:dyDescent="0.25">
      <c r="B447" s="1"/>
      <c r="C447" s="1"/>
      <c r="D447" s="1"/>
      <c r="E447" s="1"/>
      <c r="F447" s="1"/>
      <c r="G447" s="1"/>
      <c r="H447" s="1"/>
      <c r="I447" s="1"/>
    </row>
    <row r="448" spans="2:9" x14ac:dyDescent="0.25">
      <c r="B448" s="1"/>
      <c r="C448" s="1"/>
      <c r="D448" s="1"/>
      <c r="E448" s="1"/>
      <c r="F448" s="1"/>
      <c r="G448" s="1"/>
      <c r="H448" s="1"/>
      <c r="I448" s="1"/>
    </row>
    <row r="449" spans="2:9" x14ac:dyDescent="0.25">
      <c r="B449" s="1"/>
      <c r="C449" s="1"/>
      <c r="D449" s="1"/>
      <c r="E449" s="1"/>
      <c r="F449" s="1"/>
      <c r="G449" s="1"/>
      <c r="H449" s="1"/>
      <c r="I449" s="1"/>
    </row>
    <row r="450" spans="2:9" x14ac:dyDescent="0.25">
      <c r="B450" s="1"/>
      <c r="C450" s="1"/>
      <c r="D450" s="1"/>
      <c r="E450" s="1"/>
      <c r="F450" s="1"/>
      <c r="G450" s="1"/>
      <c r="H450" s="1"/>
      <c r="I450" s="1"/>
    </row>
    <row r="451" spans="2:9" x14ac:dyDescent="0.25">
      <c r="B451" s="1"/>
      <c r="C451" s="1"/>
      <c r="D451" s="1"/>
      <c r="E451" s="1"/>
      <c r="F451" s="1"/>
      <c r="G451" s="1"/>
      <c r="H451" s="1"/>
      <c r="I451" s="1"/>
    </row>
    <row r="452" spans="2:9" x14ac:dyDescent="0.25">
      <c r="B452" s="1"/>
      <c r="C452" s="1"/>
      <c r="D452" s="1"/>
      <c r="E452" s="1"/>
      <c r="F452" s="1"/>
      <c r="G452" s="1"/>
      <c r="H452" s="1"/>
      <c r="I452" s="1"/>
    </row>
    <row r="453" spans="2:9" x14ac:dyDescent="0.25">
      <c r="B453" s="1"/>
      <c r="C453" s="1"/>
      <c r="D453" s="1"/>
      <c r="E453" s="1"/>
      <c r="F453" s="1"/>
      <c r="G453" s="1"/>
      <c r="H453" s="1"/>
      <c r="I453" s="1"/>
    </row>
    <row r="454" spans="2:9" x14ac:dyDescent="0.25">
      <c r="B454" s="1"/>
      <c r="C454" s="1"/>
      <c r="D454" s="1"/>
      <c r="E454" s="1"/>
      <c r="F454" s="1"/>
      <c r="G454" s="1"/>
      <c r="H454" s="1"/>
      <c r="I454" s="1"/>
    </row>
    <row r="455" spans="2:9" x14ac:dyDescent="0.25">
      <c r="B455" s="1"/>
      <c r="C455" s="1"/>
      <c r="D455" s="1"/>
      <c r="E455" s="1"/>
      <c r="F455" s="1"/>
      <c r="G455" s="1"/>
      <c r="H455" s="1"/>
      <c r="I455" s="1"/>
    </row>
    <row r="456" spans="2:9" x14ac:dyDescent="0.25">
      <c r="B456" s="1"/>
      <c r="C456" s="1"/>
      <c r="D456" s="1"/>
      <c r="E456" s="1"/>
      <c r="F456" s="1"/>
      <c r="G456" s="1"/>
      <c r="H456" s="1"/>
      <c r="I456" s="1"/>
    </row>
    <row r="457" spans="2:9" x14ac:dyDescent="0.25">
      <c r="B457" s="1"/>
      <c r="C457" s="1"/>
      <c r="D457" s="1"/>
      <c r="E457" s="1"/>
      <c r="F457" s="1"/>
      <c r="G457" s="1"/>
      <c r="H457" s="1"/>
      <c r="I457" s="1"/>
    </row>
    <row r="458" spans="2:9" x14ac:dyDescent="0.25">
      <c r="B458" s="1"/>
      <c r="C458" s="1"/>
      <c r="D458" s="1"/>
      <c r="E458" s="1"/>
      <c r="F458" s="1"/>
      <c r="G458" s="1"/>
      <c r="H458" s="1"/>
      <c r="I458" s="1"/>
    </row>
    <row r="459" spans="2:9" x14ac:dyDescent="0.25">
      <c r="B459" s="1"/>
      <c r="C459" s="1"/>
      <c r="D459" s="1"/>
      <c r="E459" s="1"/>
      <c r="F459" s="1"/>
      <c r="G459" s="1"/>
      <c r="H459" s="1"/>
      <c r="I459" s="1"/>
    </row>
  </sheetData>
  <sheetProtection algorithmName="SHA-512" hashValue="iXDp9J/411lWCdr6kL1dgRJdiGOqYycYCk5FsM+gP1x6i8ejhZXTuKhF1Y7MbhIjJa6XcerkwL0NE4uTSRFU2w==" saltValue="gDswP1aM5EMEJPIPPkjKQg==" spinCount="100000" sheet="1" objects="1" scenarios="1"/>
  <mergeCells count="37">
    <mergeCell ref="A1:J1"/>
    <mergeCell ref="B20:I20"/>
    <mergeCell ref="B16:E16"/>
    <mergeCell ref="F16:I16"/>
    <mergeCell ref="B17:E17"/>
    <mergeCell ref="F17:I17"/>
    <mergeCell ref="B18:I18"/>
    <mergeCell ref="C19:I19"/>
    <mergeCell ref="B13:E13"/>
    <mergeCell ref="F13:I13"/>
    <mergeCell ref="B14:E14"/>
    <mergeCell ref="F14:I14"/>
    <mergeCell ref="B15:E15"/>
    <mergeCell ref="F15:I15"/>
    <mergeCell ref="B10:E10"/>
    <mergeCell ref="F10:I10"/>
    <mergeCell ref="B11:E11"/>
    <mergeCell ref="F11:I11"/>
    <mergeCell ref="B12:E12"/>
    <mergeCell ref="F12:I12"/>
    <mergeCell ref="B7:E7"/>
    <mergeCell ref="F7:I7"/>
    <mergeCell ref="B8:E8"/>
    <mergeCell ref="F8:I8"/>
    <mergeCell ref="B9:E9"/>
    <mergeCell ref="F9:I9"/>
    <mergeCell ref="B3:I3"/>
    <mergeCell ref="B4:I4"/>
    <mergeCell ref="B5:E5"/>
    <mergeCell ref="F5:I5"/>
    <mergeCell ref="B6:E6"/>
    <mergeCell ref="F6:I6"/>
    <mergeCell ref="B22:H22"/>
    <mergeCell ref="B24:D24"/>
    <mergeCell ref="E24:G24"/>
    <mergeCell ref="B23:I23"/>
    <mergeCell ref="B21:H21"/>
  </mergeCells>
  <conditionalFormatting sqref="F7:I7">
    <cfRule type="expression" dxfId="171" priority="3">
      <formula>$F$7=""</formula>
    </cfRule>
  </conditionalFormatting>
  <conditionalFormatting sqref="F8:I8">
    <cfRule type="expression" dxfId="170" priority="2">
      <formula>$F$8=""</formula>
    </cfRule>
  </conditionalFormatting>
  <conditionalFormatting sqref="F10:I10">
    <cfRule type="expression" dxfId="169" priority="1">
      <formula>$F$10=""</formula>
    </cfRule>
  </conditionalFormatting>
  <dataValidations count="3">
    <dataValidation type="list" allowBlank="1" showInputMessage="1" showErrorMessage="1" sqref="F9 F16:F17 F11" xr:uid="{96BA23C0-4F48-4669-890A-219B386031CE}">
      <formula1>"Yes, No"</formula1>
    </dataValidation>
    <dataValidation type="list" allowBlank="1" showInputMessage="1" showErrorMessage="1" sqref="F12:I12" xr:uid="{5EA29C2D-22A9-41FE-A57C-A5C466A1659B}">
      <formula1>"Virtual, On Site"</formula1>
    </dataValidation>
    <dataValidation type="list" allowBlank="1" sqref="I21:I22" xr:uid="{1AC54071-4FD5-48AC-85F4-2060019D48F8}">
      <formula1>"Yes,No"</formula1>
    </dataValidation>
  </dataValidations>
  <pageMargins left="0.7" right="0.7" top="0.75" bottom="0.75" header="0.3" footer="0.3"/>
  <pageSetup scale="61" orientation="portrait" r:id="rId1"/>
  <headerFooter>
    <oddFooter>&amp;LPRE-INSTALLATION INSPECTION FORM</oddFooter>
  </headerFooter>
  <colBreaks count="1" manualBreakCount="1">
    <brk id="9"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20DCE-A32F-4EAA-903E-2154E6DC273F}">
  <sheetPr>
    <pageSetUpPr fitToPage="1"/>
  </sheetPr>
  <dimension ref="B1:N60"/>
  <sheetViews>
    <sheetView zoomScale="120" zoomScaleNormal="120" workbookViewId="0">
      <selection activeCell="S18" sqref="S18"/>
    </sheetView>
  </sheetViews>
  <sheetFormatPr defaultColWidth="9.140625" defaultRowHeight="15" x14ac:dyDescent="0.25"/>
  <cols>
    <col min="1" max="1" width="4.28515625" style="1" customWidth="1"/>
    <col min="2" max="2" width="4.7109375" style="63" bestFit="1" customWidth="1"/>
    <col min="3" max="3" width="7.140625" style="63" customWidth="1"/>
    <col min="4" max="4" width="14" style="63" customWidth="1"/>
    <col min="5" max="5" width="23.5703125" style="63" customWidth="1"/>
    <col min="6" max="7" width="10" style="63" bestFit="1" customWidth="1"/>
    <col min="8" max="8" width="7.85546875" style="63" bestFit="1" customWidth="1"/>
    <col min="9" max="9" width="8.42578125" style="63" bestFit="1" customWidth="1"/>
    <col min="10" max="10" width="9.5703125" style="63" customWidth="1"/>
    <col min="11" max="11" width="9.140625" style="63" customWidth="1"/>
    <col min="12" max="12" width="12.28515625" style="63" customWidth="1"/>
    <col min="13" max="13" width="12.5703125" style="63" customWidth="1"/>
    <col min="14" max="14" width="6.42578125" style="63" customWidth="1"/>
    <col min="15" max="16384" width="9.140625" style="1"/>
  </cols>
  <sheetData>
    <row r="1" spans="2:14" ht="15.75" x14ac:dyDescent="0.25">
      <c r="C1" s="1044" t="s">
        <v>48</v>
      </c>
      <c r="D1" s="1044"/>
      <c r="E1" s="1044"/>
      <c r="F1" s="1044"/>
      <c r="G1" s="1044"/>
      <c r="H1" s="1044"/>
      <c r="I1" s="1044"/>
      <c r="J1" s="1044"/>
      <c r="K1" s="1044"/>
      <c r="L1" s="1044"/>
      <c r="M1" s="1044"/>
    </row>
    <row r="2" spans="2:14" ht="27.75" customHeight="1" x14ac:dyDescent="0.25">
      <c r="C2" s="147"/>
      <c r="D2" s="779"/>
      <c r="E2" s="1070" t="str">
        <f>'Window - MRD'!$E$2</f>
        <v>New York - Electric and Gas Small Business Program</v>
      </c>
      <c r="F2" s="1070"/>
      <c r="G2" s="1070"/>
      <c r="H2" s="1070"/>
      <c r="I2" s="1070"/>
      <c r="J2" s="1070"/>
      <c r="K2" s="1070"/>
      <c r="L2" s="1070"/>
      <c r="M2" s="1071"/>
    </row>
    <row r="3" spans="2:14" ht="27.75" customHeight="1" x14ac:dyDescent="0.35">
      <c r="C3" s="148"/>
      <c r="D3" s="780"/>
      <c r="E3" s="802"/>
      <c r="F3" s="1072" t="s">
        <v>644</v>
      </c>
      <c r="G3" s="1072"/>
      <c r="H3" s="1072"/>
      <c r="I3" s="1072"/>
      <c r="J3" s="1072"/>
      <c r="K3" s="1072"/>
      <c r="L3" s="1072"/>
      <c r="M3" s="1073"/>
    </row>
    <row r="4" spans="2:14" x14ac:dyDescent="0.25">
      <c r="C4" s="99"/>
      <c r="D4" s="99"/>
      <c r="E4" s="99"/>
      <c r="F4" s="99"/>
      <c r="G4" s="99"/>
      <c r="H4" s="99"/>
      <c r="I4" s="99"/>
      <c r="J4" s="99"/>
      <c r="K4" s="99"/>
      <c r="L4" s="99"/>
      <c r="M4" s="99"/>
    </row>
    <row r="5" spans="2:14" x14ac:dyDescent="0.25">
      <c r="C5" s="1075" t="s">
        <v>645</v>
      </c>
      <c r="D5" s="1075"/>
      <c r="E5" s="781" t="str">
        <f>IF('Window - MRD'!$D$5="", "", 'Window - MRD'!$D$5)</f>
        <v/>
      </c>
      <c r="F5" s="777"/>
      <c r="G5" s="777"/>
      <c r="H5" s="777"/>
      <c r="I5" s="777"/>
      <c r="J5" s="777"/>
      <c r="K5" s="775" t="s">
        <v>646</v>
      </c>
      <c r="L5" s="76"/>
      <c r="M5" s="782" t="str">
        <f>IF('Window - MRD'!$I$5="", "", 'Window - MRD'!$I$5)</f>
        <v/>
      </c>
    </row>
    <row r="6" spans="2:14" x14ac:dyDescent="0.25">
      <c r="C6" s="1075" t="s">
        <v>134</v>
      </c>
      <c r="D6" s="1075"/>
      <c r="E6" s="776" t="str">
        <f>IF('Window - MRD'!$D$6="",  "", 'Window - MRD'!$D$6)</f>
        <v/>
      </c>
      <c r="F6" s="777"/>
      <c r="G6" s="777"/>
      <c r="H6" s="777"/>
      <c r="I6" s="777"/>
      <c r="J6" s="777"/>
      <c r="K6" s="775" t="s">
        <v>647</v>
      </c>
      <c r="L6" s="76"/>
      <c r="M6" s="788" t="str">
        <f>IF('Window - MRD'!$I$6="", "", 'Window - MRD'!$I$6)</f>
        <v/>
      </c>
    </row>
    <row r="7" spans="2:14" x14ac:dyDescent="0.25">
      <c r="C7" s="1075" t="s">
        <v>648</v>
      </c>
      <c r="D7" s="1075"/>
      <c r="E7" s="776" t="str">
        <f>IF('Window - MRD'!$D$7="", "", 'Window - MRD'!$D$7)</f>
        <v/>
      </c>
      <c r="F7" s="777"/>
      <c r="G7" s="777"/>
      <c r="H7" s="777"/>
      <c r="I7" s="777"/>
      <c r="J7" s="777"/>
      <c r="K7" s="775" t="s">
        <v>649</v>
      </c>
      <c r="L7" s="76"/>
      <c r="M7" s="788" t="str">
        <f>IF('Window - MRD'!$I$7="", "",'Window - MRD'!$I$7)</f>
        <v/>
      </c>
    </row>
    <row r="8" spans="2:14" x14ac:dyDescent="0.25">
      <c r="C8" s="99"/>
      <c r="D8" s="99"/>
      <c r="E8" s="99"/>
      <c r="F8" s="99"/>
      <c r="G8" s="99"/>
      <c r="H8" s="99"/>
      <c r="I8" s="99"/>
      <c r="J8" s="99"/>
      <c r="K8" s="99"/>
      <c r="L8" s="99"/>
      <c r="M8" s="99"/>
    </row>
    <row r="9" spans="2:14" s="808" customFormat="1" ht="42" customHeight="1" x14ac:dyDescent="0.2">
      <c r="B9" s="806" t="s">
        <v>133</v>
      </c>
      <c r="C9" s="806" t="s">
        <v>599</v>
      </c>
      <c r="D9" s="806" t="s">
        <v>462</v>
      </c>
      <c r="E9" s="806" t="s">
        <v>134</v>
      </c>
      <c r="F9" s="807" t="s">
        <v>463</v>
      </c>
      <c r="G9" s="807" t="s">
        <v>464</v>
      </c>
      <c r="H9" s="806" t="s">
        <v>465</v>
      </c>
      <c r="I9" s="807" t="s">
        <v>466</v>
      </c>
      <c r="J9" s="807" t="s">
        <v>467</v>
      </c>
      <c r="K9" s="807" t="s">
        <v>468</v>
      </c>
      <c r="L9" s="807" t="s">
        <v>469</v>
      </c>
      <c r="M9" s="807" t="str">
        <f>IF(Window!$P$24="", "", Window!$P$24)</f>
        <v>NFRC Certification Number</v>
      </c>
      <c r="N9" s="806" t="s">
        <v>678</v>
      </c>
    </row>
    <row r="10" spans="2:14" s="812" customFormat="1" ht="18" customHeight="1" x14ac:dyDescent="0.25">
      <c r="B10" s="809">
        <v>1</v>
      </c>
      <c r="C10" s="809" t="str">
        <f>IF(Window!C25="", "", Window!C25)</f>
        <v/>
      </c>
      <c r="D10" s="809" t="str">
        <f>IF(Window!D25="", "", Window!D25)</f>
        <v/>
      </c>
      <c r="E10" s="809" t="str">
        <f>IF(Window!E25="", "", Window!E25)</f>
        <v/>
      </c>
      <c r="F10" s="809" t="str">
        <f>IF(Window!F25="", "", TEXT(Window!F25,"#0.0")&amp;" "&amp;Window!G25)</f>
        <v/>
      </c>
      <c r="G10" s="809" t="str">
        <f>IF(Window!H25="", "", TEXT(Window!H25,"#0.0")&amp;" "&amp;Window!I25)</f>
        <v/>
      </c>
      <c r="H10" s="820">
        <f>IF(Window!J25="", "", Window!J25)</f>
        <v>0</v>
      </c>
      <c r="I10" s="809" t="str">
        <f>IF(Window!K25="", "", Window!K25)</f>
        <v/>
      </c>
      <c r="J10" s="811" t="str">
        <f>IF(Window!L25="", "", Window!L25)</f>
        <v/>
      </c>
      <c r="K10" s="811" t="str">
        <f>IF(Window!M25="", "", Window!M25)</f>
        <v/>
      </c>
      <c r="L10" s="809" t="str">
        <f>IF(Window!N25="", "", Window!N25)</f>
        <v/>
      </c>
      <c r="M10" s="809" t="str">
        <f>IF(Window!P25="", "N/A", Window!P25)</f>
        <v>N/A</v>
      </c>
      <c r="N10" s="401"/>
    </row>
    <row r="11" spans="2:14" s="812" customFormat="1" ht="18" customHeight="1" x14ac:dyDescent="0.25">
      <c r="B11" s="809">
        <v>2</v>
      </c>
      <c r="C11" s="809" t="str">
        <f>IF(Window!C26="", "", Window!C26)</f>
        <v/>
      </c>
      <c r="D11" s="809" t="str">
        <f>IF(Window!D26="", "", Window!D26)</f>
        <v/>
      </c>
      <c r="E11" s="809" t="str">
        <f>IF(Window!E26="", "", Window!E26)</f>
        <v/>
      </c>
      <c r="F11" s="809" t="str">
        <f>IF(Window!F26="", "", TEXT(Window!F26,"#0.0")&amp;" "&amp;Window!G26)</f>
        <v/>
      </c>
      <c r="G11" s="809" t="str">
        <f>IF(Window!H26="", "", TEXT(Window!H26,"#0.0")&amp;" "&amp;Window!I26)</f>
        <v/>
      </c>
      <c r="H11" s="820">
        <f>IF(Window!J26="", "", Window!J26)</f>
        <v>0</v>
      </c>
      <c r="I11" s="809" t="str">
        <f>IF(Window!K26="", "", Window!K26)</f>
        <v/>
      </c>
      <c r="J11" s="811" t="str">
        <f>IF(Window!L26="", "", Window!L26)</f>
        <v/>
      </c>
      <c r="K11" s="811" t="str">
        <f>IF(Window!M26="", "", Window!M26)</f>
        <v/>
      </c>
      <c r="L11" s="809" t="str">
        <f>IF(Window!N26="", "", Window!N26)</f>
        <v/>
      </c>
      <c r="M11" s="809" t="str">
        <f>IF(Window!P26="", "N/A", Window!P26)</f>
        <v>N/A</v>
      </c>
      <c r="N11" s="401"/>
    </row>
    <row r="12" spans="2:14" s="812" customFormat="1" ht="18" customHeight="1" x14ac:dyDescent="0.25">
      <c r="B12" s="809">
        <v>3</v>
      </c>
      <c r="C12" s="809" t="str">
        <f>IF(Window!C27="", "", Window!C27)</f>
        <v/>
      </c>
      <c r="D12" s="809" t="str">
        <f>IF(Window!D27="", "", Window!D27)</f>
        <v/>
      </c>
      <c r="E12" s="809" t="str">
        <f>IF(Window!E27="", "", Window!E27)</f>
        <v/>
      </c>
      <c r="F12" s="809" t="str">
        <f>IF(Window!F27="", "", TEXT(Window!F27,"#0.0")&amp;" "&amp;Window!G27)</f>
        <v/>
      </c>
      <c r="G12" s="809" t="str">
        <f>IF(Window!H27="", "", TEXT(Window!H27,"#0.0")&amp;" "&amp;Window!I27)</f>
        <v/>
      </c>
      <c r="H12" s="820">
        <f>IF(Window!J27="", "", Window!J27)</f>
        <v>0</v>
      </c>
      <c r="I12" s="809" t="str">
        <f>IF(Window!K27="", "", Window!K27)</f>
        <v/>
      </c>
      <c r="J12" s="811" t="str">
        <f>IF(Window!L27="", "", Window!L27)</f>
        <v/>
      </c>
      <c r="K12" s="811" t="str">
        <f>IF(Window!M27="", "", Window!M27)</f>
        <v/>
      </c>
      <c r="L12" s="809" t="str">
        <f>IF(Window!N27="", "", Window!N27)</f>
        <v/>
      </c>
      <c r="M12" s="809" t="str">
        <f>IF(Window!P27="", "N/A", Window!P27)</f>
        <v>N/A</v>
      </c>
      <c r="N12" s="401"/>
    </row>
    <row r="13" spans="2:14" s="812" customFormat="1" ht="18" customHeight="1" x14ac:dyDescent="0.25">
      <c r="B13" s="809">
        <v>4</v>
      </c>
      <c r="C13" s="809" t="str">
        <f>IF(Window!C28="", "", Window!C28)</f>
        <v/>
      </c>
      <c r="D13" s="809" t="str">
        <f>IF(Window!D28="", "", Window!D28)</f>
        <v/>
      </c>
      <c r="E13" s="809" t="str">
        <f>IF(Window!E28="", "", Window!E28)</f>
        <v/>
      </c>
      <c r="F13" s="809" t="str">
        <f>IF(Window!F28="", "", TEXT(Window!F28,"#0.0")&amp;" "&amp;Window!G28)</f>
        <v/>
      </c>
      <c r="G13" s="809" t="str">
        <f>IF(Window!H28="", "", TEXT(Window!H28,"#0.0")&amp;" "&amp;Window!I28)</f>
        <v/>
      </c>
      <c r="H13" s="820">
        <f>IF(Window!J28="", "", Window!J28)</f>
        <v>0</v>
      </c>
      <c r="I13" s="809" t="str">
        <f>IF(Window!K28="", "", Window!K28)</f>
        <v/>
      </c>
      <c r="J13" s="811" t="str">
        <f>IF(Window!L28="", "", Window!L28)</f>
        <v/>
      </c>
      <c r="K13" s="811" t="str">
        <f>IF(Window!M28="", "", Window!M28)</f>
        <v/>
      </c>
      <c r="L13" s="809" t="str">
        <f>IF(Window!N28="", "", Window!N28)</f>
        <v/>
      </c>
      <c r="M13" s="809" t="str">
        <f>IF(Window!P28="", "N/A", Window!P28)</f>
        <v>N/A</v>
      </c>
      <c r="N13" s="401"/>
    </row>
    <row r="14" spans="2:14" s="812" customFormat="1" ht="18" customHeight="1" x14ac:dyDescent="0.25">
      <c r="B14" s="809">
        <v>5</v>
      </c>
      <c r="C14" s="809" t="str">
        <f>IF(Window!C29="", "", Window!C29)</f>
        <v/>
      </c>
      <c r="D14" s="809" t="str">
        <f>IF(Window!D29="", "", Window!D29)</f>
        <v/>
      </c>
      <c r="E14" s="809" t="str">
        <f>IF(Window!E29="", "", Window!E29)</f>
        <v/>
      </c>
      <c r="F14" s="809" t="str">
        <f>IF(Window!F29="", "", TEXT(Window!F29,"#0.0")&amp;" "&amp;Window!G29)</f>
        <v/>
      </c>
      <c r="G14" s="809" t="str">
        <f>IF(Window!H29="", "", TEXT(Window!H29,"#0.0")&amp;" "&amp;Window!I29)</f>
        <v/>
      </c>
      <c r="H14" s="820">
        <f>IF(Window!J29="", "", Window!J29)</f>
        <v>0</v>
      </c>
      <c r="I14" s="809" t="str">
        <f>IF(Window!K29="", "", Window!K29)</f>
        <v/>
      </c>
      <c r="J14" s="811" t="str">
        <f>IF(Window!L29="", "", Window!L29)</f>
        <v/>
      </c>
      <c r="K14" s="811" t="str">
        <f>IF(Window!M29="", "", Window!M29)</f>
        <v/>
      </c>
      <c r="L14" s="809" t="str">
        <f>IF(Window!N29="", "", Window!N29)</f>
        <v/>
      </c>
      <c r="M14" s="809" t="str">
        <f>IF(Window!P29="", "N/A", Window!P29)</f>
        <v>N/A</v>
      </c>
      <c r="N14" s="401"/>
    </row>
    <row r="15" spans="2:14" s="812" customFormat="1" ht="18" customHeight="1" x14ac:dyDescent="0.25">
      <c r="B15" s="809">
        <v>6</v>
      </c>
      <c r="C15" s="809" t="str">
        <f>IF(Window!C30="", "", Window!C30)</f>
        <v/>
      </c>
      <c r="D15" s="809" t="str">
        <f>IF(Window!D30="", "", Window!D30)</f>
        <v/>
      </c>
      <c r="E15" s="809" t="str">
        <f>IF(Window!E30="", "", Window!E30)</f>
        <v/>
      </c>
      <c r="F15" s="809" t="str">
        <f>IF(Window!F30="", "", TEXT(Window!F30,"#0.0")&amp;" "&amp;Window!G30)</f>
        <v/>
      </c>
      <c r="G15" s="809" t="str">
        <f>IF(Window!H30="", "", TEXT(Window!H30,"#0.0")&amp;" "&amp;Window!I30)</f>
        <v/>
      </c>
      <c r="H15" s="820">
        <f>IF(Window!J30="", "", Window!J30)</f>
        <v>0</v>
      </c>
      <c r="I15" s="809" t="str">
        <f>IF(Window!K30="", "", Window!K30)</f>
        <v/>
      </c>
      <c r="J15" s="811" t="str">
        <f>IF(Window!L30="", "", Window!L30)</f>
        <v/>
      </c>
      <c r="K15" s="811" t="str">
        <f>IF(Window!M30="", "", Window!M30)</f>
        <v/>
      </c>
      <c r="L15" s="809" t="str">
        <f>IF(Window!N30="", "", Window!N30)</f>
        <v/>
      </c>
      <c r="M15" s="809" t="str">
        <f>IF(Window!P30="", "N/A", Window!P30)</f>
        <v>N/A</v>
      </c>
      <c r="N15" s="401"/>
    </row>
    <row r="16" spans="2:14" s="812" customFormat="1" ht="18" customHeight="1" x14ac:dyDescent="0.25">
      <c r="B16" s="809">
        <v>7</v>
      </c>
      <c r="C16" s="809" t="str">
        <f>IF(Window!C31="", "", Window!C31)</f>
        <v/>
      </c>
      <c r="D16" s="809" t="str">
        <f>IF(Window!D31="", "", Window!D31)</f>
        <v/>
      </c>
      <c r="E16" s="809" t="str">
        <f>IF(Window!E31="", "", Window!E31)</f>
        <v/>
      </c>
      <c r="F16" s="809" t="str">
        <f>IF(Window!F31="", "", TEXT(Window!F31,"#0.0")&amp;" "&amp;Window!G31)</f>
        <v/>
      </c>
      <c r="G16" s="809" t="str">
        <f>IF(Window!H31="", "", TEXT(Window!H31,"#0.0")&amp;" "&amp;Window!I31)</f>
        <v/>
      </c>
      <c r="H16" s="820">
        <f>IF(Window!J31="", "", Window!J31)</f>
        <v>0</v>
      </c>
      <c r="I16" s="809" t="str">
        <f>IF(Window!K31="", "", Window!K31)</f>
        <v/>
      </c>
      <c r="J16" s="811" t="str">
        <f>IF(Window!L31="", "", Window!L31)</f>
        <v/>
      </c>
      <c r="K16" s="811" t="str">
        <f>IF(Window!M31="", "", Window!M31)</f>
        <v/>
      </c>
      <c r="L16" s="809" t="str">
        <f>IF(Window!N31="", "", Window!N31)</f>
        <v/>
      </c>
      <c r="M16" s="809" t="str">
        <f>IF(Window!P31="", "N/A", Window!P31)</f>
        <v>N/A</v>
      </c>
      <c r="N16" s="401"/>
    </row>
    <row r="17" spans="2:14" s="812" customFormat="1" ht="18" customHeight="1" x14ac:dyDescent="0.25">
      <c r="B17" s="809">
        <v>8</v>
      </c>
      <c r="C17" s="809" t="str">
        <f>IF(Window!C32="", "", Window!C32)</f>
        <v/>
      </c>
      <c r="D17" s="809" t="str">
        <f>IF(Window!D32="", "", Window!D32)</f>
        <v/>
      </c>
      <c r="E17" s="809" t="str">
        <f>IF(Window!E32="", "", Window!E32)</f>
        <v/>
      </c>
      <c r="F17" s="809" t="str">
        <f>IF(Window!F32="", "", TEXT(Window!F32,"#0.0")&amp;" "&amp;Window!G32)</f>
        <v/>
      </c>
      <c r="G17" s="809" t="str">
        <f>IF(Window!H32="", "", TEXT(Window!H32,"#0.0")&amp;" "&amp;Window!I32)</f>
        <v/>
      </c>
      <c r="H17" s="820">
        <f>IF(Window!J32="", "", Window!J32)</f>
        <v>0</v>
      </c>
      <c r="I17" s="809" t="str">
        <f>IF(Window!K32="", "", Window!K32)</f>
        <v/>
      </c>
      <c r="J17" s="811" t="str">
        <f>IF(Window!L32="", "", Window!L32)</f>
        <v/>
      </c>
      <c r="K17" s="811" t="str">
        <f>IF(Window!M32="", "", Window!M32)</f>
        <v/>
      </c>
      <c r="L17" s="809" t="str">
        <f>IF(Window!N32="", "", Window!N32)</f>
        <v/>
      </c>
      <c r="M17" s="809" t="str">
        <f>IF(Window!P32="", "N/A", Window!P32)</f>
        <v>N/A</v>
      </c>
      <c r="N17" s="401"/>
    </row>
    <row r="18" spans="2:14" s="812" customFormat="1" ht="18" customHeight="1" x14ac:dyDescent="0.25">
      <c r="B18" s="809">
        <v>9</v>
      </c>
      <c r="C18" s="809" t="str">
        <f>IF(Window!C33="", "", Window!C33)</f>
        <v/>
      </c>
      <c r="D18" s="809" t="str">
        <f>IF(Window!D33="", "", Window!D33)</f>
        <v/>
      </c>
      <c r="E18" s="809" t="str">
        <f>IF(Window!E33="", "", Window!E33)</f>
        <v/>
      </c>
      <c r="F18" s="809" t="str">
        <f>IF(Window!F33="", "", TEXT(Window!F33,"#0.0")&amp;" "&amp;Window!G33)</f>
        <v/>
      </c>
      <c r="G18" s="809" t="str">
        <f>IF(Window!H33="", "", TEXT(Window!H33,"#0.0")&amp;" "&amp;Window!I33)</f>
        <v/>
      </c>
      <c r="H18" s="820">
        <f>IF(Window!J33="", "", Window!J33)</f>
        <v>0</v>
      </c>
      <c r="I18" s="809" t="str">
        <f>IF(Window!K33="", "", Window!K33)</f>
        <v/>
      </c>
      <c r="J18" s="811" t="str">
        <f>IF(Window!L33="", "", Window!L33)</f>
        <v/>
      </c>
      <c r="K18" s="811" t="str">
        <f>IF(Window!M33="", "", Window!M33)</f>
        <v/>
      </c>
      <c r="L18" s="809" t="str">
        <f>IF(Window!N33="", "", Window!N33)</f>
        <v/>
      </c>
      <c r="M18" s="809" t="str">
        <f>IF(Window!P33="", "N/A", Window!P33)</f>
        <v>N/A</v>
      </c>
      <c r="N18" s="401"/>
    </row>
    <row r="19" spans="2:14" s="812" customFormat="1" ht="18" customHeight="1" x14ac:dyDescent="0.25">
      <c r="B19" s="809">
        <v>10</v>
      </c>
      <c r="C19" s="809" t="str">
        <f>IF(Window!C34="", "", Window!C34)</f>
        <v/>
      </c>
      <c r="D19" s="809" t="str">
        <f>IF(Window!D34="", "", Window!D34)</f>
        <v/>
      </c>
      <c r="E19" s="809" t="str">
        <f>IF(Window!E34="", "", Window!E34)</f>
        <v/>
      </c>
      <c r="F19" s="809" t="str">
        <f>IF(Window!F34="", "", TEXT(Window!F34,"#0.0")&amp;" "&amp;Window!G34)</f>
        <v/>
      </c>
      <c r="G19" s="809" t="str">
        <f>IF(Window!H34="", "", TEXT(Window!H34,"#0.0")&amp;" "&amp;Window!I34)</f>
        <v/>
      </c>
      <c r="H19" s="820">
        <f>IF(Window!J34="", "", Window!J34)</f>
        <v>0</v>
      </c>
      <c r="I19" s="809" t="str">
        <f>IF(Window!K34="", "", Window!K34)</f>
        <v/>
      </c>
      <c r="J19" s="811" t="str">
        <f>IF(Window!L34="", "", Window!L34)</f>
        <v/>
      </c>
      <c r="K19" s="811" t="str">
        <f>IF(Window!M34="", "", Window!M34)</f>
        <v/>
      </c>
      <c r="L19" s="809" t="str">
        <f>IF(Window!N34="", "", Window!N34)</f>
        <v/>
      </c>
      <c r="M19" s="809" t="str">
        <f>IF(Window!P34="", "N/A", Window!P34)</f>
        <v>N/A</v>
      </c>
      <c r="N19" s="401"/>
    </row>
    <row r="20" spans="2:14" s="812" customFormat="1" ht="18" customHeight="1" x14ac:dyDescent="0.25">
      <c r="B20" s="809">
        <v>11</v>
      </c>
      <c r="C20" s="809" t="str">
        <f>IF(Window!C35="", "", Window!C35)</f>
        <v/>
      </c>
      <c r="D20" s="809" t="str">
        <f>IF(Window!D35="", "", Window!D35)</f>
        <v/>
      </c>
      <c r="E20" s="809" t="str">
        <f>IF(Window!E35="", "", Window!E35)</f>
        <v/>
      </c>
      <c r="F20" s="809" t="str">
        <f>IF(Window!F35="", "", TEXT(Window!F35,"#0.0")&amp;" "&amp;Window!G35)</f>
        <v/>
      </c>
      <c r="G20" s="809" t="str">
        <f>IF(Window!H35="", "", TEXT(Window!H35,"#0.0")&amp;" "&amp;Window!I35)</f>
        <v/>
      </c>
      <c r="H20" s="820">
        <f>IF(Window!J35="", "", Window!J35)</f>
        <v>0</v>
      </c>
      <c r="I20" s="809" t="str">
        <f>IF(Window!K35="", "", Window!K35)</f>
        <v/>
      </c>
      <c r="J20" s="811" t="str">
        <f>IF(Window!L35="", "", Window!L35)</f>
        <v/>
      </c>
      <c r="K20" s="811" t="str">
        <f>IF(Window!M35="", "", Window!M35)</f>
        <v/>
      </c>
      <c r="L20" s="809" t="str">
        <f>IF(Window!N35="", "", Window!N35)</f>
        <v/>
      </c>
      <c r="M20" s="809" t="str">
        <f>IF(Window!P35="", "N/A", Window!P35)</f>
        <v>N/A</v>
      </c>
      <c r="N20" s="401"/>
    </row>
    <row r="21" spans="2:14" s="812" customFormat="1" ht="18" customHeight="1" x14ac:dyDescent="0.25">
      <c r="B21" s="809">
        <v>12</v>
      </c>
      <c r="C21" s="809" t="str">
        <f>IF(Window!C36="", "", Window!C36)</f>
        <v/>
      </c>
      <c r="D21" s="809" t="str">
        <f>IF(Window!D36="", "", Window!D36)</f>
        <v/>
      </c>
      <c r="E21" s="809" t="str">
        <f>IF(Window!E36="", "", Window!E36)</f>
        <v/>
      </c>
      <c r="F21" s="809" t="str">
        <f>IF(Window!F36="", "", TEXT(Window!F36,"#0.0")&amp;" "&amp;Window!G36)</f>
        <v/>
      </c>
      <c r="G21" s="809" t="str">
        <f>IF(Window!H36="", "", TEXT(Window!H36,"#0.0")&amp;" "&amp;Window!I36)</f>
        <v/>
      </c>
      <c r="H21" s="820">
        <f>IF(Window!J36="", "", Window!J36)</f>
        <v>0</v>
      </c>
      <c r="I21" s="809" t="str">
        <f>IF(Window!K36="", "", Window!K36)</f>
        <v/>
      </c>
      <c r="J21" s="811" t="str">
        <f>IF(Window!L36="", "", Window!L36)</f>
        <v/>
      </c>
      <c r="K21" s="811" t="str">
        <f>IF(Window!M36="", "", Window!M36)</f>
        <v/>
      </c>
      <c r="L21" s="809" t="str">
        <f>IF(Window!N36="", "", Window!N36)</f>
        <v/>
      </c>
      <c r="M21" s="809" t="str">
        <f>IF(Window!P36="", "N/A", Window!P36)</f>
        <v>N/A</v>
      </c>
      <c r="N21" s="401"/>
    </row>
    <row r="22" spans="2:14" s="812" customFormat="1" ht="18" customHeight="1" x14ac:dyDescent="0.25">
      <c r="B22" s="809">
        <v>13</v>
      </c>
      <c r="C22" s="809" t="str">
        <f>IF(Window!C37="", "", Window!C37)</f>
        <v/>
      </c>
      <c r="D22" s="809" t="str">
        <f>IF(Window!D37="", "", Window!D37)</f>
        <v/>
      </c>
      <c r="E22" s="809" t="str">
        <f>IF(Window!E37="", "", Window!E37)</f>
        <v/>
      </c>
      <c r="F22" s="809" t="str">
        <f>IF(Window!F37="", "", TEXT(Window!F37,"#0.0")&amp;" "&amp;Window!G37)</f>
        <v/>
      </c>
      <c r="G22" s="809" t="str">
        <f>IF(Window!H37="", "", TEXT(Window!H37,"#0.0")&amp;" "&amp;Window!I37)</f>
        <v/>
      </c>
      <c r="H22" s="820">
        <f>IF(Window!J37="", "", Window!J37)</f>
        <v>0</v>
      </c>
      <c r="I22" s="809" t="str">
        <f>IF(Window!K37="", "", Window!K37)</f>
        <v/>
      </c>
      <c r="J22" s="811" t="str">
        <f>IF(Window!L37="", "", Window!L37)</f>
        <v/>
      </c>
      <c r="K22" s="811" t="str">
        <f>IF(Window!M37="", "", Window!M37)</f>
        <v/>
      </c>
      <c r="L22" s="809" t="str">
        <f>IF(Window!N37="", "", Window!N37)</f>
        <v/>
      </c>
      <c r="M22" s="809" t="str">
        <f>IF(Window!P37="", "N/A", Window!P37)</f>
        <v>N/A</v>
      </c>
      <c r="N22" s="401"/>
    </row>
    <row r="23" spans="2:14" s="812" customFormat="1" ht="18" customHeight="1" x14ac:dyDescent="0.25">
      <c r="B23" s="809">
        <v>14</v>
      </c>
      <c r="C23" s="809" t="str">
        <f>IF(Window!C38="", "", Window!C38)</f>
        <v/>
      </c>
      <c r="D23" s="809" t="str">
        <f>IF(Window!D38="", "", Window!D38)</f>
        <v/>
      </c>
      <c r="E23" s="809" t="str">
        <f>IF(Window!E38="", "", Window!E38)</f>
        <v/>
      </c>
      <c r="F23" s="809" t="str">
        <f>IF(Window!F38="", "", TEXT(Window!F38,"#0.0")&amp;" "&amp;Window!G38)</f>
        <v/>
      </c>
      <c r="G23" s="809" t="str">
        <f>IF(Window!H38="", "", TEXT(Window!H38,"#0.0")&amp;" "&amp;Window!I38)</f>
        <v/>
      </c>
      <c r="H23" s="820">
        <f>IF(Window!J38="", "", Window!J38)</f>
        <v>0</v>
      </c>
      <c r="I23" s="809" t="str">
        <f>IF(Window!K38="", "", Window!K38)</f>
        <v/>
      </c>
      <c r="J23" s="811" t="str">
        <f>IF(Window!L38="", "", Window!L38)</f>
        <v/>
      </c>
      <c r="K23" s="811" t="str">
        <f>IF(Window!M38="", "", Window!M38)</f>
        <v/>
      </c>
      <c r="L23" s="809" t="str">
        <f>IF(Window!N38="", "", Window!N38)</f>
        <v/>
      </c>
      <c r="M23" s="809" t="str">
        <f>IF(Window!P38="", "N/A", Window!P38)</f>
        <v>N/A</v>
      </c>
      <c r="N23" s="401"/>
    </row>
    <row r="24" spans="2:14" s="812" customFormat="1" ht="18" customHeight="1" x14ac:dyDescent="0.25">
      <c r="B24" s="809">
        <v>15</v>
      </c>
      <c r="C24" s="809" t="str">
        <f>IF(Window!C39="", "", Window!C39)</f>
        <v/>
      </c>
      <c r="D24" s="809" t="str">
        <f>IF(Window!D39="", "", Window!D39)</f>
        <v/>
      </c>
      <c r="E24" s="809" t="str">
        <f>IF(Window!E39="", "", Window!E39)</f>
        <v/>
      </c>
      <c r="F24" s="809" t="str">
        <f>IF(Window!F39="", "", TEXT(Window!F39,"#0.0")&amp;" "&amp;Window!G39)</f>
        <v/>
      </c>
      <c r="G24" s="809" t="str">
        <f>IF(Window!H39="", "", TEXT(Window!H39,"#0.0")&amp;" "&amp;Window!I39)</f>
        <v/>
      </c>
      <c r="H24" s="820">
        <f>IF(Window!J39="", "", Window!J39)</f>
        <v>0</v>
      </c>
      <c r="I24" s="809" t="str">
        <f>IF(Window!K39="", "", Window!K39)</f>
        <v/>
      </c>
      <c r="J24" s="811" t="str">
        <f>IF(Window!L39="", "", Window!L39)</f>
        <v/>
      </c>
      <c r="K24" s="811" t="str">
        <f>IF(Window!M39="", "", Window!M39)</f>
        <v/>
      </c>
      <c r="L24" s="809" t="str">
        <f>IF(Window!N39="", "", Window!N39)</f>
        <v/>
      </c>
      <c r="M24" s="809" t="str">
        <f>IF(Window!P39="", "N/A", Window!P39)</f>
        <v>N/A</v>
      </c>
      <c r="N24" s="401"/>
    </row>
    <row r="25" spans="2:14" s="812" customFormat="1" ht="18" customHeight="1" x14ac:dyDescent="0.25">
      <c r="B25" s="809">
        <v>16</v>
      </c>
      <c r="C25" s="809" t="str">
        <f>IF(Window!C40="", "", Window!C40)</f>
        <v/>
      </c>
      <c r="D25" s="809" t="str">
        <f>IF(Window!D40="", "", Window!D40)</f>
        <v/>
      </c>
      <c r="E25" s="809" t="str">
        <f>IF(Window!E40="", "", Window!E40)</f>
        <v/>
      </c>
      <c r="F25" s="809" t="str">
        <f>IF(Window!F40="", "", TEXT(Window!F40,"#0.0")&amp;" "&amp;Window!G40)</f>
        <v/>
      </c>
      <c r="G25" s="809" t="str">
        <f>IF(Window!H40="", "", TEXT(Window!H40,"#0.0")&amp;" "&amp;Window!I40)</f>
        <v/>
      </c>
      <c r="H25" s="820">
        <f>IF(Window!J40="", "", Window!J40)</f>
        <v>0</v>
      </c>
      <c r="I25" s="809" t="str">
        <f>IF(Window!K40="", "", Window!K40)</f>
        <v/>
      </c>
      <c r="J25" s="811" t="str">
        <f>IF(Window!L40="", "", Window!L40)</f>
        <v/>
      </c>
      <c r="K25" s="811" t="str">
        <f>IF(Window!M40="", "", Window!M40)</f>
        <v/>
      </c>
      <c r="L25" s="809" t="str">
        <f>IF(Window!N40="", "", Window!N40)</f>
        <v/>
      </c>
      <c r="M25" s="809" t="str">
        <f>IF(Window!P40="", "N/A", Window!P40)</f>
        <v>N/A</v>
      </c>
      <c r="N25" s="401"/>
    </row>
    <row r="26" spans="2:14" s="812" customFormat="1" ht="18" customHeight="1" x14ac:dyDescent="0.25">
      <c r="B26" s="809">
        <v>17</v>
      </c>
      <c r="C26" s="809" t="str">
        <f>IF(Window!C41="", "", Window!C41)</f>
        <v/>
      </c>
      <c r="D26" s="809" t="str">
        <f>IF(Window!D41="", "", Window!D41)</f>
        <v/>
      </c>
      <c r="E26" s="809" t="str">
        <f>IF(Window!E41="", "", Window!E41)</f>
        <v/>
      </c>
      <c r="F26" s="809" t="str">
        <f>IF(Window!F41="", "", TEXT(Window!F41,"#0.0")&amp;" "&amp;Window!G41)</f>
        <v/>
      </c>
      <c r="G26" s="809" t="str">
        <f>IF(Window!H41="", "", TEXT(Window!H41,"#0.0")&amp;" "&amp;Window!I41)</f>
        <v/>
      </c>
      <c r="H26" s="820">
        <f>IF(Window!J41="", "", Window!J41)</f>
        <v>0</v>
      </c>
      <c r="I26" s="809" t="str">
        <f>IF(Window!K41="", "", Window!K41)</f>
        <v/>
      </c>
      <c r="J26" s="811" t="str">
        <f>IF(Window!L41="", "", Window!L41)</f>
        <v/>
      </c>
      <c r="K26" s="811" t="str">
        <f>IF(Window!M41="", "", Window!M41)</f>
        <v/>
      </c>
      <c r="L26" s="809" t="str">
        <f>IF(Window!N41="", "", Window!N41)</f>
        <v/>
      </c>
      <c r="M26" s="809" t="str">
        <f>IF(Window!P41="", "N/A", Window!P41)</f>
        <v>N/A</v>
      </c>
      <c r="N26" s="401"/>
    </row>
    <row r="27" spans="2:14" s="812" customFormat="1" ht="18" customHeight="1" x14ac:dyDescent="0.25">
      <c r="B27" s="809">
        <v>18</v>
      </c>
      <c r="C27" s="809" t="str">
        <f>IF(Window!C42="", "", Window!C42)</f>
        <v/>
      </c>
      <c r="D27" s="809" t="str">
        <f>IF(Window!D42="", "", Window!D42)</f>
        <v/>
      </c>
      <c r="E27" s="809" t="str">
        <f>IF(Window!E42="", "", Window!E42)</f>
        <v/>
      </c>
      <c r="F27" s="809" t="str">
        <f>IF(Window!F42="", "", TEXT(Window!F42,"#0.0")&amp;" "&amp;Window!G42)</f>
        <v/>
      </c>
      <c r="G27" s="809" t="str">
        <f>IF(Window!H42="", "", TEXT(Window!H42,"#0.0")&amp;" "&amp;Window!I42)</f>
        <v/>
      </c>
      <c r="H27" s="820">
        <f>IF(Window!J42="", "", Window!J42)</f>
        <v>0</v>
      </c>
      <c r="I27" s="809" t="str">
        <f>IF(Window!K42="", "", Window!K42)</f>
        <v/>
      </c>
      <c r="J27" s="811" t="str">
        <f>IF(Window!L42="", "", Window!L42)</f>
        <v/>
      </c>
      <c r="K27" s="811" t="str">
        <f>IF(Window!M42="", "", Window!M42)</f>
        <v/>
      </c>
      <c r="L27" s="809" t="str">
        <f>IF(Window!N42="", "", Window!N42)</f>
        <v/>
      </c>
      <c r="M27" s="809" t="str">
        <f>IF(Window!P42="", "N/A", Window!P42)</f>
        <v>N/A</v>
      </c>
      <c r="N27" s="401"/>
    </row>
    <row r="28" spans="2:14" s="812" customFormat="1" ht="18" customHeight="1" x14ac:dyDescent="0.25">
      <c r="B28" s="809">
        <v>19</v>
      </c>
      <c r="C28" s="809" t="str">
        <f>IF(Window!C43="", "", Window!C43)</f>
        <v/>
      </c>
      <c r="D28" s="809" t="str">
        <f>IF(Window!D43="", "", Window!D43)</f>
        <v/>
      </c>
      <c r="E28" s="809" t="str">
        <f>IF(Window!E43="", "", Window!E43)</f>
        <v/>
      </c>
      <c r="F28" s="809" t="str">
        <f>IF(Window!F43="", "", TEXT(Window!F43,"#0.0")&amp;" "&amp;Window!G43)</f>
        <v/>
      </c>
      <c r="G28" s="809" t="str">
        <f>IF(Window!H43="", "", TEXT(Window!H43,"#0.0")&amp;" "&amp;Window!I43)</f>
        <v/>
      </c>
      <c r="H28" s="820">
        <f>IF(Window!J43="", "", Window!J43)</f>
        <v>0</v>
      </c>
      <c r="I28" s="809" t="str">
        <f>IF(Window!K43="", "", Window!K43)</f>
        <v/>
      </c>
      <c r="J28" s="811" t="str">
        <f>IF(Window!L43="", "", Window!L43)</f>
        <v/>
      </c>
      <c r="K28" s="811" t="str">
        <f>IF(Window!M43="", "", Window!M43)</f>
        <v/>
      </c>
      <c r="L28" s="809" t="str">
        <f>IF(Window!N43="", "", Window!N43)</f>
        <v/>
      </c>
      <c r="M28" s="809" t="str">
        <f>IF(Window!P43="", "N/A", Window!P43)</f>
        <v>N/A</v>
      </c>
      <c r="N28" s="401"/>
    </row>
    <row r="29" spans="2:14" s="812" customFormat="1" ht="18" customHeight="1" x14ac:dyDescent="0.25">
      <c r="B29" s="809">
        <v>20</v>
      </c>
      <c r="C29" s="809" t="str">
        <f>IF(Window!C44="", "", Window!C44)</f>
        <v/>
      </c>
      <c r="D29" s="809" t="str">
        <f>IF(Window!D44="", "", Window!D44)</f>
        <v/>
      </c>
      <c r="E29" s="809" t="str">
        <f>IF(Window!E44="", "", Window!E44)</f>
        <v/>
      </c>
      <c r="F29" s="809" t="str">
        <f>IF(Window!F44="", "", TEXT(Window!F44,"#0.0")&amp;" "&amp;Window!G44)</f>
        <v/>
      </c>
      <c r="G29" s="809" t="str">
        <f>IF(Window!H44="", "", TEXT(Window!H44,"#0.0")&amp;" "&amp;Window!I44)</f>
        <v/>
      </c>
      <c r="H29" s="820">
        <f>IF(Window!J44="", "", Window!J44)</f>
        <v>0</v>
      </c>
      <c r="I29" s="809" t="str">
        <f>IF(Window!K44="", "", Window!K44)</f>
        <v/>
      </c>
      <c r="J29" s="811" t="str">
        <f>IF(Window!L44="", "", Window!L44)</f>
        <v/>
      </c>
      <c r="K29" s="811" t="str">
        <f>IF(Window!M44="", "", Window!M44)</f>
        <v/>
      </c>
      <c r="L29" s="809" t="str">
        <f>IF(Window!N44="", "", Window!N44)</f>
        <v/>
      </c>
      <c r="M29" s="809" t="str">
        <f>IF(Window!P44="", "N/A", Window!P44)</f>
        <v>N/A</v>
      </c>
      <c r="N29" s="401"/>
    </row>
    <row r="30" spans="2:14" s="812" customFormat="1" ht="18" customHeight="1" x14ac:dyDescent="0.25">
      <c r="B30" s="809">
        <v>21</v>
      </c>
      <c r="C30" s="809" t="str">
        <f>IF(Window!C45="", "", Window!C45)</f>
        <v/>
      </c>
      <c r="D30" s="809" t="str">
        <f>IF(Window!D45="", "", Window!D45)</f>
        <v/>
      </c>
      <c r="E30" s="809" t="str">
        <f>IF(Window!E45="", "", Window!E45)</f>
        <v/>
      </c>
      <c r="F30" s="809" t="str">
        <f>IF(Window!F45="", "", TEXT(Window!F45,"#0.0")&amp;" "&amp;Window!G45)</f>
        <v/>
      </c>
      <c r="G30" s="809" t="str">
        <f>IF(Window!H45="", "", TEXT(Window!H45,"#0.0")&amp;" "&amp;Window!I45)</f>
        <v/>
      </c>
      <c r="H30" s="820">
        <f>IF(Window!J45="", "", Window!J45)</f>
        <v>0</v>
      </c>
      <c r="I30" s="809" t="str">
        <f>IF(Window!K45="", "", Window!K45)</f>
        <v/>
      </c>
      <c r="J30" s="811" t="str">
        <f>IF(Window!L45="", "", Window!L45)</f>
        <v/>
      </c>
      <c r="K30" s="811" t="str">
        <f>IF(Window!M45="", "", Window!M45)</f>
        <v/>
      </c>
      <c r="L30" s="809" t="str">
        <f>IF(Window!N45="", "", Window!N45)</f>
        <v/>
      </c>
      <c r="M30" s="809" t="str">
        <f>IF(Window!P45="", "N/A", Window!P45)</f>
        <v>N/A</v>
      </c>
      <c r="N30" s="401"/>
    </row>
    <row r="31" spans="2:14" s="812" customFormat="1" ht="18" customHeight="1" x14ac:dyDescent="0.25">
      <c r="B31" s="809">
        <v>22</v>
      </c>
      <c r="C31" s="809" t="str">
        <f>IF(Window!C46="", "", Window!C46)</f>
        <v/>
      </c>
      <c r="D31" s="809" t="str">
        <f>IF(Window!D46="", "", Window!D46)</f>
        <v/>
      </c>
      <c r="E31" s="809" t="str">
        <f>IF(Window!E46="", "", Window!E46)</f>
        <v/>
      </c>
      <c r="F31" s="809" t="str">
        <f>IF(Window!F46="", "", TEXT(Window!F46,"#0.0")&amp;" "&amp;Window!G46)</f>
        <v/>
      </c>
      <c r="G31" s="809" t="str">
        <f>IF(Window!H46="", "", TEXT(Window!H46,"#0.0")&amp;" "&amp;Window!I46)</f>
        <v/>
      </c>
      <c r="H31" s="820">
        <f>IF(Window!J46="", "", Window!J46)</f>
        <v>0</v>
      </c>
      <c r="I31" s="809" t="str">
        <f>IF(Window!K46="", "", Window!K46)</f>
        <v/>
      </c>
      <c r="J31" s="811" t="str">
        <f>IF(Window!L46="", "", Window!L46)</f>
        <v/>
      </c>
      <c r="K31" s="811" t="str">
        <f>IF(Window!M46="", "", Window!M46)</f>
        <v/>
      </c>
      <c r="L31" s="809" t="str">
        <f>IF(Window!N46="", "", Window!N46)</f>
        <v/>
      </c>
      <c r="M31" s="809" t="str">
        <f>IF(Window!P46="", "N/A", Window!P46)</f>
        <v>N/A</v>
      </c>
      <c r="N31" s="401"/>
    </row>
    <row r="32" spans="2:14" s="812" customFormat="1" ht="18" customHeight="1" x14ac:dyDescent="0.25">
      <c r="B32" s="809">
        <v>23</v>
      </c>
      <c r="C32" s="809" t="str">
        <f>IF(Window!C47="", "", Window!C47)</f>
        <v/>
      </c>
      <c r="D32" s="809" t="str">
        <f>IF(Window!D47="", "", Window!D47)</f>
        <v/>
      </c>
      <c r="E32" s="809" t="str">
        <f>IF(Window!E47="", "", Window!E47)</f>
        <v/>
      </c>
      <c r="F32" s="809" t="str">
        <f>IF(Window!F47="", "", TEXT(Window!F47,"#0.0")&amp;" "&amp;Window!G47)</f>
        <v/>
      </c>
      <c r="G32" s="809" t="str">
        <f>IF(Window!H47="", "", TEXT(Window!H47,"#0.0")&amp;" "&amp;Window!I47)</f>
        <v/>
      </c>
      <c r="H32" s="820">
        <f>IF(Window!J47="", "", Window!J47)</f>
        <v>0</v>
      </c>
      <c r="I32" s="809" t="str">
        <f>IF(Window!K47="", "", Window!K47)</f>
        <v/>
      </c>
      <c r="J32" s="811" t="str">
        <f>IF(Window!L47="", "", Window!L47)</f>
        <v/>
      </c>
      <c r="K32" s="811" t="str">
        <f>IF(Window!M47="", "", Window!M47)</f>
        <v/>
      </c>
      <c r="L32" s="809" t="str">
        <f>IF(Window!N47="", "", Window!N47)</f>
        <v/>
      </c>
      <c r="M32" s="809" t="str">
        <f>IF(Window!P47="", "N/A", Window!P47)</f>
        <v>N/A</v>
      </c>
      <c r="N32" s="401"/>
    </row>
    <row r="33" spans="2:14" s="812" customFormat="1" ht="18" customHeight="1" x14ac:dyDescent="0.25">
      <c r="B33" s="809">
        <v>24</v>
      </c>
      <c r="C33" s="809" t="str">
        <f>IF(Window!C48="", "", Window!C48)</f>
        <v/>
      </c>
      <c r="D33" s="809" t="str">
        <f>IF(Window!D48="", "", Window!D48)</f>
        <v/>
      </c>
      <c r="E33" s="809" t="str">
        <f>IF(Window!E48="", "", Window!E48)</f>
        <v/>
      </c>
      <c r="F33" s="809" t="str">
        <f>IF(Window!F48="", "", TEXT(Window!F48,"#0.0")&amp;" "&amp;Window!G48)</f>
        <v/>
      </c>
      <c r="G33" s="809" t="str">
        <f>IF(Window!H48="", "", TEXT(Window!H48,"#0.0")&amp;" "&amp;Window!I48)</f>
        <v/>
      </c>
      <c r="H33" s="820">
        <f>IF(Window!J48="", "", Window!J48)</f>
        <v>0</v>
      </c>
      <c r="I33" s="809" t="str">
        <f>IF(Window!K48="", "", Window!K48)</f>
        <v/>
      </c>
      <c r="J33" s="811" t="str">
        <f>IF(Window!L48="", "", Window!L48)</f>
        <v/>
      </c>
      <c r="K33" s="811" t="str">
        <f>IF(Window!M48="", "", Window!M48)</f>
        <v/>
      </c>
      <c r="L33" s="809" t="str">
        <f>IF(Window!N48="", "", Window!N48)</f>
        <v/>
      </c>
      <c r="M33" s="809" t="str">
        <f>IF(Window!P48="", "N/A", Window!P48)</f>
        <v>N/A</v>
      </c>
      <c r="N33" s="401"/>
    </row>
    <row r="34" spans="2:14" s="812" customFormat="1" ht="18" customHeight="1" x14ac:dyDescent="0.25">
      <c r="B34" s="809">
        <v>25</v>
      </c>
      <c r="C34" s="809" t="str">
        <f>IF(Window!C49="", "", Window!C49)</f>
        <v/>
      </c>
      <c r="D34" s="809" t="str">
        <f>IF(Window!D49="", "", Window!D49)</f>
        <v/>
      </c>
      <c r="E34" s="809" t="str">
        <f>IF(Window!E49="", "", Window!E49)</f>
        <v/>
      </c>
      <c r="F34" s="809" t="str">
        <f>IF(Window!F49="", "", TEXT(Window!F49,"#0.0")&amp;" "&amp;Window!G49)</f>
        <v/>
      </c>
      <c r="G34" s="809" t="str">
        <f>IF(Window!H49="", "", TEXT(Window!H49,"#0.0")&amp;" "&amp;Window!I49)</f>
        <v/>
      </c>
      <c r="H34" s="820">
        <f>IF(Window!J49="", "", Window!J49)</f>
        <v>0</v>
      </c>
      <c r="I34" s="809" t="str">
        <f>IF(Window!K49="", "", Window!K49)</f>
        <v/>
      </c>
      <c r="J34" s="811" t="str">
        <f>IF(Window!L49="", "", Window!L49)</f>
        <v/>
      </c>
      <c r="K34" s="811" t="str">
        <f>IF(Window!M49="", "", Window!M49)</f>
        <v/>
      </c>
      <c r="L34" s="809" t="str">
        <f>IF(Window!N49="", "", Window!N49)</f>
        <v/>
      </c>
      <c r="M34" s="809" t="str">
        <f>IF(Window!P49="", "N/A", Window!P49)</f>
        <v>N/A</v>
      </c>
      <c r="N34" s="401"/>
    </row>
    <row r="35" spans="2:14" s="812" customFormat="1" ht="18" customHeight="1" x14ac:dyDescent="0.25">
      <c r="B35" s="809">
        <v>26</v>
      </c>
      <c r="C35" s="809" t="str">
        <f>IF(Window!C50="", "", Window!C50)</f>
        <v/>
      </c>
      <c r="D35" s="809" t="str">
        <f>IF(Window!D50="", "", Window!D50)</f>
        <v/>
      </c>
      <c r="E35" s="809" t="str">
        <f>IF(Window!E50="", "", Window!E50)</f>
        <v/>
      </c>
      <c r="F35" s="809" t="str">
        <f>IF(Window!F50="", "", TEXT(Window!F50,"#0.0")&amp;" "&amp;Window!G50)</f>
        <v/>
      </c>
      <c r="G35" s="809" t="str">
        <f>IF(Window!H50="", "", TEXT(Window!H50,"#0.0")&amp;" "&amp;Window!I50)</f>
        <v/>
      </c>
      <c r="H35" s="820">
        <f>IF(Window!J50="", "", Window!J50)</f>
        <v>0</v>
      </c>
      <c r="I35" s="809" t="str">
        <f>IF(Window!K50="", "", Window!K50)</f>
        <v/>
      </c>
      <c r="J35" s="811" t="str">
        <f>IF(Window!L50="", "", Window!L50)</f>
        <v/>
      </c>
      <c r="K35" s="811" t="str">
        <f>IF(Window!M50="", "", Window!M50)</f>
        <v/>
      </c>
      <c r="L35" s="809" t="str">
        <f>IF(Window!N50="", "", Window!N50)</f>
        <v/>
      </c>
      <c r="M35" s="809" t="str">
        <f>IF(Window!P50="", "N/A", Window!P50)</f>
        <v>N/A</v>
      </c>
      <c r="N35" s="401"/>
    </row>
    <row r="36" spans="2:14" s="812" customFormat="1" ht="18" customHeight="1" x14ac:dyDescent="0.25">
      <c r="B36" s="809">
        <v>27</v>
      </c>
      <c r="C36" s="809" t="str">
        <f>IF(Window!C51="", "", Window!C51)</f>
        <v/>
      </c>
      <c r="D36" s="809" t="str">
        <f>IF(Window!D51="", "", Window!D51)</f>
        <v/>
      </c>
      <c r="E36" s="809" t="str">
        <f>IF(Window!E51="", "", Window!E51)</f>
        <v/>
      </c>
      <c r="F36" s="809" t="str">
        <f>IF(Window!F51="", "", TEXT(Window!F51,"#0.0")&amp;" "&amp;Window!G51)</f>
        <v/>
      </c>
      <c r="G36" s="809" t="str">
        <f>IF(Window!H51="", "", TEXT(Window!H51,"#0.0")&amp;" "&amp;Window!I51)</f>
        <v/>
      </c>
      <c r="H36" s="820">
        <f>IF(Window!J51="", "", Window!J51)</f>
        <v>0</v>
      </c>
      <c r="I36" s="809" t="str">
        <f>IF(Window!K51="", "", Window!K51)</f>
        <v/>
      </c>
      <c r="J36" s="811" t="str">
        <f>IF(Window!L51="", "", Window!L51)</f>
        <v/>
      </c>
      <c r="K36" s="811" t="str">
        <f>IF(Window!M51="", "", Window!M51)</f>
        <v/>
      </c>
      <c r="L36" s="809" t="str">
        <f>IF(Window!N51="", "", Window!N51)</f>
        <v/>
      </c>
      <c r="M36" s="809" t="str">
        <f>IF(Window!P51="", "N/A", Window!P51)</f>
        <v>N/A</v>
      </c>
      <c r="N36" s="401"/>
    </row>
    <row r="37" spans="2:14" s="812" customFormat="1" ht="18" customHeight="1" x14ac:dyDescent="0.25">
      <c r="B37" s="809">
        <v>28</v>
      </c>
      <c r="C37" s="809" t="str">
        <f>IF(Window!C52="", "", Window!C52)</f>
        <v/>
      </c>
      <c r="D37" s="809" t="str">
        <f>IF(Window!D52="", "", Window!D52)</f>
        <v/>
      </c>
      <c r="E37" s="809" t="str">
        <f>IF(Window!E52="", "", Window!E52)</f>
        <v/>
      </c>
      <c r="F37" s="809" t="str">
        <f>IF(Window!F52="", "", TEXT(Window!F52,"#0.0")&amp;" "&amp;Window!G52)</f>
        <v/>
      </c>
      <c r="G37" s="809" t="str">
        <f>IF(Window!H52="", "", TEXT(Window!H52,"#0.0")&amp;" "&amp;Window!I52)</f>
        <v/>
      </c>
      <c r="H37" s="820">
        <f>IF(Window!J52="", "", Window!J52)</f>
        <v>0</v>
      </c>
      <c r="I37" s="809" t="str">
        <f>IF(Window!K52="", "", Window!K52)</f>
        <v/>
      </c>
      <c r="J37" s="811" t="str">
        <f>IF(Window!L52="", "", Window!L52)</f>
        <v/>
      </c>
      <c r="K37" s="811" t="str">
        <f>IF(Window!M52="", "", Window!M52)</f>
        <v/>
      </c>
      <c r="L37" s="809" t="str">
        <f>IF(Window!N52="", "", Window!N52)</f>
        <v/>
      </c>
      <c r="M37" s="809" t="str">
        <f>IF(Window!P52="", "N/A", Window!P52)</f>
        <v>N/A</v>
      </c>
      <c r="N37" s="401"/>
    </row>
    <row r="38" spans="2:14" s="812" customFormat="1" ht="18" customHeight="1" x14ac:dyDescent="0.25">
      <c r="B38" s="809">
        <v>29</v>
      </c>
      <c r="C38" s="809" t="str">
        <f>IF(Window!C53="", "", Window!C53)</f>
        <v/>
      </c>
      <c r="D38" s="809" t="str">
        <f>IF(Window!D53="", "", Window!D53)</f>
        <v/>
      </c>
      <c r="E38" s="809" t="str">
        <f>IF(Window!E53="", "", Window!E53)</f>
        <v/>
      </c>
      <c r="F38" s="809" t="str">
        <f>IF(Window!F53="", "", TEXT(Window!F53,"#0.0")&amp;" "&amp;Window!G53)</f>
        <v/>
      </c>
      <c r="G38" s="809" t="str">
        <f>IF(Window!H53="", "", TEXT(Window!H53,"#0.0")&amp;" "&amp;Window!I53)</f>
        <v/>
      </c>
      <c r="H38" s="820">
        <f>IF(Window!J53="", "", Window!J53)</f>
        <v>0</v>
      </c>
      <c r="I38" s="809" t="str">
        <f>IF(Window!K53="", "", Window!K53)</f>
        <v/>
      </c>
      <c r="J38" s="811" t="str">
        <f>IF(Window!L53="", "", Window!L53)</f>
        <v/>
      </c>
      <c r="K38" s="811" t="str">
        <f>IF(Window!M53="", "", Window!M53)</f>
        <v/>
      </c>
      <c r="L38" s="809" t="str">
        <f>IF(Window!N53="", "", Window!N53)</f>
        <v/>
      </c>
      <c r="M38" s="809" t="str">
        <f>IF(Window!P53="", "N/A", Window!P53)</f>
        <v>N/A</v>
      </c>
      <c r="N38" s="401"/>
    </row>
    <row r="39" spans="2:14" s="812" customFormat="1" ht="18" customHeight="1" x14ac:dyDescent="0.25">
      <c r="B39" s="809">
        <v>30</v>
      </c>
      <c r="C39" s="809" t="str">
        <f>IF(Window!C54="", "", Window!C54)</f>
        <v/>
      </c>
      <c r="D39" s="809" t="str">
        <f>IF(Window!D54="", "", Window!D54)</f>
        <v/>
      </c>
      <c r="E39" s="809" t="str">
        <f>IF(Window!E54="", "", Window!E54)</f>
        <v/>
      </c>
      <c r="F39" s="809" t="str">
        <f>IF(Window!F54="", "", TEXT(Window!F54,"#0.0")&amp;" "&amp;Window!G54)</f>
        <v/>
      </c>
      <c r="G39" s="809" t="str">
        <f>IF(Window!H54="", "", TEXT(Window!H54,"#0.0")&amp;" "&amp;Window!I54)</f>
        <v/>
      </c>
      <c r="H39" s="820">
        <f>IF(Window!J54="", "", Window!J54)</f>
        <v>0</v>
      </c>
      <c r="I39" s="809" t="str">
        <f>IF(Window!K54="", "", Window!K54)</f>
        <v/>
      </c>
      <c r="J39" s="811" t="str">
        <f>IF(Window!L54="", "", Window!L54)</f>
        <v/>
      </c>
      <c r="K39" s="811" t="str">
        <f>IF(Window!M54="", "", Window!M54)</f>
        <v/>
      </c>
      <c r="L39" s="809" t="str">
        <f>IF(Window!N54="", "", Window!N54)</f>
        <v/>
      </c>
      <c r="M39" s="809" t="str">
        <f>IF(Window!P54="", "N/A", Window!P54)</f>
        <v>N/A</v>
      </c>
      <c r="N39" s="401"/>
    </row>
    <row r="40" spans="2:14" s="812" customFormat="1" ht="18" customHeight="1" x14ac:dyDescent="0.25">
      <c r="B40" s="809">
        <v>31</v>
      </c>
      <c r="C40" s="809" t="str">
        <f>IF(Window!C55="", "", Window!C55)</f>
        <v/>
      </c>
      <c r="D40" s="809" t="str">
        <f>IF(Window!D55="", "", Window!D55)</f>
        <v/>
      </c>
      <c r="E40" s="809" t="str">
        <f>IF(Window!E55="", "", Window!E55)</f>
        <v/>
      </c>
      <c r="F40" s="809" t="str">
        <f>IF(Window!F55="", "", TEXT(Window!F55,"#0.0")&amp;" "&amp;Window!G55)</f>
        <v/>
      </c>
      <c r="G40" s="809" t="str">
        <f>IF(Window!H55="", "", TEXT(Window!H55,"#0.0")&amp;" "&amp;Window!I55)</f>
        <v/>
      </c>
      <c r="H40" s="820">
        <f>IF(Window!J55="", "", Window!J55)</f>
        <v>0</v>
      </c>
      <c r="I40" s="809" t="str">
        <f>IF(Window!K55="", "", Window!K55)</f>
        <v/>
      </c>
      <c r="J40" s="811" t="str">
        <f>IF(Window!L55="", "", Window!L55)</f>
        <v/>
      </c>
      <c r="K40" s="811" t="str">
        <f>IF(Window!M55="", "", Window!M55)</f>
        <v/>
      </c>
      <c r="L40" s="809" t="str">
        <f>IF(Window!N55="", "", Window!N55)</f>
        <v/>
      </c>
      <c r="M40" s="809" t="str">
        <f>IF(Window!P55="", "N/A", Window!P55)</f>
        <v>N/A</v>
      </c>
      <c r="N40" s="401"/>
    </row>
    <row r="41" spans="2:14" s="812" customFormat="1" ht="18" customHeight="1" x14ac:dyDescent="0.25">
      <c r="B41" s="809">
        <v>32</v>
      </c>
      <c r="C41" s="809" t="str">
        <f>IF(Window!C56="", "", Window!C56)</f>
        <v/>
      </c>
      <c r="D41" s="809" t="str">
        <f>IF(Window!D56="", "", Window!D56)</f>
        <v/>
      </c>
      <c r="E41" s="809" t="str">
        <f>IF(Window!E56="", "", Window!E56)</f>
        <v/>
      </c>
      <c r="F41" s="809" t="str">
        <f>IF(Window!F56="", "", TEXT(Window!F56,"#0.0")&amp;" "&amp;Window!G56)</f>
        <v/>
      </c>
      <c r="G41" s="809" t="str">
        <f>IF(Window!H56="", "", TEXT(Window!H56,"#0.0")&amp;" "&amp;Window!I56)</f>
        <v/>
      </c>
      <c r="H41" s="820">
        <f>IF(Window!J56="", "", Window!J56)</f>
        <v>0</v>
      </c>
      <c r="I41" s="809" t="str">
        <f>IF(Window!K56="", "", Window!K56)</f>
        <v/>
      </c>
      <c r="J41" s="811" t="str">
        <f>IF(Window!L56="", "", Window!L56)</f>
        <v/>
      </c>
      <c r="K41" s="811" t="str">
        <f>IF(Window!M56="", "", Window!M56)</f>
        <v/>
      </c>
      <c r="L41" s="809" t="str">
        <f>IF(Window!N56="", "", Window!N56)</f>
        <v/>
      </c>
      <c r="M41" s="809" t="str">
        <f>IF(Window!P56="", "N/A", Window!P56)</f>
        <v>N/A</v>
      </c>
      <c r="N41" s="401"/>
    </row>
    <row r="42" spans="2:14" s="812" customFormat="1" ht="18" customHeight="1" x14ac:dyDescent="0.25">
      <c r="B42" s="809">
        <v>33</v>
      </c>
      <c r="C42" s="809" t="str">
        <f>IF(Window!C57="", "", Window!C57)</f>
        <v/>
      </c>
      <c r="D42" s="809" t="str">
        <f>IF(Window!D57="", "", Window!D57)</f>
        <v/>
      </c>
      <c r="E42" s="809" t="str">
        <f>IF(Window!E57="", "", Window!E57)</f>
        <v/>
      </c>
      <c r="F42" s="809" t="str">
        <f>IF(Window!F57="", "", TEXT(Window!F57,"#0.0")&amp;" "&amp;Window!G57)</f>
        <v/>
      </c>
      <c r="G42" s="809" t="str">
        <f>IF(Window!H57="", "", TEXT(Window!H57,"#0.0")&amp;" "&amp;Window!I57)</f>
        <v/>
      </c>
      <c r="H42" s="820">
        <f>IF(Window!J57="", "", Window!J57)</f>
        <v>0</v>
      </c>
      <c r="I42" s="809" t="str">
        <f>IF(Window!K57="", "", Window!K57)</f>
        <v/>
      </c>
      <c r="J42" s="811" t="str">
        <f>IF(Window!L57="", "", Window!L57)</f>
        <v/>
      </c>
      <c r="K42" s="811" t="str">
        <f>IF(Window!M57="", "", Window!M57)</f>
        <v/>
      </c>
      <c r="L42" s="809" t="str">
        <f>IF(Window!N57="", "", Window!N57)</f>
        <v/>
      </c>
      <c r="M42" s="809" t="str">
        <f>IF(Window!P57="", "N/A", Window!P57)</f>
        <v>N/A</v>
      </c>
      <c r="N42" s="401"/>
    </row>
    <row r="43" spans="2:14" s="812" customFormat="1" ht="18" customHeight="1" x14ac:dyDescent="0.25">
      <c r="B43" s="809">
        <v>34</v>
      </c>
      <c r="C43" s="809" t="str">
        <f>IF(Window!C58="", "", Window!C58)</f>
        <v/>
      </c>
      <c r="D43" s="809" t="str">
        <f>IF(Window!D58="", "", Window!D58)</f>
        <v/>
      </c>
      <c r="E43" s="809" t="str">
        <f>IF(Window!E58="", "", Window!E58)</f>
        <v/>
      </c>
      <c r="F43" s="809" t="str">
        <f>IF(Window!F58="", "", TEXT(Window!F58,"#0.0")&amp;" "&amp;Window!G58)</f>
        <v/>
      </c>
      <c r="G43" s="809" t="str">
        <f>IF(Window!H58="", "", TEXT(Window!H58,"#0.0")&amp;" "&amp;Window!I58)</f>
        <v/>
      </c>
      <c r="H43" s="820">
        <f>IF(Window!J58="", "", Window!J58)</f>
        <v>0</v>
      </c>
      <c r="I43" s="809" t="str">
        <f>IF(Window!K58="", "", Window!K58)</f>
        <v/>
      </c>
      <c r="J43" s="811" t="str">
        <f>IF(Window!L58="", "", Window!L58)</f>
        <v/>
      </c>
      <c r="K43" s="811" t="str">
        <f>IF(Window!M58="", "", Window!M58)</f>
        <v/>
      </c>
      <c r="L43" s="809" t="str">
        <f>IF(Window!N58="", "", Window!N58)</f>
        <v/>
      </c>
      <c r="M43" s="809" t="str">
        <f>IF(Window!P58="", "N/A", Window!P58)</f>
        <v>N/A</v>
      </c>
      <c r="N43" s="401"/>
    </row>
    <row r="44" spans="2:14" s="812" customFormat="1" ht="18" customHeight="1" x14ac:dyDescent="0.25">
      <c r="B44" s="809">
        <v>35</v>
      </c>
      <c r="C44" s="809" t="str">
        <f>IF(Window!C59="", "", Window!C59)</f>
        <v/>
      </c>
      <c r="D44" s="809" t="str">
        <f>IF(Window!D59="", "", Window!D59)</f>
        <v/>
      </c>
      <c r="E44" s="809" t="str">
        <f>IF(Window!E59="", "", Window!E59)</f>
        <v/>
      </c>
      <c r="F44" s="809" t="str">
        <f>IF(Window!F59="", "", TEXT(Window!F59,"#0.0")&amp;" "&amp;Window!G59)</f>
        <v/>
      </c>
      <c r="G44" s="809" t="str">
        <f>IF(Window!H59="", "", TEXT(Window!H59,"#0.0")&amp;" "&amp;Window!I59)</f>
        <v/>
      </c>
      <c r="H44" s="820">
        <f>IF(Window!J59="", "", Window!J59)</f>
        <v>0</v>
      </c>
      <c r="I44" s="809" t="str">
        <f>IF(Window!K59="", "", Window!K59)</f>
        <v/>
      </c>
      <c r="J44" s="811" t="str">
        <f>IF(Window!L59="", "", Window!L59)</f>
        <v/>
      </c>
      <c r="K44" s="811" t="str">
        <f>IF(Window!M59="", "", Window!M59)</f>
        <v/>
      </c>
      <c r="L44" s="809" t="str">
        <f>IF(Window!N59="", "", Window!N59)</f>
        <v/>
      </c>
      <c r="M44" s="809" t="str">
        <f>IF(Window!P59="", "N/A", Window!P59)</f>
        <v>N/A</v>
      </c>
      <c r="N44" s="401"/>
    </row>
    <row r="45" spans="2:14" s="812" customFormat="1" ht="18" customHeight="1" x14ac:dyDescent="0.25">
      <c r="B45" s="809">
        <v>36</v>
      </c>
      <c r="C45" s="809" t="str">
        <f>IF(Window!C60="", "", Window!C60)</f>
        <v/>
      </c>
      <c r="D45" s="809" t="str">
        <f>IF(Window!D60="", "", Window!D60)</f>
        <v/>
      </c>
      <c r="E45" s="809" t="str">
        <f>IF(Window!E60="", "", Window!E60)</f>
        <v/>
      </c>
      <c r="F45" s="809" t="str">
        <f>IF(Window!F60="", "", TEXT(Window!F60,"#0.0")&amp;" "&amp;Window!G60)</f>
        <v/>
      </c>
      <c r="G45" s="809" t="str">
        <f>IF(Window!H60="", "", TEXT(Window!H60,"#0.0")&amp;" "&amp;Window!I60)</f>
        <v/>
      </c>
      <c r="H45" s="820">
        <f>IF(Window!J60="", "", Window!J60)</f>
        <v>0</v>
      </c>
      <c r="I45" s="809" t="str">
        <f>IF(Window!K60="", "", Window!K60)</f>
        <v/>
      </c>
      <c r="J45" s="811" t="str">
        <f>IF(Window!L60="", "", Window!L60)</f>
        <v/>
      </c>
      <c r="K45" s="811" t="str">
        <f>IF(Window!M60="", "", Window!M60)</f>
        <v/>
      </c>
      <c r="L45" s="809" t="str">
        <f>IF(Window!N60="", "", Window!N60)</f>
        <v/>
      </c>
      <c r="M45" s="809" t="str">
        <f>IF(Window!P60="", "N/A", Window!P60)</f>
        <v>N/A</v>
      </c>
      <c r="N45" s="401"/>
    </row>
    <row r="46" spans="2:14" s="812" customFormat="1" ht="18" customHeight="1" x14ac:dyDescent="0.25">
      <c r="B46" s="809">
        <v>37</v>
      </c>
      <c r="C46" s="809" t="str">
        <f>IF(Window!C61="", "", Window!C61)</f>
        <v/>
      </c>
      <c r="D46" s="809" t="str">
        <f>IF(Window!D61="", "", Window!D61)</f>
        <v/>
      </c>
      <c r="E46" s="809" t="str">
        <f>IF(Window!E61="", "", Window!E61)</f>
        <v/>
      </c>
      <c r="F46" s="809" t="str">
        <f>IF(Window!F61="", "", TEXT(Window!F61,"#0.0")&amp;" "&amp;Window!G61)</f>
        <v/>
      </c>
      <c r="G46" s="809" t="str">
        <f>IF(Window!H61="", "", TEXT(Window!H61,"#0.0")&amp;" "&amp;Window!I61)</f>
        <v/>
      </c>
      <c r="H46" s="820">
        <f>IF(Window!J61="", "", Window!J61)</f>
        <v>0</v>
      </c>
      <c r="I46" s="809" t="str">
        <f>IF(Window!K61="", "", Window!K61)</f>
        <v/>
      </c>
      <c r="J46" s="811" t="str">
        <f>IF(Window!L61="", "", Window!L61)</f>
        <v/>
      </c>
      <c r="K46" s="811" t="str">
        <f>IF(Window!M61="", "", Window!M61)</f>
        <v/>
      </c>
      <c r="L46" s="809" t="str">
        <f>IF(Window!N61="", "", Window!N61)</f>
        <v/>
      </c>
      <c r="M46" s="809" t="str">
        <f>IF(Window!P61="", "N/A", Window!P61)</f>
        <v>N/A</v>
      </c>
      <c r="N46" s="401"/>
    </row>
    <row r="47" spans="2:14" s="812" customFormat="1" ht="18" customHeight="1" x14ac:dyDescent="0.25">
      <c r="B47" s="809">
        <v>38</v>
      </c>
      <c r="C47" s="809" t="str">
        <f>IF(Window!C62="", "", Window!C62)</f>
        <v/>
      </c>
      <c r="D47" s="809" t="str">
        <f>IF(Window!D62="", "", Window!D62)</f>
        <v/>
      </c>
      <c r="E47" s="809" t="str">
        <f>IF(Window!E62="", "", Window!E62)</f>
        <v/>
      </c>
      <c r="F47" s="809" t="str">
        <f>IF(Window!F62="", "", TEXT(Window!F62,"#0.0")&amp;" "&amp;Window!G62)</f>
        <v/>
      </c>
      <c r="G47" s="809" t="str">
        <f>IF(Window!H62="", "", TEXT(Window!H62,"#0.0")&amp;" "&amp;Window!I62)</f>
        <v/>
      </c>
      <c r="H47" s="820">
        <f>IF(Window!J62="", "", Window!J62)</f>
        <v>0</v>
      </c>
      <c r="I47" s="809" t="str">
        <f>IF(Window!K62="", "", Window!K62)</f>
        <v/>
      </c>
      <c r="J47" s="811" t="str">
        <f>IF(Window!L62="", "", Window!L62)</f>
        <v/>
      </c>
      <c r="K47" s="811" t="str">
        <f>IF(Window!M62="", "", Window!M62)</f>
        <v/>
      </c>
      <c r="L47" s="809" t="str">
        <f>IF(Window!N62="", "", Window!N62)</f>
        <v/>
      </c>
      <c r="M47" s="809" t="str">
        <f>IF(Window!P62="", "N/A", Window!P62)</f>
        <v>N/A</v>
      </c>
      <c r="N47" s="401"/>
    </row>
    <row r="48" spans="2:14" s="812" customFormat="1" ht="18" customHeight="1" x14ac:dyDescent="0.25">
      <c r="B48" s="809">
        <v>39</v>
      </c>
      <c r="C48" s="809" t="str">
        <f>IF(Window!C63="", "", Window!C63)</f>
        <v/>
      </c>
      <c r="D48" s="809" t="str">
        <f>IF(Window!D63="", "", Window!D63)</f>
        <v/>
      </c>
      <c r="E48" s="809" t="str">
        <f>IF(Window!E63="", "", Window!E63)</f>
        <v/>
      </c>
      <c r="F48" s="809" t="str">
        <f>IF(Window!F63="", "", TEXT(Window!F63,"#0.0")&amp;" "&amp;Window!G63)</f>
        <v/>
      </c>
      <c r="G48" s="809" t="str">
        <f>IF(Window!H63="", "", TEXT(Window!H63,"#0.0")&amp;" "&amp;Window!I63)</f>
        <v/>
      </c>
      <c r="H48" s="820">
        <f>IF(Window!J63="", "", Window!J63)</f>
        <v>0</v>
      </c>
      <c r="I48" s="809" t="str">
        <f>IF(Window!K63="", "", Window!K63)</f>
        <v/>
      </c>
      <c r="J48" s="811" t="str">
        <f>IF(Window!L63="", "", Window!L63)</f>
        <v/>
      </c>
      <c r="K48" s="811" t="str">
        <f>IF(Window!M63="", "", Window!M63)</f>
        <v/>
      </c>
      <c r="L48" s="809" t="str">
        <f>IF(Window!N63="", "", Window!N63)</f>
        <v/>
      </c>
      <c r="M48" s="809" t="str">
        <f>IF(Window!P63="", "N/A", Window!P63)</f>
        <v>N/A</v>
      </c>
      <c r="N48" s="401"/>
    </row>
    <row r="49" spans="2:14" s="812" customFormat="1" ht="18" customHeight="1" x14ac:dyDescent="0.25">
      <c r="B49" s="809">
        <v>40</v>
      </c>
      <c r="C49" s="809" t="str">
        <f>IF(Window!C64="", "", Window!C64)</f>
        <v/>
      </c>
      <c r="D49" s="809" t="str">
        <f>IF(Window!D64="", "", Window!D64)</f>
        <v/>
      </c>
      <c r="E49" s="809" t="str">
        <f>IF(Window!E64="", "", Window!E64)</f>
        <v/>
      </c>
      <c r="F49" s="809" t="str">
        <f>IF(Window!F64="", "", TEXT(Window!F64,"#0.0")&amp;" "&amp;Window!G64)</f>
        <v/>
      </c>
      <c r="G49" s="809" t="str">
        <f>IF(Window!H64="", "", TEXT(Window!H64,"#0.0")&amp;" "&amp;Window!I64)</f>
        <v/>
      </c>
      <c r="H49" s="820">
        <f>IF(Window!J64="", "", Window!J64)</f>
        <v>0</v>
      </c>
      <c r="I49" s="809" t="str">
        <f>IF(Window!K64="", "", Window!K64)</f>
        <v/>
      </c>
      <c r="J49" s="811" t="str">
        <f>IF(Window!L64="", "", Window!L64)</f>
        <v/>
      </c>
      <c r="K49" s="811" t="str">
        <f>IF(Window!M64="", "", Window!M64)</f>
        <v/>
      </c>
      <c r="L49" s="809" t="str">
        <f>IF(Window!N64="", "", Window!N64)</f>
        <v/>
      </c>
      <c r="M49" s="809" t="str">
        <f>IF(Window!P64="", "N/A", Window!P64)</f>
        <v>N/A</v>
      </c>
      <c r="N49" s="401"/>
    </row>
    <row r="50" spans="2:14" s="812" customFormat="1" ht="18" customHeight="1" x14ac:dyDescent="0.25">
      <c r="B50" s="809">
        <v>41</v>
      </c>
      <c r="C50" s="809" t="str">
        <f>IF(Window!C65="", "", Window!C65)</f>
        <v/>
      </c>
      <c r="D50" s="809" t="str">
        <f>IF(Window!D65="", "", Window!D65)</f>
        <v/>
      </c>
      <c r="E50" s="809" t="str">
        <f>IF(Window!E65="", "", Window!E65)</f>
        <v/>
      </c>
      <c r="F50" s="809" t="str">
        <f>IF(Window!F65="", "", TEXT(Window!F65,"#0.0")&amp;" "&amp;Window!G65)</f>
        <v/>
      </c>
      <c r="G50" s="809" t="str">
        <f>IF(Window!H65="", "", TEXT(Window!H65,"#0.0")&amp;" "&amp;Window!I65)</f>
        <v/>
      </c>
      <c r="H50" s="820">
        <f>IF(Window!J65="", "", Window!J65)</f>
        <v>0</v>
      </c>
      <c r="I50" s="809" t="str">
        <f>IF(Window!K65="", "", Window!K65)</f>
        <v/>
      </c>
      <c r="J50" s="811" t="str">
        <f>IF(Window!L65="", "", Window!L65)</f>
        <v/>
      </c>
      <c r="K50" s="811" t="str">
        <f>IF(Window!M65="", "", Window!M65)</f>
        <v/>
      </c>
      <c r="L50" s="809" t="str">
        <f>IF(Window!N65="", "", Window!N65)</f>
        <v/>
      </c>
      <c r="M50" s="809" t="str">
        <f>IF(Window!P65="", "N/A", Window!P65)</f>
        <v>N/A</v>
      </c>
      <c r="N50" s="401"/>
    </row>
    <row r="51" spans="2:14" s="812" customFormat="1" ht="18" customHeight="1" x14ac:dyDescent="0.25">
      <c r="B51" s="809">
        <v>42</v>
      </c>
      <c r="C51" s="809" t="str">
        <f>IF(Window!C66="", "", Window!C66)</f>
        <v/>
      </c>
      <c r="D51" s="809" t="str">
        <f>IF(Window!D66="", "", Window!D66)</f>
        <v/>
      </c>
      <c r="E51" s="809" t="str">
        <f>IF(Window!E66="", "", Window!E66)</f>
        <v/>
      </c>
      <c r="F51" s="809" t="str">
        <f>IF(Window!F66="", "", TEXT(Window!F66,"#0.0")&amp;" "&amp;Window!G66)</f>
        <v/>
      </c>
      <c r="G51" s="809" t="str">
        <f>IF(Window!H66="", "", TEXT(Window!H66,"#0.0")&amp;" "&amp;Window!I66)</f>
        <v/>
      </c>
      <c r="H51" s="820">
        <f>IF(Window!J66="", "", Window!J66)</f>
        <v>0</v>
      </c>
      <c r="I51" s="809" t="str">
        <f>IF(Window!K66="", "", Window!K66)</f>
        <v/>
      </c>
      <c r="J51" s="811" t="str">
        <f>IF(Window!L66="", "", Window!L66)</f>
        <v/>
      </c>
      <c r="K51" s="811" t="str">
        <f>IF(Window!M66="", "", Window!M66)</f>
        <v/>
      </c>
      <c r="L51" s="809" t="str">
        <f>IF(Window!N66="", "", Window!N66)</f>
        <v/>
      </c>
      <c r="M51" s="809" t="str">
        <f>IF(Window!P66="", "N/A", Window!P66)</f>
        <v>N/A</v>
      </c>
      <c r="N51" s="401"/>
    </row>
    <row r="52" spans="2:14" s="812" customFormat="1" ht="18" customHeight="1" x14ac:dyDescent="0.25">
      <c r="B52" s="809">
        <v>43</v>
      </c>
      <c r="C52" s="809" t="str">
        <f>IF(Window!C67="", "", Window!C67)</f>
        <v/>
      </c>
      <c r="D52" s="809" t="str">
        <f>IF(Window!D67="", "", Window!D67)</f>
        <v/>
      </c>
      <c r="E52" s="809" t="str">
        <f>IF(Window!E67="", "", Window!E67)</f>
        <v/>
      </c>
      <c r="F52" s="809" t="str">
        <f>IF(Window!F67="", "", TEXT(Window!F67,"#0.0")&amp;" "&amp;Window!G67)</f>
        <v/>
      </c>
      <c r="G52" s="809" t="str">
        <f>IF(Window!H67="", "", TEXT(Window!H67,"#0.0")&amp;" "&amp;Window!I67)</f>
        <v/>
      </c>
      <c r="H52" s="820">
        <f>IF(Window!J67="", "", Window!J67)</f>
        <v>0</v>
      </c>
      <c r="I52" s="809" t="str">
        <f>IF(Window!K67="", "", Window!K67)</f>
        <v/>
      </c>
      <c r="J52" s="811" t="str">
        <f>IF(Window!L67="", "", Window!L67)</f>
        <v/>
      </c>
      <c r="K52" s="811" t="str">
        <f>IF(Window!M67="", "", Window!M67)</f>
        <v/>
      </c>
      <c r="L52" s="809" t="str">
        <f>IF(Window!N67="", "", Window!N67)</f>
        <v/>
      </c>
      <c r="M52" s="809" t="str">
        <f>IF(Window!P67="", "N/A", Window!P67)</f>
        <v>N/A</v>
      </c>
      <c r="N52" s="401"/>
    </row>
    <row r="53" spans="2:14" s="812" customFormat="1" ht="18" customHeight="1" x14ac:dyDescent="0.25">
      <c r="B53" s="809">
        <v>44</v>
      </c>
      <c r="C53" s="809" t="str">
        <f>IF(Window!C68="", "", Window!C68)</f>
        <v/>
      </c>
      <c r="D53" s="809" t="str">
        <f>IF(Window!D68="", "", Window!D68)</f>
        <v/>
      </c>
      <c r="E53" s="809" t="str">
        <f>IF(Window!E68="", "", Window!E68)</f>
        <v/>
      </c>
      <c r="F53" s="809" t="str">
        <f>IF(Window!F68="", "", TEXT(Window!F68,"#0.0")&amp;" "&amp;Window!G68)</f>
        <v/>
      </c>
      <c r="G53" s="809" t="str">
        <f>IF(Window!H68="", "", TEXT(Window!H68,"#0.0")&amp;" "&amp;Window!I68)</f>
        <v/>
      </c>
      <c r="H53" s="820">
        <f>IF(Window!J68="", "", Window!J68)</f>
        <v>0</v>
      </c>
      <c r="I53" s="809" t="str">
        <f>IF(Window!K68="", "", Window!K68)</f>
        <v/>
      </c>
      <c r="J53" s="811" t="str">
        <f>IF(Window!L68="", "", Window!L68)</f>
        <v/>
      </c>
      <c r="K53" s="811" t="str">
        <f>IF(Window!M68="", "", Window!M68)</f>
        <v/>
      </c>
      <c r="L53" s="809" t="str">
        <f>IF(Window!N68="", "", Window!N68)</f>
        <v/>
      </c>
      <c r="M53" s="809" t="str">
        <f>IF(Window!P68="", "N/A", Window!P68)</f>
        <v>N/A</v>
      </c>
      <c r="N53" s="401"/>
    </row>
    <row r="54" spans="2:14" s="812" customFormat="1" ht="18" customHeight="1" x14ac:dyDescent="0.25">
      <c r="B54" s="809">
        <v>45</v>
      </c>
      <c r="C54" s="809" t="str">
        <f>IF(Window!C69="", "", Window!C69)</f>
        <v/>
      </c>
      <c r="D54" s="809" t="str">
        <f>IF(Window!D69="", "", Window!D69)</f>
        <v/>
      </c>
      <c r="E54" s="809" t="str">
        <f>IF(Window!E69="", "", Window!E69)</f>
        <v/>
      </c>
      <c r="F54" s="809" t="str">
        <f>IF(Window!F69="", "", TEXT(Window!F69,"#0.0")&amp;" "&amp;Window!G69)</f>
        <v/>
      </c>
      <c r="G54" s="809" t="str">
        <f>IF(Window!H69="", "", TEXT(Window!H69,"#0.0")&amp;" "&amp;Window!I69)</f>
        <v/>
      </c>
      <c r="H54" s="820">
        <f>IF(Window!J69="", "", Window!J69)</f>
        <v>0</v>
      </c>
      <c r="I54" s="809" t="str">
        <f>IF(Window!K69="", "", Window!K69)</f>
        <v/>
      </c>
      <c r="J54" s="811" t="str">
        <f>IF(Window!L69="", "", Window!L69)</f>
        <v/>
      </c>
      <c r="K54" s="811" t="str">
        <f>IF(Window!M69="", "", Window!M69)</f>
        <v/>
      </c>
      <c r="L54" s="809" t="str">
        <f>IF(Window!N69="", "", Window!N69)</f>
        <v/>
      </c>
      <c r="M54" s="809" t="str">
        <f>IF(Window!P69="", "N/A", Window!P69)</f>
        <v>N/A</v>
      </c>
      <c r="N54" s="401"/>
    </row>
    <row r="55" spans="2:14" s="812" customFormat="1" ht="18" customHeight="1" x14ac:dyDescent="0.25">
      <c r="B55" s="809">
        <v>46</v>
      </c>
      <c r="C55" s="809" t="str">
        <f>IF(Window!C70="", "", Window!C70)</f>
        <v/>
      </c>
      <c r="D55" s="809" t="str">
        <f>IF(Window!D70="", "", Window!D70)</f>
        <v/>
      </c>
      <c r="E55" s="809" t="str">
        <f>IF(Window!E70="", "", Window!E70)</f>
        <v/>
      </c>
      <c r="F55" s="809" t="str">
        <f>IF(Window!F70="", "", TEXT(Window!F70,"#0.0")&amp;" "&amp;Window!G70)</f>
        <v/>
      </c>
      <c r="G55" s="809" t="str">
        <f>IF(Window!H70="", "", TEXT(Window!H70,"#0.0")&amp;" "&amp;Window!I70)</f>
        <v/>
      </c>
      <c r="H55" s="820">
        <f>IF(Window!J70="", "", Window!J70)</f>
        <v>0</v>
      </c>
      <c r="I55" s="809" t="str">
        <f>IF(Window!K70="", "", Window!K70)</f>
        <v/>
      </c>
      <c r="J55" s="811" t="str">
        <f>IF(Window!L70="", "", Window!L70)</f>
        <v/>
      </c>
      <c r="K55" s="811" t="str">
        <f>IF(Window!M70="", "", Window!M70)</f>
        <v/>
      </c>
      <c r="L55" s="809" t="str">
        <f>IF(Window!N70="", "", Window!N70)</f>
        <v/>
      </c>
      <c r="M55" s="809" t="str">
        <f>IF(Window!P70="", "N/A", Window!P70)</f>
        <v>N/A</v>
      </c>
      <c r="N55" s="401"/>
    </row>
    <row r="56" spans="2:14" s="812" customFormat="1" ht="18" customHeight="1" x14ac:dyDescent="0.25">
      <c r="B56" s="809">
        <v>47</v>
      </c>
      <c r="C56" s="809" t="str">
        <f>IF(Window!C71="", "", Window!C71)</f>
        <v/>
      </c>
      <c r="D56" s="809" t="str">
        <f>IF(Window!D71="", "", Window!D71)</f>
        <v/>
      </c>
      <c r="E56" s="809" t="str">
        <f>IF(Window!E71="", "", Window!E71)</f>
        <v/>
      </c>
      <c r="F56" s="809" t="str">
        <f>IF(Window!F71="", "", TEXT(Window!F71,"#0.0")&amp;" "&amp;Window!G71)</f>
        <v/>
      </c>
      <c r="G56" s="809" t="str">
        <f>IF(Window!H71="", "", TEXT(Window!H71,"#0.0")&amp;" "&amp;Window!I71)</f>
        <v/>
      </c>
      <c r="H56" s="820">
        <f>IF(Window!J71="", "", Window!J71)</f>
        <v>0</v>
      </c>
      <c r="I56" s="809" t="str">
        <f>IF(Window!K71="", "", Window!K71)</f>
        <v/>
      </c>
      <c r="J56" s="811" t="str">
        <f>IF(Window!L71="", "", Window!L71)</f>
        <v/>
      </c>
      <c r="K56" s="811" t="str">
        <f>IF(Window!M71="", "", Window!M71)</f>
        <v/>
      </c>
      <c r="L56" s="809" t="str">
        <f>IF(Window!N71="", "", Window!N71)</f>
        <v/>
      </c>
      <c r="M56" s="809" t="str">
        <f>IF(Window!P71="", "N/A", Window!P71)</f>
        <v>N/A</v>
      </c>
      <c r="N56" s="401"/>
    </row>
    <row r="57" spans="2:14" s="812" customFormat="1" ht="18" customHeight="1" x14ac:dyDescent="0.25">
      <c r="B57" s="809">
        <v>48</v>
      </c>
      <c r="C57" s="809" t="str">
        <f>IF(Window!C72="", "", Window!C72)</f>
        <v/>
      </c>
      <c r="D57" s="809" t="str">
        <f>IF(Window!D72="", "", Window!D72)</f>
        <v/>
      </c>
      <c r="E57" s="809" t="str">
        <f>IF(Window!E72="", "", Window!E72)</f>
        <v/>
      </c>
      <c r="F57" s="809" t="str">
        <f>IF(Window!F72="", "", TEXT(Window!F72,"#0.0")&amp;" "&amp;Window!G72)</f>
        <v/>
      </c>
      <c r="G57" s="809" t="str">
        <f>IF(Window!H72="", "", TEXT(Window!H72,"#0.0")&amp;" "&amp;Window!I72)</f>
        <v/>
      </c>
      <c r="H57" s="820">
        <f>IF(Window!J72="", "", Window!J72)</f>
        <v>0</v>
      </c>
      <c r="I57" s="809" t="str">
        <f>IF(Window!K72="", "", Window!K72)</f>
        <v/>
      </c>
      <c r="J57" s="811" t="str">
        <f>IF(Window!L72="", "", Window!L72)</f>
        <v/>
      </c>
      <c r="K57" s="811" t="str">
        <f>IF(Window!M72="", "", Window!M72)</f>
        <v/>
      </c>
      <c r="L57" s="809" t="str">
        <f>IF(Window!N72="", "", Window!N72)</f>
        <v/>
      </c>
      <c r="M57" s="809" t="str">
        <f>IF(Window!P72="", "N/A", Window!P72)</f>
        <v>N/A</v>
      </c>
      <c r="N57" s="401"/>
    </row>
    <row r="58" spans="2:14" s="812" customFormat="1" ht="18" customHeight="1" x14ac:dyDescent="0.25">
      <c r="B58" s="809">
        <v>49</v>
      </c>
      <c r="C58" s="809" t="str">
        <f>IF(Window!C73="", "", Window!C73)</f>
        <v/>
      </c>
      <c r="D58" s="809" t="str">
        <f>IF(Window!D73="", "", Window!D73)</f>
        <v/>
      </c>
      <c r="E58" s="809" t="str">
        <f>IF(Window!E73="", "", Window!E73)</f>
        <v/>
      </c>
      <c r="F58" s="809" t="str">
        <f>IF(Window!F73="", "", TEXT(Window!F73,"#0.0")&amp;" "&amp;Window!G73)</f>
        <v/>
      </c>
      <c r="G58" s="809" t="str">
        <f>IF(Window!H73="", "", TEXT(Window!H73,"#0.0")&amp;" "&amp;Window!I73)</f>
        <v/>
      </c>
      <c r="H58" s="820">
        <f>IF(Window!J73="", "", Window!J73)</f>
        <v>0</v>
      </c>
      <c r="I58" s="809" t="str">
        <f>IF(Window!K73="", "", Window!K73)</f>
        <v/>
      </c>
      <c r="J58" s="811" t="str">
        <f>IF(Window!L73="", "", Window!L73)</f>
        <v/>
      </c>
      <c r="K58" s="811" t="str">
        <f>IF(Window!M73="", "", Window!M73)</f>
        <v/>
      </c>
      <c r="L58" s="809" t="str">
        <f>IF(Window!N73="", "", Window!N73)</f>
        <v/>
      </c>
      <c r="M58" s="809" t="str">
        <f>IF(Window!P73="", "N/A", Window!P73)</f>
        <v>N/A</v>
      </c>
      <c r="N58" s="401"/>
    </row>
    <row r="59" spans="2:14" s="812" customFormat="1" ht="18.75" customHeight="1" x14ac:dyDescent="0.25">
      <c r="B59" s="809">
        <v>50</v>
      </c>
      <c r="C59" s="809" t="str">
        <f>IF(Window!C74="", "", Window!C74)</f>
        <v/>
      </c>
      <c r="D59" s="809" t="str">
        <f>IF(Window!D74="", "", Window!D74)</f>
        <v/>
      </c>
      <c r="E59" s="809" t="str">
        <f>IF(Window!E74="", "", Window!E74)</f>
        <v/>
      </c>
      <c r="F59" s="809" t="str">
        <f>IF(Window!F74="", "", TEXT(Window!F74,"#0.0")&amp;" "&amp;Window!G74)</f>
        <v/>
      </c>
      <c r="G59" s="809" t="str">
        <f>IF(Window!H74="", "", TEXT(Window!H74,"#0.0")&amp;" "&amp;Window!I74)</f>
        <v/>
      </c>
      <c r="H59" s="820">
        <f>IF(Window!J74="", "", Window!J74)</f>
        <v>0</v>
      </c>
      <c r="I59" s="809" t="str">
        <f>IF(Window!K74="", "", Window!K74)</f>
        <v/>
      </c>
      <c r="J59" s="811" t="str">
        <f>IF(Window!L74="", "", Window!L74)</f>
        <v/>
      </c>
      <c r="K59" s="811" t="str">
        <f>IF(Window!M74="", "", Window!M74)</f>
        <v/>
      </c>
      <c r="L59" s="809" t="str">
        <f>IF(Window!N74="", "", Window!N74)</f>
        <v/>
      </c>
      <c r="M59" s="809" t="str">
        <f>IF(Window!P74="", "N/A", Window!P74)</f>
        <v>N/A</v>
      </c>
      <c r="N59" s="401"/>
    </row>
    <row r="60" spans="2:14" s="814" customFormat="1" ht="18.75" customHeight="1" x14ac:dyDescent="0.2">
      <c r="B60" s="813"/>
      <c r="C60" s="813"/>
      <c r="D60" s="813"/>
      <c r="E60" s="813"/>
      <c r="F60" s="813"/>
      <c r="G60" s="813"/>
      <c r="H60" s="813"/>
      <c r="I60" s="813"/>
      <c r="J60" s="813"/>
      <c r="K60" s="813"/>
      <c r="L60" s="813"/>
      <c r="M60" s="813"/>
      <c r="N60" s="813"/>
    </row>
  </sheetData>
  <sheetProtection algorithmName="SHA-512" hashValue="Xt7DDjCd11mTV4N1MG9AwAhVr0yIXID940K5Yl0t2A15zZf81DySvVmdat1MplsENv8yIOMD9kfi/kihvt+A6A==" saltValue="vbEQoKr6hhSJziTCR/F7tA==" spinCount="100000" sheet="1" formatColumns="0" formatRows="0" insertRows="0" deleteRows="0"/>
  <mergeCells count="6">
    <mergeCell ref="C1:M1"/>
    <mergeCell ref="C7:D7"/>
    <mergeCell ref="E2:M2"/>
    <mergeCell ref="F3:M3"/>
    <mergeCell ref="C5:D5"/>
    <mergeCell ref="C6:D6"/>
  </mergeCells>
  <conditionalFormatting sqref="M6">
    <cfRule type="expression" dxfId="15" priority="5">
      <formula>ISBLANK($M$6)</formula>
    </cfRule>
  </conditionalFormatting>
  <conditionalFormatting sqref="M7">
    <cfRule type="expression" dxfId="14" priority="4">
      <formula>ISBLANK($M$7)</formula>
    </cfRule>
  </conditionalFormatting>
  <conditionalFormatting sqref="M9">
    <cfRule type="expression" dxfId="13" priority="2">
      <formula>$M10="N/A"</formula>
    </cfRule>
  </conditionalFormatting>
  <conditionalFormatting sqref="M10:M59">
    <cfRule type="expression" dxfId="12" priority="3">
      <formula>$M10="N/A"</formula>
    </cfRule>
  </conditionalFormatting>
  <pageMargins left="0.7" right="0.7" top="0.75" bottom="0.75" header="0.3" footer="0.3"/>
  <pageSetup scale="65" orientation="portrait" r:id="rId1"/>
  <headerFooter>
    <oddFooter>&amp;LMINIMUM REQUIREMENTS DOCUMENT&amp;RWINDOW REPLACEMENT  MRD - APPENDIX</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49B5B-D85E-4533-8CAE-93ACC00581AD}">
  <dimension ref="C1:J81"/>
  <sheetViews>
    <sheetView zoomScale="120" zoomScaleNormal="120" workbookViewId="0">
      <selection activeCell="I6" sqref="I6:I7"/>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IFERROR(IF('Duct Sealing &amp; Insulation'!$C$6="", "", IF('Duct Sealing &amp; Insulation'!$C$6="LCI", "New York - Electric and Gas Large Commercial and Industrial Program", "New York - Electric and Gas Small Business Program")),"")</f>
        <v/>
      </c>
      <c r="F2" s="1070"/>
      <c r="G2" s="1070"/>
      <c r="H2" s="1070"/>
      <c r="I2" s="1071"/>
      <c r="J2" s="789"/>
    </row>
    <row r="3" spans="3:10" ht="27.75" customHeight="1" x14ac:dyDescent="0.35">
      <c r="C3" s="148"/>
      <c r="D3" s="780"/>
      <c r="E3" s="802"/>
      <c r="F3" s="1072" t="s">
        <v>644</v>
      </c>
      <c r="G3" s="1072"/>
      <c r="H3" s="1072"/>
      <c r="I3" s="1073"/>
      <c r="J3" s="815"/>
    </row>
    <row r="4" spans="3:10" ht="5.25" customHeight="1" x14ac:dyDescent="0.25">
      <c r="C4" s="99"/>
      <c r="D4" s="99"/>
      <c r="E4" s="99"/>
      <c r="F4" s="99"/>
      <c r="G4" s="99"/>
      <c r="H4" s="99"/>
      <c r="I4" s="99"/>
    </row>
    <row r="5" spans="3:10" x14ac:dyDescent="0.25">
      <c r="C5" s="775" t="s">
        <v>645</v>
      </c>
      <c r="D5" s="781" t="str">
        <f>IF('App Cust Info'!$B$12="", "", 'App Cust Info'!$B$12)</f>
        <v/>
      </c>
      <c r="E5" s="777"/>
      <c r="F5" s="777"/>
      <c r="G5" s="777"/>
      <c r="H5" s="775" t="s">
        <v>646</v>
      </c>
      <c r="I5" s="782" t="str">
        <f>IF($D$5="", "", 'Duct Sealing &amp; Insulation'!$L$5)</f>
        <v/>
      </c>
    </row>
    <row r="6" spans="3:10" x14ac:dyDescent="0.25">
      <c r="C6" s="775" t="s">
        <v>134</v>
      </c>
      <c r="D6" s="776" t="str">
        <f>IF($D$5="", "", 'App Cust Info'!$B$18&amp;", "&amp;'App Cust Info'!$F$18&amp;", "&amp;'App Cust Info'!$I$18&amp;" "&amp;'App Cust Info'!$K$18)</f>
        <v/>
      </c>
      <c r="E6" s="777"/>
      <c r="F6" s="777"/>
      <c r="G6" s="777"/>
      <c r="H6" s="775" t="s">
        <v>647</v>
      </c>
      <c r="I6" s="757"/>
    </row>
    <row r="7" spans="3:10" x14ac:dyDescent="0.25">
      <c r="C7" s="775" t="s">
        <v>648</v>
      </c>
      <c r="D7" s="776" t="str">
        <f>IF($D$5="", "", "Duct Sealing and Insulation")</f>
        <v/>
      </c>
      <c r="E7" s="777"/>
      <c r="F7" s="777"/>
      <c r="G7" s="777"/>
      <c r="H7" s="775" t="s">
        <v>649</v>
      </c>
      <c r="I7" s="757"/>
    </row>
    <row r="8" spans="3:10" ht="6" customHeight="1" x14ac:dyDescent="0.25">
      <c r="C8" s="99"/>
      <c r="D8" s="99"/>
      <c r="E8" s="99"/>
      <c r="F8" s="99"/>
      <c r="G8" s="99"/>
      <c r="H8" s="99"/>
      <c r="I8" s="99"/>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"",'Duct Sealing &amp; Insulation'!$B$7)</f>
        <v/>
      </c>
      <c r="E14" s="1064"/>
      <c r="F14" s="793" t="str">
        <f>IF($D$5="", "", 'Duct Sealing &amp; Insulation'!$C$7)</f>
        <v/>
      </c>
      <c r="G14" s="763"/>
      <c r="H14" s="763"/>
      <c r="I14" s="764"/>
      <c r="J14" s="767"/>
    </row>
    <row r="15" spans="3:10" ht="27.75" customHeight="1" x14ac:dyDescent="0.25">
      <c r="C15" s="761"/>
      <c r="D15" s="1064" t="str">
        <f>IF($D$5="", "", 'Duct Sealing &amp; Insulation'!$B$5)</f>
        <v/>
      </c>
      <c r="E15" s="1064"/>
      <c r="F15" s="793" t="str">
        <f>IF($D$5="", "", 'Duct Sealing &amp; Insulation'!C5)</f>
        <v/>
      </c>
      <c r="G15" s="763"/>
      <c r="H15" s="763"/>
      <c r="I15" s="764"/>
      <c r="J15" s="767"/>
    </row>
    <row r="16" spans="3:10" ht="27.75" customHeight="1" x14ac:dyDescent="0.25">
      <c r="C16" s="761"/>
      <c r="D16" s="1064" t="str">
        <f>IF($D$5="", "", 'Duct Sealing &amp; Insulation'!$B$8)</f>
        <v/>
      </c>
      <c r="E16" s="1064"/>
      <c r="F16" s="793" t="str">
        <f>IF($D$5="", "", 'Duct Sealing &amp; Insulation'!C8)</f>
        <v/>
      </c>
      <c r="G16" s="763"/>
      <c r="H16" s="763"/>
      <c r="I16" s="764"/>
      <c r="J16" s="767"/>
    </row>
    <row r="17" spans="3:10" ht="27.75" customHeight="1" x14ac:dyDescent="0.25">
      <c r="C17" s="761"/>
      <c r="D17" s="1064" t="str">
        <f>IF($D$5="", "",'Duct Sealing &amp; Insulation'!$B$9)</f>
        <v/>
      </c>
      <c r="E17" s="1064"/>
      <c r="F17" s="1052" t="str">
        <f>IF($D$5="", "", 'Duct Sealing &amp; Insulation'!$C$9)</f>
        <v/>
      </c>
      <c r="G17" s="1066"/>
      <c r="H17" s="1066"/>
      <c r="I17" s="1067"/>
      <c r="J17" s="767"/>
    </row>
    <row r="18" spans="3:10" ht="27.75" customHeight="1" x14ac:dyDescent="0.25">
      <c r="C18" s="761"/>
      <c r="D18" s="1064" t="str">
        <f>IF($D$5="", "", 'Duct Sealing &amp; Insulation'!$B$10)</f>
        <v/>
      </c>
      <c r="E18" s="1064"/>
      <c r="F18" s="817" t="str">
        <f>IF($D$5="", "", 'Duct Sealing &amp; Insulation'!$C$10)</f>
        <v/>
      </c>
      <c r="G18" s="763"/>
      <c r="H18" s="763"/>
      <c r="I18" s="764"/>
      <c r="J18" s="767"/>
    </row>
    <row r="19" spans="3:10" ht="27.75" customHeight="1" x14ac:dyDescent="0.25">
      <c r="C19" s="761"/>
      <c r="D19" s="1064" t="str">
        <f>IF($D$5="", "", 'Duct Sealing &amp; Insulation'!$B$11)</f>
        <v/>
      </c>
      <c r="E19" s="1064"/>
      <c r="F19" s="821" t="str">
        <f>IF($D$5="", "", 'Duct Sealing &amp; Insulation'!$C$11)</f>
        <v/>
      </c>
      <c r="G19" s="763"/>
      <c r="H19" s="763"/>
      <c r="I19" s="764"/>
      <c r="J19" s="767"/>
    </row>
    <row r="20" spans="3:10" ht="27.75" customHeight="1" x14ac:dyDescent="0.25">
      <c r="C20" s="761"/>
      <c r="D20" s="1064" t="str">
        <f>IF($D$5="", "", 'Duct Sealing &amp; Insulation'!$B$12)</f>
        <v/>
      </c>
      <c r="E20" s="1064"/>
      <c r="F20" s="817" t="str">
        <f>IF($D$5="", "", 'Duct Sealing &amp; Insulation'!$C$12)</f>
        <v/>
      </c>
      <c r="G20" s="763"/>
      <c r="H20" s="763"/>
      <c r="I20" s="764"/>
      <c r="J20" s="767"/>
    </row>
    <row r="21" spans="3:10" ht="27.75" customHeight="1" x14ac:dyDescent="0.25">
      <c r="C21" s="761"/>
      <c r="D21" s="1064" t="str">
        <f>IF($D$5="", "", 'Duct Sealing &amp; Insulation'!$B$13)</f>
        <v/>
      </c>
      <c r="E21" s="1064"/>
      <c r="F21" s="821" t="str">
        <f>IF($D$5="", "", 'Duct Sealing &amp; Insulation'!$C$13)</f>
        <v/>
      </c>
      <c r="G21" s="763"/>
      <c r="H21" s="763"/>
      <c r="I21" s="764"/>
      <c r="J21" s="767"/>
    </row>
    <row r="22" spans="3:10" ht="27.75" customHeight="1" x14ac:dyDescent="0.25">
      <c r="C22" s="761"/>
      <c r="D22" s="1064" t="str">
        <f>IF($D$5="", "", 'Duct Sealing &amp; Insulation'!$B$14)</f>
        <v/>
      </c>
      <c r="E22" s="1064"/>
      <c r="F22" s="822" t="str">
        <f>IF($D$5="", "", 'Duct Sealing &amp; Insulation'!$C$14)</f>
        <v/>
      </c>
      <c r="G22" s="763"/>
      <c r="H22" s="763"/>
      <c r="I22" s="764"/>
      <c r="J22" s="767"/>
    </row>
    <row r="23" spans="3:10" ht="27.75" customHeight="1" x14ac:dyDescent="0.25">
      <c r="C23" s="761"/>
      <c r="D23" s="1064" t="str">
        <f>IF($D$5="", "", 'Duct Sealing &amp; Insulation'!$B$15)</f>
        <v/>
      </c>
      <c r="E23" s="1064"/>
      <c r="F23" s="823" t="str">
        <f>IF($D$5="", "", 'Duct Sealing &amp; Insulation'!$C$15)</f>
        <v/>
      </c>
      <c r="G23" s="763"/>
      <c r="H23" s="763"/>
      <c r="I23" s="764"/>
      <c r="J23" s="767"/>
    </row>
    <row r="24" spans="3:10" ht="27.75" customHeight="1" x14ac:dyDescent="0.25">
      <c r="C24" s="761"/>
      <c r="D24" s="1064" t="str">
        <f>IF($D$5="", "", 'Duct Sealing &amp; Insulation'!$B$16)</f>
        <v/>
      </c>
      <c r="E24" s="1064"/>
      <c r="F24" s="824" t="str">
        <f>IF($D$5="", "", 'Duct Sealing &amp; Insulation'!$C$16)</f>
        <v/>
      </c>
      <c r="G24" s="763"/>
      <c r="H24" s="763"/>
      <c r="I24" s="764"/>
      <c r="J24" s="767"/>
    </row>
    <row r="25" spans="3:10" ht="27.75" customHeight="1" x14ac:dyDescent="0.25">
      <c r="C25" s="761"/>
      <c r="D25" s="1064" t="str">
        <f>IF($D$5="", "", 'Duct Sealing &amp; Insulation'!$B$17)</f>
        <v/>
      </c>
      <c r="E25" s="1064"/>
      <c r="F25" s="823" t="str">
        <f>IF($D$5="", "", 'Duct Sealing &amp; Insulation'!$C$17)</f>
        <v/>
      </c>
      <c r="G25" s="763"/>
      <c r="H25" s="763"/>
      <c r="I25" s="764"/>
      <c r="J25" s="767"/>
    </row>
    <row r="26" spans="3:10" ht="27.75" customHeight="1" x14ac:dyDescent="0.25">
      <c r="C26" s="761"/>
      <c r="D26" s="1064" t="str">
        <f>IF($D$5="", "", 'Duct Sealing &amp; Insulation'!$B$18)</f>
        <v/>
      </c>
      <c r="E26" s="1064"/>
      <c r="F26" s="825" t="str">
        <f>IF($D$5="", "", 'Duct Sealing &amp; Insulation'!$L$11)</f>
        <v/>
      </c>
      <c r="G26" s="1041" t="str">
        <f>IF($F$26="", "", IF('Duct Sealing &amp; Insulation'!$C$18="", "(Default Value)", "(Customer Entered Value)"))</f>
        <v/>
      </c>
      <c r="H26" s="1042"/>
      <c r="I26" s="1043"/>
      <c r="J26" s="767"/>
    </row>
    <row r="27" spans="3:10" ht="27.75" customHeight="1" x14ac:dyDescent="0.25">
      <c r="C27" s="761"/>
      <c r="D27" s="1064" t="str">
        <f>IF($D$5="", "", 'Duct Sealing &amp; Insulation'!$B$19)</f>
        <v/>
      </c>
      <c r="E27" s="1064"/>
      <c r="F27" s="825" t="str">
        <f>IF($D$5="", "", 'Duct Sealing &amp; Insulation'!$L$14)</f>
        <v/>
      </c>
      <c r="G27" s="1041" t="str">
        <f>IF($F$27="", "", IF('Duct Sealing &amp; Insulation'!$C$19="", "(Default Value)", "(Customer Entered Value)"))</f>
        <v/>
      </c>
      <c r="H27" s="1042"/>
      <c r="I27" s="1043"/>
      <c r="J27" s="767"/>
    </row>
    <row r="28" spans="3:10" ht="27.75" customHeight="1" x14ac:dyDescent="0.25">
      <c r="C28" s="761"/>
      <c r="D28" s="1064" t="str">
        <f>IF($D$5="", "", 'Duct Sealing &amp; Insulation'!$B$20)</f>
        <v/>
      </c>
      <c r="E28" s="1064"/>
      <c r="F28" s="826" t="str">
        <f>IF($D$5="", "", 'Duct Sealing &amp; Insulation'!$C$20)</f>
        <v/>
      </c>
      <c r="G28" s="763"/>
      <c r="H28" s="763"/>
      <c r="I28" s="764"/>
      <c r="J28" s="767"/>
    </row>
    <row r="29" spans="3:10" ht="27.75" customHeight="1" x14ac:dyDescent="0.25">
      <c r="C29" s="761"/>
      <c r="D29" s="1064" t="str">
        <f>IF($D$5="", "", 'Duct Sealing &amp; Insulation'!$B$21)</f>
        <v/>
      </c>
      <c r="E29" s="1064"/>
      <c r="F29" s="826" t="str">
        <f>IF($D$5="", "", 'Duct Sealing &amp; Insulation'!$C$21)</f>
        <v/>
      </c>
      <c r="G29" s="763"/>
      <c r="H29" s="763"/>
      <c r="I29" s="764"/>
      <c r="J29" s="767"/>
    </row>
    <row r="30" spans="3:10" ht="27.75" customHeight="1" x14ac:dyDescent="0.25">
      <c r="C30" s="761"/>
      <c r="D30" s="1064" t="str">
        <f>IF($D$5="", "", 'Duct Sealing &amp; Insulation'!$B$22)</f>
        <v/>
      </c>
      <c r="E30" s="1064"/>
      <c r="F30" s="826" t="str">
        <f>IF($D$5="", "", 'Duct Sealing &amp; Insulation'!$C$22)</f>
        <v/>
      </c>
      <c r="G30" s="763"/>
      <c r="H30" s="763"/>
      <c r="I30" s="764"/>
      <c r="J30" s="767"/>
    </row>
    <row r="31" spans="3:10" ht="27.75" customHeight="1" x14ac:dyDescent="0.25">
      <c r="C31" s="761"/>
      <c r="D31" s="1064" t="str">
        <f>IF($D$5="", "", 'Duct Sealing &amp; Insulation'!$B$23)</f>
        <v/>
      </c>
      <c r="E31" s="1064"/>
      <c r="F31" s="826" t="str">
        <f>IF($D$5="", "", 'Duct Sealing &amp; Insulation'!$C$23)</f>
        <v/>
      </c>
      <c r="G31" s="763"/>
      <c r="H31" s="763"/>
      <c r="I31" s="764"/>
      <c r="J31" s="767"/>
    </row>
    <row r="32" spans="3:10" ht="27.75" customHeight="1" x14ac:dyDescent="0.25">
      <c r="C32" s="761"/>
      <c r="D32" s="1064" t="str">
        <f>IF($D$5="", "", 'Duct Sealing &amp; Insulation'!$B$24)</f>
        <v/>
      </c>
      <c r="E32" s="1064"/>
      <c r="F32" s="826" t="str">
        <f>IF($D$5="", "", 'Duct Sealing &amp; Insulation'!$C$24)</f>
        <v/>
      </c>
      <c r="G32" s="763"/>
      <c r="H32" s="763"/>
      <c r="I32" s="764"/>
      <c r="J32" s="767"/>
    </row>
    <row r="33" spans="3:10" ht="27.75" customHeight="1" x14ac:dyDescent="0.25">
      <c r="C33" s="758" t="s">
        <v>651</v>
      </c>
      <c r="D33" s="1038" t="s">
        <v>654</v>
      </c>
      <c r="E33" s="1039"/>
      <c r="F33" s="1039"/>
      <c r="G33" s="1039"/>
      <c r="H33" s="1039"/>
      <c r="I33" s="1040"/>
      <c r="J33" s="767"/>
    </row>
    <row r="34" spans="3:10" x14ac:dyDescent="0.25">
      <c r="C34" s="150"/>
      <c r="D34" s="1061" t="s">
        <v>655</v>
      </c>
      <c r="E34" s="1062"/>
      <c r="F34" s="1062"/>
      <c r="G34" s="1062"/>
      <c r="H34" s="1062"/>
      <c r="I34" s="1063"/>
      <c r="J34" s="798"/>
    </row>
    <row r="35" spans="3:10" ht="27.75" customHeight="1" x14ac:dyDescent="0.25">
      <c r="C35" s="758" t="s">
        <v>651</v>
      </c>
      <c r="D35" s="1038" t="s">
        <v>656</v>
      </c>
      <c r="E35" s="1039"/>
      <c r="F35" s="1039"/>
      <c r="G35" s="1039"/>
      <c r="H35" s="1039"/>
      <c r="I35" s="1040"/>
      <c r="J35" s="767"/>
    </row>
    <row r="36" spans="3:10" x14ac:dyDescent="0.25">
      <c r="C36" s="150"/>
      <c r="D36" s="1041" t="s">
        <v>657</v>
      </c>
      <c r="E36" s="1042"/>
      <c r="F36" s="1042"/>
      <c r="G36" s="1042"/>
      <c r="H36" s="1042"/>
      <c r="I36" s="1043"/>
      <c r="J36" s="799"/>
    </row>
    <row r="37" spans="3:10" ht="51.75" customHeight="1" x14ac:dyDescent="0.25">
      <c r="C37" s="758" t="s">
        <v>651</v>
      </c>
      <c r="D37" s="1038" t="s">
        <v>658</v>
      </c>
      <c r="E37" s="1039"/>
      <c r="F37" s="1039"/>
      <c r="G37" s="1039"/>
      <c r="H37" s="1039"/>
      <c r="I37" s="1040"/>
      <c r="J37" s="767"/>
    </row>
    <row r="38" spans="3:10" x14ac:dyDescent="0.25">
      <c r="C38" s="150"/>
      <c r="D38" s="1041" t="s">
        <v>659</v>
      </c>
      <c r="E38" s="1042"/>
      <c r="F38" s="1042"/>
      <c r="G38" s="1042"/>
      <c r="H38" s="1042"/>
      <c r="I38" s="1043"/>
      <c r="J38" s="799"/>
    </row>
    <row r="39" spans="3:10" ht="33.75" customHeight="1" x14ac:dyDescent="0.25">
      <c r="C39" s="758" t="s">
        <v>651</v>
      </c>
      <c r="D39" s="1065" t="s">
        <v>660</v>
      </c>
      <c r="E39" s="1066"/>
      <c r="F39" s="1066"/>
      <c r="G39" s="1066"/>
      <c r="H39" s="1066"/>
      <c r="I39" s="1067"/>
      <c r="J39" s="767"/>
    </row>
    <row r="40" spans="3:10" ht="95.25" customHeight="1" x14ac:dyDescent="0.25">
      <c r="C40" s="150"/>
      <c r="D40" s="1052" t="s">
        <v>661</v>
      </c>
      <c r="E40" s="1053"/>
      <c r="F40" s="1053"/>
      <c r="G40" s="1053"/>
      <c r="H40" s="1053"/>
      <c r="I40" s="1054"/>
      <c r="J40" s="800"/>
    </row>
    <row r="42" spans="3:10" ht="22.5" customHeight="1" x14ac:dyDescent="0.4">
      <c r="C42" s="1068"/>
      <c r="D42" s="1069"/>
      <c r="E42" s="399">
        <f ca="1">TODAY()</f>
        <v>46212</v>
      </c>
    </row>
    <row r="43" spans="3:10" ht="24.75" customHeight="1" x14ac:dyDescent="0.25">
      <c r="C43" s="1045" t="s">
        <v>662</v>
      </c>
      <c r="D43" s="1045"/>
      <c r="E43" s="765" t="s">
        <v>70</v>
      </c>
    </row>
    <row r="45" spans="3:10" x14ac:dyDescent="0.25">
      <c r="C45" s="1074" t="s">
        <v>679</v>
      </c>
      <c r="D45" s="1074"/>
      <c r="E45" s="1074"/>
      <c r="F45" s="1074"/>
      <c r="G45" s="1074"/>
      <c r="H45" s="1074"/>
      <c r="I45" s="1074"/>
      <c r="J45" s="819"/>
    </row>
    <row r="46" spans="3:10" ht="18" customHeight="1" x14ac:dyDescent="0.25">
      <c r="C46" s="1050" t="s">
        <v>664</v>
      </c>
      <c r="D46" s="1050"/>
      <c r="E46" s="1050"/>
      <c r="F46" s="1050"/>
      <c r="G46" s="1050"/>
      <c r="H46" s="1050"/>
      <c r="I46" s="1050"/>
      <c r="J46" s="767"/>
    </row>
    <row r="47" spans="3:10" x14ac:dyDescent="0.25">
      <c r="C47" s="1050"/>
      <c r="D47" s="1050"/>
      <c r="E47" s="1050"/>
      <c r="F47" s="1050"/>
      <c r="G47" s="1050"/>
      <c r="H47" s="1050"/>
      <c r="I47" s="1050"/>
      <c r="J47" s="767"/>
    </row>
    <row r="48" spans="3:10" x14ac:dyDescent="0.25">
      <c r="C48" s="1050"/>
      <c r="D48" s="1050"/>
      <c r="E48" s="1050"/>
      <c r="F48" s="1050"/>
      <c r="G48" s="1050"/>
      <c r="H48" s="1050"/>
      <c r="I48" s="1050"/>
      <c r="J48" s="767"/>
    </row>
    <row r="49" spans="3:10" x14ac:dyDescent="0.25">
      <c r="C49" s="768"/>
      <c r="D49" s="768"/>
      <c r="E49" s="768"/>
      <c r="F49" s="768"/>
      <c r="G49" s="768"/>
      <c r="H49" s="768"/>
      <c r="I49" s="768"/>
      <c r="J49" s="768"/>
    </row>
    <row r="50" spans="3:10" x14ac:dyDescent="0.25">
      <c r="C50" s="151"/>
      <c r="D50" s="152"/>
      <c r="E50" s="153" t="s">
        <v>665</v>
      </c>
      <c r="F50" s="154" t="b">
        <v>0</v>
      </c>
      <c r="G50" s="400" t="s">
        <v>666</v>
      </c>
      <c r="H50" s="154" t="b">
        <v>0</v>
      </c>
      <c r="I50" s="155"/>
    </row>
    <row r="52" spans="3:10" ht="15" customHeight="1" x14ac:dyDescent="0.25">
      <c r="C52" s="769" t="s">
        <v>667</v>
      </c>
      <c r="D52" s="770"/>
      <c r="E52" s="770"/>
      <c r="F52" s="770"/>
      <c r="G52" s="770"/>
      <c r="H52" s="770"/>
      <c r="I52" s="771"/>
      <c r="J52" s="801"/>
    </row>
    <row r="53" spans="3:10" x14ac:dyDescent="0.25">
      <c r="C53" s="156" t="s">
        <v>668</v>
      </c>
      <c r="D53" s="157" t="b">
        <v>0</v>
      </c>
      <c r="E53" s="158" t="s">
        <v>669</v>
      </c>
      <c r="F53" s="157" t="b">
        <v>0</v>
      </c>
      <c r="G53" s="166"/>
      <c r="H53" s="166"/>
      <c r="I53" s="167"/>
    </row>
    <row r="54" spans="3:10" ht="10.5" customHeight="1" x14ac:dyDescent="0.25"/>
    <row r="55" spans="3:10" x14ac:dyDescent="0.25">
      <c r="C55" s="772" t="s">
        <v>670</v>
      </c>
    </row>
    <row r="56" spans="3:10" ht="6.75" customHeight="1" x14ac:dyDescent="0.25">
      <c r="C56" s="772"/>
    </row>
    <row r="57" spans="3:10" x14ac:dyDescent="0.25">
      <c r="C57" s="773" t="s">
        <v>671</v>
      </c>
      <c r="D57" s="160"/>
      <c r="E57" s="160"/>
      <c r="F57" s="160"/>
      <c r="G57" s="160"/>
      <c r="H57" s="160"/>
      <c r="I57" s="161"/>
    </row>
    <row r="58" spans="3:10" x14ac:dyDescent="0.25">
      <c r="C58" s="156" t="s">
        <v>668</v>
      </c>
      <c r="D58" s="157" t="b">
        <v>0</v>
      </c>
      <c r="E58" s="158" t="s">
        <v>669</v>
      </c>
      <c r="F58" s="157" t="b">
        <v>0</v>
      </c>
      <c r="G58" s="166"/>
      <c r="H58" s="166"/>
      <c r="I58" s="167"/>
    </row>
    <row r="60" spans="3:10" ht="24" customHeight="1" x14ac:dyDescent="0.25">
      <c r="C60" s="1047"/>
      <c r="D60" s="1048"/>
      <c r="E60" s="150"/>
      <c r="F60" s="1047"/>
      <c r="G60" s="1051"/>
      <c r="H60" s="150"/>
    </row>
    <row r="61" spans="3:10" x14ac:dyDescent="0.25">
      <c r="C61" s="1045" t="s">
        <v>672</v>
      </c>
      <c r="D61" s="1045"/>
      <c r="E61" s="765" t="s">
        <v>70</v>
      </c>
      <c r="F61" s="1046" t="s">
        <v>673</v>
      </c>
      <c r="G61" s="1046"/>
      <c r="H61" s="765" t="s">
        <v>70</v>
      </c>
    </row>
    <row r="63" spans="3:10" x14ac:dyDescent="0.25">
      <c r="C63" s="774" t="s">
        <v>674</v>
      </c>
    </row>
    <row r="64" spans="3:10" x14ac:dyDescent="0.25">
      <c r="C64" s="159"/>
      <c r="D64" s="160"/>
      <c r="E64" s="160"/>
      <c r="F64" s="160"/>
      <c r="G64" s="160"/>
      <c r="H64" s="160"/>
      <c r="I64" s="161"/>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2"/>
      <c r="I70" s="164"/>
    </row>
    <row r="71" spans="3:9" x14ac:dyDescent="0.25">
      <c r="C71" s="162"/>
      <c r="I71" s="164"/>
    </row>
    <row r="72" spans="3:9" x14ac:dyDescent="0.25">
      <c r="C72" s="162"/>
      <c r="I72" s="164"/>
    </row>
    <row r="73" spans="3:9" x14ac:dyDescent="0.25">
      <c r="C73" s="162"/>
      <c r="I73" s="164"/>
    </row>
    <row r="74" spans="3:9" x14ac:dyDescent="0.25">
      <c r="C74" s="162"/>
      <c r="I74" s="164"/>
    </row>
    <row r="75" spans="3:9" x14ac:dyDescent="0.25">
      <c r="C75" s="162"/>
      <c r="I75" s="164"/>
    </row>
    <row r="76" spans="3:9" x14ac:dyDescent="0.25">
      <c r="C76" s="162"/>
      <c r="I76" s="164"/>
    </row>
    <row r="77" spans="3:9" x14ac:dyDescent="0.25">
      <c r="C77" s="162"/>
      <c r="I77" s="164"/>
    </row>
    <row r="78" spans="3:9" x14ac:dyDescent="0.25">
      <c r="C78" s="162"/>
      <c r="I78" s="164"/>
    </row>
    <row r="79" spans="3:9" x14ac:dyDescent="0.25">
      <c r="C79" s="162"/>
      <c r="I79" s="164"/>
    </row>
    <row r="80" spans="3:9" x14ac:dyDescent="0.25">
      <c r="C80" s="162"/>
      <c r="I80" s="164"/>
    </row>
    <row r="81" spans="3:9" x14ac:dyDescent="0.25">
      <c r="C81" s="165"/>
      <c r="D81" s="166"/>
      <c r="E81" s="166"/>
      <c r="F81" s="166"/>
      <c r="G81" s="166"/>
      <c r="H81" s="166"/>
      <c r="I81" s="167"/>
    </row>
  </sheetData>
  <sheetProtection algorithmName="SHA-512" hashValue="hqQDo1JxYIs859bxlwt6X89sG0Exz8Zbgjr5fL0lkOAkKlPuCKDO8Da5y2vjnAMd0xcdfOrxThARFOhSQ3qGsQ==" saltValue="NHqmkYlxunxspCVV7A7URg==" spinCount="100000" sheet="1" objects="1" scenarios="1"/>
  <mergeCells count="43">
    <mergeCell ref="C1:I1"/>
    <mergeCell ref="D15:E15"/>
    <mergeCell ref="E2:I2"/>
    <mergeCell ref="F3:I3"/>
    <mergeCell ref="C9:I11"/>
    <mergeCell ref="D13:I13"/>
    <mergeCell ref="D14:E14"/>
    <mergeCell ref="D33:I33"/>
    <mergeCell ref="D27:E27"/>
    <mergeCell ref="D29:E29"/>
    <mergeCell ref="D30:E30"/>
    <mergeCell ref="D28:E28"/>
    <mergeCell ref="D16:E16"/>
    <mergeCell ref="D17:E17"/>
    <mergeCell ref="D18:E18"/>
    <mergeCell ref="D19:E19"/>
    <mergeCell ref="D22:E22"/>
    <mergeCell ref="C45:I45"/>
    <mergeCell ref="C46:I48"/>
    <mergeCell ref="C60:D60"/>
    <mergeCell ref="F60:G60"/>
    <mergeCell ref="D34:I34"/>
    <mergeCell ref="D35:I35"/>
    <mergeCell ref="D36:I36"/>
    <mergeCell ref="D37:I37"/>
    <mergeCell ref="D38:I38"/>
    <mergeCell ref="D39:I39"/>
    <mergeCell ref="F17:I17"/>
    <mergeCell ref="G26:I26"/>
    <mergeCell ref="G27:I27"/>
    <mergeCell ref="C61:D61"/>
    <mergeCell ref="F61:G61"/>
    <mergeCell ref="D32:E32"/>
    <mergeCell ref="D20:E20"/>
    <mergeCell ref="D21:E21"/>
    <mergeCell ref="D25:E25"/>
    <mergeCell ref="D23:E23"/>
    <mergeCell ref="D24:E24"/>
    <mergeCell ref="D31:E31"/>
    <mergeCell ref="D26:E26"/>
    <mergeCell ref="D40:I40"/>
    <mergeCell ref="C42:D42"/>
    <mergeCell ref="C43:D43"/>
  </mergeCells>
  <conditionalFormatting sqref="I6">
    <cfRule type="expression" dxfId="11" priority="3">
      <formula>ISBLANK($I$6)</formula>
    </cfRule>
  </conditionalFormatting>
  <conditionalFormatting sqref="I7">
    <cfRule type="expression" dxfId="10" priority="2">
      <formula>ISBLANK($I$7)</formula>
    </cfRule>
  </conditionalFormatting>
  <pageMargins left="0.25" right="0.25" top="0.75" bottom="0.75" header="0.3" footer="0.3"/>
  <pageSetup scale="80" orientation="portrait" r:id="rId1"/>
  <headerFooter>
    <oddFooter>&amp;R&amp;P</oddFooter>
  </headerFooter>
  <rowBreaks count="1" manualBreakCount="1">
    <brk id="36"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locked="0" defaultSize="0" autoFill="0" autoLine="0" autoPict="0">
                <anchor moveWithCells="1">
                  <from>
                    <xdr:col>2</xdr:col>
                    <xdr:colOff>28575</xdr:colOff>
                    <xdr:row>32</xdr:row>
                    <xdr:rowOff>333375</xdr:rowOff>
                  </from>
                  <to>
                    <xdr:col>2</xdr:col>
                    <xdr:colOff>514350</xdr:colOff>
                    <xdr:row>34</xdr:row>
                    <xdr:rowOff>9525</xdr:rowOff>
                  </to>
                </anchor>
              </controlPr>
            </control>
          </mc:Choice>
        </mc:AlternateContent>
        <mc:AlternateContent xmlns:mc="http://schemas.openxmlformats.org/markup-compatibility/2006">
          <mc:Choice Requires="x14">
            <control shapeId="99330" r:id="rId5" name="Check Box 2">
              <controlPr locked="0" defaultSize="0" autoFill="0" autoLine="0" autoPict="0">
                <anchor moveWithCells="1">
                  <from>
                    <xdr:col>2</xdr:col>
                    <xdr:colOff>438150</xdr:colOff>
                    <xdr:row>32</xdr:row>
                    <xdr:rowOff>333375</xdr:rowOff>
                  </from>
                  <to>
                    <xdr:col>2</xdr:col>
                    <xdr:colOff>923925</xdr:colOff>
                    <xdr:row>34</xdr:row>
                    <xdr:rowOff>9525</xdr:rowOff>
                  </to>
                </anchor>
              </controlPr>
            </control>
          </mc:Choice>
        </mc:AlternateContent>
        <mc:AlternateContent xmlns:mc="http://schemas.openxmlformats.org/markup-compatibility/2006">
          <mc:Choice Requires="x14">
            <control shapeId="99331" r:id="rId6" name="Check Box 3">
              <controlPr locked="0" defaultSize="0" autoFill="0" autoLine="0" autoPict="0">
                <anchor moveWithCells="1">
                  <from>
                    <xdr:col>2</xdr:col>
                    <xdr:colOff>28575</xdr:colOff>
                    <xdr:row>34</xdr:row>
                    <xdr:rowOff>333375</xdr:rowOff>
                  </from>
                  <to>
                    <xdr:col>2</xdr:col>
                    <xdr:colOff>514350</xdr:colOff>
                    <xdr:row>36</xdr:row>
                    <xdr:rowOff>9525</xdr:rowOff>
                  </to>
                </anchor>
              </controlPr>
            </control>
          </mc:Choice>
        </mc:AlternateContent>
        <mc:AlternateContent xmlns:mc="http://schemas.openxmlformats.org/markup-compatibility/2006">
          <mc:Choice Requires="x14">
            <control shapeId="99332" r:id="rId7" name="Check Box 4">
              <controlPr locked="0" defaultSize="0" autoFill="0" autoLine="0" autoPict="0">
                <anchor moveWithCells="1">
                  <from>
                    <xdr:col>2</xdr:col>
                    <xdr:colOff>438150</xdr:colOff>
                    <xdr:row>34</xdr:row>
                    <xdr:rowOff>333375</xdr:rowOff>
                  </from>
                  <to>
                    <xdr:col>2</xdr:col>
                    <xdr:colOff>923925</xdr:colOff>
                    <xdr:row>36</xdr:row>
                    <xdr:rowOff>9525</xdr:rowOff>
                  </to>
                </anchor>
              </controlPr>
            </control>
          </mc:Choice>
        </mc:AlternateContent>
        <mc:AlternateContent xmlns:mc="http://schemas.openxmlformats.org/markup-compatibility/2006">
          <mc:Choice Requires="x14">
            <control shapeId="99333" r:id="rId8" name="Check Box 5">
              <controlPr locked="0" defaultSize="0" autoFill="0" autoLine="0" autoPict="0">
                <anchor moveWithCells="1">
                  <from>
                    <xdr:col>2</xdr:col>
                    <xdr:colOff>47625</xdr:colOff>
                    <xdr:row>36</xdr:row>
                    <xdr:rowOff>638175</xdr:rowOff>
                  </from>
                  <to>
                    <xdr:col>2</xdr:col>
                    <xdr:colOff>533400</xdr:colOff>
                    <xdr:row>38</xdr:row>
                    <xdr:rowOff>9525</xdr:rowOff>
                  </to>
                </anchor>
              </controlPr>
            </control>
          </mc:Choice>
        </mc:AlternateContent>
        <mc:AlternateContent xmlns:mc="http://schemas.openxmlformats.org/markup-compatibility/2006">
          <mc:Choice Requires="x14">
            <control shapeId="99334" r:id="rId9" name="Check Box 6">
              <controlPr locked="0" defaultSize="0" autoFill="0" autoLine="0" autoPict="0">
                <anchor moveWithCells="1">
                  <from>
                    <xdr:col>2</xdr:col>
                    <xdr:colOff>428625</xdr:colOff>
                    <xdr:row>36</xdr:row>
                    <xdr:rowOff>647700</xdr:rowOff>
                  </from>
                  <to>
                    <xdr:col>2</xdr:col>
                    <xdr:colOff>914400</xdr:colOff>
                    <xdr:row>38</xdr:row>
                    <xdr:rowOff>9525</xdr:rowOff>
                  </to>
                </anchor>
              </controlPr>
            </control>
          </mc:Choice>
        </mc:AlternateContent>
        <mc:AlternateContent xmlns:mc="http://schemas.openxmlformats.org/markup-compatibility/2006">
          <mc:Choice Requires="x14">
            <control shapeId="99335" r:id="rId10" name="Check Box 7">
              <controlPr locked="0" defaultSize="0" autoFill="0" autoLine="0" autoPict="0">
                <anchor moveWithCells="1">
                  <from>
                    <xdr:col>2</xdr:col>
                    <xdr:colOff>66675</xdr:colOff>
                    <xdr:row>39</xdr:row>
                    <xdr:rowOff>180975</xdr:rowOff>
                  </from>
                  <to>
                    <xdr:col>2</xdr:col>
                    <xdr:colOff>552450</xdr:colOff>
                    <xdr:row>39</xdr:row>
                    <xdr:rowOff>400050</xdr:rowOff>
                  </to>
                </anchor>
              </controlPr>
            </control>
          </mc:Choice>
        </mc:AlternateContent>
        <mc:AlternateContent xmlns:mc="http://schemas.openxmlformats.org/markup-compatibility/2006">
          <mc:Choice Requires="x14">
            <control shapeId="99336" r:id="rId11" name="Check Box 8">
              <controlPr locked="0" defaultSize="0" autoFill="0" autoLine="0" autoPict="0">
                <anchor moveWithCells="1">
                  <from>
                    <xdr:col>2</xdr:col>
                    <xdr:colOff>428625</xdr:colOff>
                    <xdr:row>39</xdr:row>
                    <xdr:rowOff>180975</xdr:rowOff>
                  </from>
                  <to>
                    <xdr:col>2</xdr:col>
                    <xdr:colOff>914400</xdr:colOff>
                    <xdr:row>39</xdr:row>
                    <xdr:rowOff>400050</xdr:rowOff>
                  </to>
                </anchor>
              </controlPr>
            </control>
          </mc:Choice>
        </mc:AlternateContent>
        <mc:AlternateContent xmlns:mc="http://schemas.openxmlformats.org/markup-compatibility/2006">
          <mc:Choice Requires="x14">
            <control shapeId="99337" r:id="rId12" name="Check Box 9">
              <controlPr locked="0" defaultSize="0" autoFill="0" autoLine="0" autoPict="0">
                <anchor moveWithCells="1">
                  <from>
                    <xdr:col>2</xdr:col>
                    <xdr:colOff>438150</xdr:colOff>
                    <xdr:row>39</xdr:row>
                    <xdr:rowOff>504825</xdr:rowOff>
                  </from>
                  <to>
                    <xdr:col>2</xdr:col>
                    <xdr:colOff>923925</xdr:colOff>
                    <xdr:row>39</xdr:row>
                    <xdr:rowOff>723900</xdr:rowOff>
                  </to>
                </anchor>
              </controlPr>
            </control>
          </mc:Choice>
        </mc:AlternateContent>
        <mc:AlternateContent xmlns:mc="http://schemas.openxmlformats.org/markup-compatibility/2006">
          <mc:Choice Requires="x14">
            <control shapeId="99338" r:id="rId13" name="Check Box 10">
              <controlPr locked="0" defaultSize="0" autoFill="0" autoLine="0" autoPict="0">
                <anchor moveWithCells="1">
                  <from>
                    <xdr:col>2</xdr:col>
                    <xdr:colOff>428625</xdr:colOff>
                    <xdr:row>39</xdr:row>
                    <xdr:rowOff>790575</xdr:rowOff>
                  </from>
                  <to>
                    <xdr:col>2</xdr:col>
                    <xdr:colOff>914400</xdr:colOff>
                    <xdr:row>39</xdr:row>
                    <xdr:rowOff>1009650</xdr:rowOff>
                  </to>
                </anchor>
              </controlPr>
            </control>
          </mc:Choice>
        </mc:AlternateContent>
        <mc:AlternateContent xmlns:mc="http://schemas.openxmlformats.org/markup-compatibility/2006">
          <mc:Choice Requires="x14">
            <control shapeId="99339" r:id="rId14" name="Check Box 11">
              <controlPr locked="0" defaultSize="0" autoFill="0" autoLine="0" autoPict="0">
                <anchor moveWithCells="1">
                  <from>
                    <xdr:col>2</xdr:col>
                    <xdr:colOff>76200</xdr:colOff>
                    <xdr:row>39</xdr:row>
                    <xdr:rowOff>504825</xdr:rowOff>
                  </from>
                  <to>
                    <xdr:col>2</xdr:col>
                    <xdr:colOff>561975</xdr:colOff>
                    <xdr:row>39</xdr:row>
                    <xdr:rowOff>723900</xdr:rowOff>
                  </to>
                </anchor>
              </controlPr>
            </control>
          </mc:Choice>
        </mc:AlternateContent>
        <mc:AlternateContent xmlns:mc="http://schemas.openxmlformats.org/markup-compatibility/2006">
          <mc:Choice Requires="x14">
            <control shapeId="99340" r:id="rId15" name="Check Box 12">
              <controlPr locked="0" defaultSize="0" autoFill="0" autoLine="0" autoPict="0">
                <anchor moveWithCells="1">
                  <from>
                    <xdr:col>2</xdr:col>
                    <xdr:colOff>66675</xdr:colOff>
                    <xdr:row>39</xdr:row>
                    <xdr:rowOff>800100</xdr:rowOff>
                  </from>
                  <to>
                    <xdr:col>2</xdr:col>
                    <xdr:colOff>552450</xdr:colOff>
                    <xdr:row>39</xdr:row>
                    <xdr:rowOff>1019175</xdr:rowOff>
                  </to>
                </anchor>
              </controlPr>
            </control>
          </mc:Choice>
        </mc:AlternateContent>
        <mc:AlternateContent xmlns:mc="http://schemas.openxmlformats.org/markup-compatibility/2006">
          <mc:Choice Requires="x14">
            <control shapeId="99341"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99342"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99343" r:id="rId18" name="Check Box 15">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99344" r:id="rId19" name="Check Box 16">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99345" r:id="rId20" name="Check Box 17">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99346" r:id="rId21" name="Check Box 18">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99347" r:id="rId22" name="Check Box 19">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99348" r:id="rId23" name="Check Box 20">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99349" r:id="rId24" name="Check Box 21">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99350" r:id="rId25" name="Check Box 22">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99351" r:id="rId26" name="Check Box 23">
              <controlPr locked="0" defaultSize="0" autoFill="0" autoLine="0" autoPict="0">
                <anchor moveWithCells="1">
                  <from>
                    <xdr:col>2</xdr:col>
                    <xdr:colOff>57150</xdr:colOff>
                    <xdr:row>31</xdr:row>
                    <xdr:rowOff>19050</xdr:rowOff>
                  </from>
                  <to>
                    <xdr:col>2</xdr:col>
                    <xdr:colOff>542925</xdr:colOff>
                    <xdr:row>31</xdr:row>
                    <xdr:rowOff>238125</xdr:rowOff>
                  </to>
                </anchor>
              </controlPr>
            </control>
          </mc:Choice>
        </mc:AlternateContent>
        <mc:AlternateContent xmlns:mc="http://schemas.openxmlformats.org/markup-compatibility/2006">
          <mc:Choice Requires="x14">
            <control shapeId="99352" r:id="rId27" name="Check Box 24">
              <controlPr locked="0" defaultSize="0" autoFill="0" autoLine="0" autoPict="0">
                <anchor moveWithCells="1">
                  <from>
                    <xdr:col>2</xdr:col>
                    <xdr:colOff>400050</xdr:colOff>
                    <xdr:row>31</xdr:row>
                    <xdr:rowOff>47625</xdr:rowOff>
                  </from>
                  <to>
                    <xdr:col>2</xdr:col>
                    <xdr:colOff>885825</xdr:colOff>
                    <xdr:row>31</xdr:row>
                    <xdr:rowOff>228600</xdr:rowOff>
                  </to>
                </anchor>
              </controlPr>
            </control>
          </mc:Choice>
        </mc:AlternateContent>
        <mc:AlternateContent xmlns:mc="http://schemas.openxmlformats.org/markup-compatibility/2006">
          <mc:Choice Requires="x14">
            <control shapeId="99353" r:id="rId28" name="Check Box 25">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99354" r:id="rId29" name="Check Box 26">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99355" r:id="rId30" name="Check Box 2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99356" r:id="rId31" name="Check Box 2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99357" r:id="rId32" name="Check Box 29">
              <controlPr locked="0" defaultSize="0" autoFill="0" autoLine="0" autoPict="0">
                <anchor moveWithCells="1">
                  <from>
                    <xdr:col>2</xdr:col>
                    <xdr:colOff>57150</xdr:colOff>
                    <xdr:row>20</xdr:row>
                    <xdr:rowOff>19050</xdr:rowOff>
                  </from>
                  <to>
                    <xdr:col>2</xdr:col>
                    <xdr:colOff>542925</xdr:colOff>
                    <xdr:row>20</xdr:row>
                    <xdr:rowOff>238125</xdr:rowOff>
                  </to>
                </anchor>
              </controlPr>
            </control>
          </mc:Choice>
        </mc:AlternateContent>
        <mc:AlternateContent xmlns:mc="http://schemas.openxmlformats.org/markup-compatibility/2006">
          <mc:Choice Requires="x14">
            <control shapeId="99358" r:id="rId33" name="Check Box 30">
              <controlPr locked="0" defaultSize="0" autoFill="0" autoLine="0" autoPict="0">
                <anchor moveWithCells="1">
                  <from>
                    <xdr:col>2</xdr:col>
                    <xdr:colOff>400050</xdr:colOff>
                    <xdr:row>20</xdr:row>
                    <xdr:rowOff>47625</xdr:rowOff>
                  </from>
                  <to>
                    <xdr:col>2</xdr:col>
                    <xdr:colOff>885825</xdr:colOff>
                    <xdr:row>20</xdr:row>
                    <xdr:rowOff>228600</xdr:rowOff>
                  </to>
                </anchor>
              </controlPr>
            </control>
          </mc:Choice>
        </mc:AlternateContent>
        <mc:AlternateContent xmlns:mc="http://schemas.openxmlformats.org/markup-compatibility/2006">
          <mc:Choice Requires="x14">
            <control shapeId="99359" r:id="rId34" name="Check Box 31">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99360" r:id="rId35" name="Check Box 32">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99361" r:id="rId36" name="Check Box 33">
              <controlPr locked="0" defaultSize="0" autoFill="0" autoLine="0" autoPict="0">
                <anchor moveWithCells="1">
                  <from>
                    <xdr:col>2</xdr:col>
                    <xdr:colOff>57150</xdr:colOff>
                    <xdr:row>24</xdr:row>
                    <xdr:rowOff>19050</xdr:rowOff>
                  </from>
                  <to>
                    <xdr:col>2</xdr:col>
                    <xdr:colOff>542925</xdr:colOff>
                    <xdr:row>24</xdr:row>
                    <xdr:rowOff>238125</xdr:rowOff>
                  </to>
                </anchor>
              </controlPr>
            </control>
          </mc:Choice>
        </mc:AlternateContent>
        <mc:AlternateContent xmlns:mc="http://schemas.openxmlformats.org/markup-compatibility/2006">
          <mc:Choice Requires="x14">
            <control shapeId="99362" r:id="rId37" name="Check Box 34">
              <controlPr locked="0" defaultSize="0" autoFill="0" autoLine="0" autoPict="0">
                <anchor moveWithCells="1">
                  <from>
                    <xdr:col>2</xdr:col>
                    <xdr:colOff>400050</xdr:colOff>
                    <xdr:row>24</xdr:row>
                    <xdr:rowOff>47625</xdr:rowOff>
                  </from>
                  <to>
                    <xdr:col>2</xdr:col>
                    <xdr:colOff>885825</xdr:colOff>
                    <xdr:row>24</xdr:row>
                    <xdr:rowOff>228600</xdr:rowOff>
                  </to>
                </anchor>
              </controlPr>
            </control>
          </mc:Choice>
        </mc:AlternateContent>
        <mc:AlternateContent xmlns:mc="http://schemas.openxmlformats.org/markup-compatibility/2006">
          <mc:Choice Requires="x14">
            <control shapeId="99363" r:id="rId38" name="Check Box 35">
              <controlPr locked="0" defaultSize="0" autoFill="0" autoLine="0" autoPict="0">
                <anchor moveWithCells="1">
                  <from>
                    <xdr:col>2</xdr:col>
                    <xdr:colOff>57150</xdr:colOff>
                    <xdr:row>23</xdr:row>
                    <xdr:rowOff>19050</xdr:rowOff>
                  </from>
                  <to>
                    <xdr:col>2</xdr:col>
                    <xdr:colOff>542925</xdr:colOff>
                    <xdr:row>23</xdr:row>
                    <xdr:rowOff>238125</xdr:rowOff>
                  </to>
                </anchor>
              </controlPr>
            </control>
          </mc:Choice>
        </mc:AlternateContent>
        <mc:AlternateContent xmlns:mc="http://schemas.openxmlformats.org/markup-compatibility/2006">
          <mc:Choice Requires="x14">
            <control shapeId="99364" r:id="rId39" name="Check Box 36">
              <controlPr locked="0" defaultSize="0" autoFill="0" autoLine="0" autoPict="0">
                <anchor moveWithCells="1">
                  <from>
                    <xdr:col>2</xdr:col>
                    <xdr:colOff>400050</xdr:colOff>
                    <xdr:row>23</xdr:row>
                    <xdr:rowOff>47625</xdr:rowOff>
                  </from>
                  <to>
                    <xdr:col>2</xdr:col>
                    <xdr:colOff>885825</xdr:colOff>
                    <xdr:row>23</xdr:row>
                    <xdr:rowOff>228600</xdr:rowOff>
                  </to>
                </anchor>
              </controlPr>
            </control>
          </mc:Choice>
        </mc:AlternateContent>
        <mc:AlternateContent xmlns:mc="http://schemas.openxmlformats.org/markup-compatibility/2006">
          <mc:Choice Requires="x14">
            <control shapeId="99365" r:id="rId40" name="Check Box 37">
              <controlPr locked="0" defaultSize="0" autoFill="0" autoLine="0" autoPict="0">
                <anchor moveWithCells="1">
                  <from>
                    <xdr:col>2</xdr:col>
                    <xdr:colOff>57150</xdr:colOff>
                    <xdr:row>22</xdr:row>
                    <xdr:rowOff>19050</xdr:rowOff>
                  </from>
                  <to>
                    <xdr:col>2</xdr:col>
                    <xdr:colOff>542925</xdr:colOff>
                    <xdr:row>22</xdr:row>
                    <xdr:rowOff>238125</xdr:rowOff>
                  </to>
                </anchor>
              </controlPr>
            </control>
          </mc:Choice>
        </mc:AlternateContent>
        <mc:AlternateContent xmlns:mc="http://schemas.openxmlformats.org/markup-compatibility/2006">
          <mc:Choice Requires="x14">
            <control shapeId="99366" r:id="rId41" name="Check Box 38">
              <controlPr locked="0" defaultSize="0" autoFill="0" autoLine="0" autoPict="0">
                <anchor moveWithCells="1">
                  <from>
                    <xdr:col>2</xdr:col>
                    <xdr:colOff>400050</xdr:colOff>
                    <xdr:row>22</xdr:row>
                    <xdr:rowOff>47625</xdr:rowOff>
                  </from>
                  <to>
                    <xdr:col>2</xdr:col>
                    <xdr:colOff>885825</xdr:colOff>
                    <xdr:row>22</xdr:row>
                    <xdr:rowOff>228600</xdr:rowOff>
                  </to>
                </anchor>
              </controlPr>
            </control>
          </mc:Choice>
        </mc:AlternateContent>
        <mc:AlternateContent xmlns:mc="http://schemas.openxmlformats.org/markup-compatibility/2006">
          <mc:Choice Requires="x14">
            <control shapeId="99367" r:id="rId42" name="Check Box 39">
              <controlPr locked="0" defaultSize="0" autoFill="0" autoLine="0" autoPict="0">
                <anchor moveWithCells="1">
                  <from>
                    <xdr:col>2</xdr:col>
                    <xdr:colOff>57150</xdr:colOff>
                    <xdr:row>30</xdr:row>
                    <xdr:rowOff>19050</xdr:rowOff>
                  </from>
                  <to>
                    <xdr:col>2</xdr:col>
                    <xdr:colOff>542925</xdr:colOff>
                    <xdr:row>30</xdr:row>
                    <xdr:rowOff>238125</xdr:rowOff>
                  </to>
                </anchor>
              </controlPr>
            </control>
          </mc:Choice>
        </mc:AlternateContent>
        <mc:AlternateContent xmlns:mc="http://schemas.openxmlformats.org/markup-compatibility/2006">
          <mc:Choice Requires="x14">
            <control shapeId="99368" r:id="rId43" name="Check Box 40">
              <controlPr locked="0" defaultSize="0" autoFill="0" autoLine="0" autoPict="0">
                <anchor moveWithCells="1">
                  <from>
                    <xdr:col>2</xdr:col>
                    <xdr:colOff>400050</xdr:colOff>
                    <xdr:row>30</xdr:row>
                    <xdr:rowOff>47625</xdr:rowOff>
                  </from>
                  <to>
                    <xdr:col>2</xdr:col>
                    <xdr:colOff>885825</xdr:colOff>
                    <xdr:row>30</xdr:row>
                    <xdr:rowOff>228600</xdr:rowOff>
                  </to>
                </anchor>
              </controlPr>
            </control>
          </mc:Choice>
        </mc:AlternateContent>
        <mc:AlternateContent xmlns:mc="http://schemas.openxmlformats.org/markup-compatibility/2006">
          <mc:Choice Requires="x14">
            <control shapeId="99369" r:id="rId44" name="Check Box 41">
              <controlPr locked="0" defaultSize="0" autoFill="0" autoLine="0" autoPict="0">
                <anchor moveWithCells="1">
                  <from>
                    <xdr:col>2</xdr:col>
                    <xdr:colOff>57150</xdr:colOff>
                    <xdr:row>26</xdr:row>
                    <xdr:rowOff>19050</xdr:rowOff>
                  </from>
                  <to>
                    <xdr:col>2</xdr:col>
                    <xdr:colOff>542925</xdr:colOff>
                    <xdr:row>26</xdr:row>
                    <xdr:rowOff>238125</xdr:rowOff>
                  </to>
                </anchor>
              </controlPr>
            </control>
          </mc:Choice>
        </mc:AlternateContent>
        <mc:AlternateContent xmlns:mc="http://schemas.openxmlformats.org/markup-compatibility/2006">
          <mc:Choice Requires="x14">
            <control shapeId="99370" r:id="rId45" name="Check Box 42">
              <controlPr locked="0" defaultSize="0" autoFill="0" autoLine="0" autoPict="0">
                <anchor moveWithCells="1">
                  <from>
                    <xdr:col>2</xdr:col>
                    <xdr:colOff>400050</xdr:colOff>
                    <xdr:row>26</xdr:row>
                    <xdr:rowOff>47625</xdr:rowOff>
                  </from>
                  <to>
                    <xdr:col>2</xdr:col>
                    <xdr:colOff>885825</xdr:colOff>
                    <xdr:row>26</xdr:row>
                    <xdr:rowOff>228600</xdr:rowOff>
                  </to>
                </anchor>
              </controlPr>
            </control>
          </mc:Choice>
        </mc:AlternateContent>
        <mc:AlternateContent xmlns:mc="http://schemas.openxmlformats.org/markup-compatibility/2006">
          <mc:Choice Requires="x14">
            <control shapeId="99371" r:id="rId46" name="Check Box 43">
              <controlPr locked="0" defaultSize="0" autoFill="0" autoLine="0" autoPict="0">
                <anchor moveWithCells="1">
                  <from>
                    <xdr:col>2</xdr:col>
                    <xdr:colOff>57150</xdr:colOff>
                    <xdr:row>25</xdr:row>
                    <xdr:rowOff>19050</xdr:rowOff>
                  </from>
                  <to>
                    <xdr:col>2</xdr:col>
                    <xdr:colOff>542925</xdr:colOff>
                    <xdr:row>25</xdr:row>
                    <xdr:rowOff>238125</xdr:rowOff>
                  </to>
                </anchor>
              </controlPr>
            </control>
          </mc:Choice>
        </mc:AlternateContent>
        <mc:AlternateContent xmlns:mc="http://schemas.openxmlformats.org/markup-compatibility/2006">
          <mc:Choice Requires="x14">
            <control shapeId="99372" r:id="rId47" name="Check Box 44">
              <controlPr locked="0" defaultSize="0" autoFill="0" autoLine="0" autoPict="0">
                <anchor moveWithCells="1">
                  <from>
                    <xdr:col>2</xdr:col>
                    <xdr:colOff>400050</xdr:colOff>
                    <xdr:row>25</xdr:row>
                    <xdr:rowOff>47625</xdr:rowOff>
                  </from>
                  <to>
                    <xdr:col>2</xdr:col>
                    <xdr:colOff>885825</xdr:colOff>
                    <xdr:row>25</xdr:row>
                    <xdr:rowOff>228600</xdr:rowOff>
                  </to>
                </anchor>
              </controlPr>
            </control>
          </mc:Choice>
        </mc:AlternateContent>
        <mc:AlternateContent xmlns:mc="http://schemas.openxmlformats.org/markup-compatibility/2006">
          <mc:Choice Requires="x14">
            <control shapeId="99373" r:id="rId48" name="Check Box 45">
              <controlPr locked="0" defaultSize="0" autoFill="0" autoLine="0" autoPict="0">
                <anchor moveWithCells="1">
                  <from>
                    <xdr:col>2</xdr:col>
                    <xdr:colOff>57150</xdr:colOff>
                    <xdr:row>29</xdr:row>
                    <xdr:rowOff>19050</xdr:rowOff>
                  </from>
                  <to>
                    <xdr:col>2</xdr:col>
                    <xdr:colOff>542925</xdr:colOff>
                    <xdr:row>29</xdr:row>
                    <xdr:rowOff>238125</xdr:rowOff>
                  </to>
                </anchor>
              </controlPr>
            </control>
          </mc:Choice>
        </mc:AlternateContent>
        <mc:AlternateContent xmlns:mc="http://schemas.openxmlformats.org/markup-compatibility/2006">
          <mc:Choice Requires="x14">
            <control shapeId="99374" r:id="rId49" name="Check Box 46">
              <controlPr locked="0" defaultSize="0" autoFill="0" autoLine="0" autoPict="0">
                <anchor moveWithCells="1">
                  <from>
                    <xdr:col>2</xdr:col>
                    <xdr:colOff>400050</xdr:colOff>
                    <xdr:row>29</xdr:row>
                    <xdr:rowOff>47625</xdr:rowOff>
                  </from>
                  <to>
                    <xdr:col>2</xdr:col>
                    <xdr:colOff>885825</xdr:colOff>
                    <xdr:row>29</xdr:row>
                    <xdr:rowOff>228600</xdr:rowOff>
                  </to>
                </anchor>
              </controlPr>
            </control>
          </mc:Choice>
        </mc:AlternateContent>
        <mc:AlternateContent xmlns:mc="http://schemas.openxmlformats.org/markup-compatibility/2006">
          <mc:Choice Requires="x14">
            <control shapeId="99375" r:id="rId50" name="Check Box 47">
              <controlPr locked="0" defaultSize="0" autoFill="0" autoLine="0" autoPict="0">
                <anchor moveWithCells="1">
                  <from>
                    <xdr:col>2</xdr:col>
                    <xdr:colOff>57150</xdr:colOff>
                    <xdr:row>28</xdr:row>
                    <xdr:rowOff>19050</xdr:rowOff>
                  </from>
                  <to>
                    <xdr:col>2</xdr:col>
                    <xdr:colOff>542925</xdr:colOff>
                    <xdr:row>28</xdr:row>
                    <xdr:rowOff>238125</xdr:rowOff>
                  </to>
                </anchor>
              </controlPr>
            </control>
          </mc:Choice>
        </mc:AlternateContent>
        <mc:AlternateContent xmlns:mc="http://schemas.openxmlformats.org/markup-compatibility/2006">
          <mc:Choice Requires="x14">
            <control shapeId="99376" r:id="rId51" name="Check Box 48">
              <controlPr locked="0" defaultSize="0" autoFill="0" autoLine="0" autoPict="0">
                <anchor moveWithCells="1">
                  <from>
                    <xdr:col>2</xdr:col>
                    <xdr:colOff>400050</xdr:colOff>
                    <xdr:row>28</xdr:row>
                    <xdr:rowOff>47625</xdr:rowOff>
                  </from>
                  <to>
                    <xdr:col>2</xdr:col>
                    <xdr:colOff>885825</xdr:colOff>
                    <xdr:row>28</xdr:row>
                    <xdr:rowOff>228600</xdr:rowOff>
                  </to>
                </anchor>
              </controlPr>
            </control>
          </mc:Choice>
        </mc:AlternateContent>
        <mc:AlternateContent xmlns:mc="http://schemas.openxmlformats.org/markup-compatibility/2006">
          <mc:Choice Requires="x14">
            <control shapeId="99377" r:id="rId52" name="Check Box 49">
              <controlPr locked="0" defaultSize="0" autoFill="0" autoLine="0" autoPict="0">
                <anchor moveWithCells="1">
                  <from>
                    <xdr:col>2</xdr:col>
                    <xdr:colOff>57150</xdr:colOff>
                    <xdr:row>27</xdr:row>
                    <xdr:rowOff>19050</xdr:rowOff>
                  </from>
                  <to>
                    <xdr:col>2</xdr:col>
                    <xdr:colOff>542925</xdr:colOff>
                    <xdr:row>27</xdr:row>
                    <xdr:rowOff>238125</xdr:rowOff>
                  </to>
                </anchor>
              </controlPr>
            </control>
          </mc:Choice>
        </mc:AlternateContent>
        <mc:AlternateContent xmlns:mc="http://schemas.openxmlformats.org/markup-compatibility/2006">
          <mc:Choice Requires="x14">
            <control shapeId="99378" r:id="rId53" name="Check Box 50">
              <controlPr locked="0" defaultSize="0" autoFill="0" autoLine="0" autoPict="0">
                <anchor moveWithCells="1">
                  <from>
                    <xdr:col>2</xdr:col>
                    <xdr:colOff>400050</xdr:colOff>
                    <xdr:row>27</xdr:row>
                    <xdr:rowOff>47625</xdr:rowOff>
                  </from>
                  <to>
                    <xdr:col>2</xdr:col>
                    <xdr:colOff>885825</xdr:colOff>
                    <xdr:row>27</xdr:row>
                    <xdr:rowOff>228600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CE712-AA29-49EB-B080-DCDA7850658C}">
  <dimension ref="C1:J75"/>
  <sheetViews>
    <sheetView zoomScale="120" zoomScaleNormal="120" workbookViewId="0">
      <selection activeCell="O15" sqref="O15"/>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IFERROR(IF('Air Leakage Sealing'!$Q$39=0, "", IF('Air Leakage Sealing'!$Q$39="LCI", "New York - Electric and Gas Large Commercial and Industrial Program", "New York - Electric and Gas Small Business Program")),"")</f>
        <v>New York - Electric and Gas Small Business Program</v>
      </c>
      <c r="F2" s="1070"/>
      <c r="G2" s="1070"/>
      <c r="H2" s="1070"/>
      <c r="I2" s="1071"/>
      <c r="J2" s="789"/>
    </row>
    <row r="3" spans="3:10" ht="27.75" customHeight="1" x14ac:dyDescent="0.35">
      <c r="C3" s="148"/>
      <c r="D3" s="780"/>
      <c r="E3" s="802"/>
      <c r="F3" s="1072" t="s">
        <v>644</v>
      </c>
      <c r="G3" s="1072"/>
      <c r="H3" s="1072"/>
      <c r="I3" s="1073"/>
      <c r="J3" s="815"/>
    </row>
    <row r="4" spans="3:10" ht="5.25" customHeight="1" x14ac:dyDescent="0.25">
      <c r="C4" s="99"/>
      <c r="D4" s="99"/>
      <c r="E4" s="99"/>
      <c r="F4" s="99"/>
      <c r="G4" s="99"/>
      <c r="H4" s="99"/>
      <c r="I4" s="99"/>
    </row>
    <row r="5" spans="3:10" x14ac:dyDescent="0.25">
      <c r="C5" s="775" t="s">
        <v>645</v>
      </c>
      <c r="D5" s="781" t="str">
        <f>IF('App Cust Info'!$B$12="", "", 'App Cust Info'!$B$12)</f>
        <v/>
      </c>
      <c r="E5" s="777"/>
      <c r="F5" s="777"/>
      <c r="G5" s="777"/>
      <c r="H5" s="775" t="s">
        <v>646</v>
      </c>
      <c r="I5" s="782" t="s">
        <v>680</v>
      </c>
    </row>
    <row r="6" spans="3:10" x14ac:dyDescent="0.25">
      <c r="C6" s="775" t="s">
        <v>134</v>
      </c>
      <c r="D6" s="776" t="str">
        <f>IF($D$5="", "", 'App Cust Info'!$B$18&amp;", "&amp;'App Cust Info'!$F$18&amp;", "&amp;'App Cust Info'!$I$18&amp;" "&amp;'App Cust Info'!$K$18)</f>
        <v/>
      </c>
      <c r="E6" s="777"/>
      <c r="F6" s="777"/>
      <c r="G6" s="777"/>
      <c r="H6" s="775" t="s">
        <v>647</v>
      </c>
      <c r="I6" s="757"/>
    </row>
    <row r="7" spans="3:10" x14ac:dyDescent="0.25">
      <c r="C7" s="775" t="s">
        <v>648</v>
      </c>
      <c r="D7" s="776" t="str">
        <f>IF($D$5="", "", "Air Leakage Sealing")</f>
        <v/>
      </c>
      <c r="E7" s="777"/>
      <c r="F7" s="777"/>
      <c r="G7" s="777"/>
      <c r="H7" s="775" t="s">
        <v>649</v>
      </c>
      <c r="I7" s="757"/>
    </row>
    <row r="8" spans="3:10" ht="6" customHeight="1" x14ac:dyDescent="0.25">
      <c r="C8" s="99"/>
      <c r="D8" s="99"/>
      <c r="E8" s="99"/>
      <c r="F8" s="99"/>
      <c r="G8" s="99"/>
      <c r="H8" s="99"/>
      <c r="I8" s="99"/>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 'Air Leakage Sealing'!$C$5)</f>
        <v/>
      </c>
      <c r="E14" s="1064"/>
      <c r="F14" s="793" t="str">
        <f>IF($D$5="", "", 'Air Leakage Sealing'!$D$5)</f>
        <v/>
      </c>
      <c r="G14" s="763"/>
      <c r="H14" s="763"/>
      <c r="I14" s="764"/>
      <c r="J14" s="767"/>
    </row>
    <row r="15" spans="3:10" ht="27.75" customHeight="1" x14ac:dyDescent="0.25">
      <c r="C15" s="761"/>
      <c r="D15" s="1064" t="str">
        <f>IF($D$5="", "", 'Air Leakage Sealing'!$C$7)</f>
        <v/>
      </c>
      <c r="E15" s="1064"/>
      <c r="F15" s="1052" t="str">
        <f>IF($D$5="", "", 'Air Leakage Sealing'!$D$7)</f>
        <v/>
      </c>
      <c r="G15" s="1066"/>
      <c r="H15" s="1066"/>
      <c r="I15" s="1067"/>
      <c r="J15" s="767"/>
    </row>
    <row r="16" spans="3:10" ht="27.75" customHeight="1" x14ac:dyDescent="0.25">
      <c r="C16" s="761"/>
      <c r="D16" s="1064" t="str">
        <f>IF($D$5="", "", 'Air Leakage Sealing'!$C$8)</f>
        <v/>
      </c>
      <c r="E16" s="1064"/>
      <c r="F16" s="793" t="str">
        <f>IF($D$5="", "", 'Air Leakage Sealing'!$D$8)</f>
        <v/>
      </c>
      <c r="G16" s="763"/>
      <c r="H16" s="763"/>
      <c r="I16" s="764"/>
      <c r="J16" s="767"/>
    </row>
    <row r="17" spans="3:10" ht="27.75" customHeight="1" x14ac:dyDescent="0.25">
      <c r="C17" s="761"/>
      <c r="D17" s="1064" t="str">
        <f>IF($D$5="", "", 'Air Leakage Sealing'!$C$9)</f>
        <v/>
      </c>
      <c r="E17" s="1064"/>
      <c r="F17" s="793" t="str">
        <f>IF($D$5="", "", 'Air Leakage Sealing'!$D$9)</f>
        <v/>
      </c>
      <c r="G17" s="763"/>
      <c r="H17" s="763"/>
      <c r="I17" s="764"/>
      <c r="J17" s="767"/>
    </row>
    <row r="18" spans="3:10" ht="27.75" customHeight="1" x14ac:dyDescent="0.25">
      <c r="C18" s="761"/>
      <c r="D18" s="1064" t="str">
        <f>IF($D$5="", "", 'Air Leakage Sealing'!$C$10)</f>
        <v/>
      </c>
      <c r="E18" s="1064"/>
      <c r="F18" s="793" t="str">
        <f>IF($D$5="", "", 'Air Leakage Sealing'!$D$10)</f>
        <v/>
      </c>
      <c r="G18" s="763"/>
      <c r="H18" s="763"/>
      <c r="I18" s="764"/>
      <c r="J18" s="767"/>
    </row>
    <row r="19" spans="3:10" ht="27.75" customHeight="1" x14ac:dyDescent="0.25">
      <c r="C19" s="761"/>
      <c r="D19" s="1064" t="str">
        <f>IF($D$5="", "", 'Air Leakage Sealing'!$C$11)</f>
        <v/>
      </c>
      <c r="E19" s="1064"/>
      <c r="F19" s="816" t="str">
        <f>IF($D$5="", "", 'Air Leakage Sealing'!$D$11)</f>
        <v/>
      </c>
      <c r="G19" s="763"/>
      <c r="H19" s="763"/>
      <c r="I19" s="764"/>
      <c r="J19" s="767"/>
    </row>
    <row r="20" spans="3:10" ht="27.75" customHeight="1" x14ac:dyDescent="0.25">
      <c r="C20" s="761"/>
      <c r="D20" s="1064" t="str">
        <f>IF($D$5="", "", 'Air Leakage Sealing'!$C$12)</f>
        <v/>
      </c>
      <c r="E20" s="1064"/>
      <c r="F20" s="827" t="str">
        <f>IF($D$5="", "", 'Air Leakage Sealing'!$Q$25)</f>
        <v/>
      </c>
      <c r="G20" s="1052" t="str">
        <f>IF($F$20="","", IF('Air Leakage Sealing'!$D$12="", "(Default Value)", "(Customer Entered Value)"))</f>
        <v/>
      </c>
      <c r="H20" s="1066"/>
      <c r="I20" s="1067"/>
      <c r="J20" s="767"/>
    </row>
    <row r="21" spans="3:10" ht="27.75" customHeight="1" x14ac:dyDescent="0.25">
      <c r="C21" s="761"/>
      <c r="D21" s="1064" t="str">
        <f>IF($D$5="", "", 'Air Leakage Sealing'!$C$13)</f>
        <v/>
      </c>
      <c r="E21" s="1064"/>
      <c r="F21" s="827" t="str">
        <f>IF($D$5="", "", 'Air Leakage Sealing'!$Q$26)</f>
        <v/>
      </c>
      <c r="G21" s="1052" t="str">
        <f>IF($F$21="", "", IF('Air Leakage Sealing'!$D$13="", "(Default Value)", "(Customer Entered Value)"))</f>
        <v/>
      </c>
      <c r="H21" s="1066"/>
      <c r="I21" s="1067"/>
      <c r="J21" s="767"/>
    </row>
    <row r="22" spans="3:10" ht="27.75" customHeight="1" x14ac:dyDescent="0.25">
      <c r="C22" s="761"/>
      <c r="D22" s="1064" t="str">
        <f>IF($D$5="", "", 'Air Leakage Sealing'!$C$14)</f>
        <v/>
      </c>
      <c r="E22" s="1064"/>
      <c r="F22" s="817" t="str">
        <f>IF($D$5="", "", 'Air Leakage Sealing'!$D$14)</f>
        <v/>
      </c>
      <c r="G22" s="763"/>
      <c r="H22" s="763"/>
      <c r="I22" s="764"/>
      <c r="J22" s="767"/>
    </row>
    <row r="23" spans="3:10" ht="27.75" customHeight="1" x14ac:dyDescent="0.25">
      <c r="C23" s="761"/>
      <c r="D23" s="1064" t="str">
        <f>IF($D$5="", "", 'Air Leakage Sealing'!$C$15)</f>
        <v/>
      </c>
      <c r="E23" s="1064"/>
      <c r="F23" s="795" t="str">
        <f>IF($D$5="", "", 'Air Leakage Sealing'!$D$15)</f>
        <v/>
      </c>
      <c r="G23" s="763"/>
      <c r="H23" s="763"/>
      <c r="I23" s="764"/>
      <c r="J23" s="767"/>
    </row>
    <row r="24" spans="3:10" ht="27.75" customHeight="1" x14ac:dyDescent="0.25">
      <c r="C24" s="761"/>
      <c r="D24" s="1064" t="str">
        <f>IF($D$5="", "", 'Air Leakage Sealing'!$C$16)</f>
        <v/>
      </c>
      <c r="E24" s="1064"/>
      <c r="F24" s="795" t="str">
        <f>IF($D$5="", "", 'Air Leakage Sealing'!$Q$27)</f>
        <v/>
      </c>
      <c r="G24" s="763"/>
      <c r="H24" s="763"/>
      <c r="I24" s="764"/>
      <c r="J24" s="767"/>
    </row>
    <row r="25" spans="3:10" ht="27.75" customHeight="1" x14ac:dyDescent="0.25">
      <c r="C25" s="761"/>
      <c r="D25" s="1064" t="str">
        <f>IF($D$5="", "", 'Air Leakage Sealing'!$C$17)</f>
        <v/>
      </c>
      <c r="E25" s="1064"/>
      <c r="F25" s="795" t="str">
        <f>IF($D$5="", "", 'Air Leakage Sealing'!$D$17)</f>
        <v/>
      </c>
      <c r="G25" s="763"/>
      <c r="H25" s="763"/>
      <c r="I25" s="764"/>
      <c r="J25" s="767"/>
    </row>
    <row r="26" spans="3:10" ht="27.75" customHeight="1" x14ac:dyDescent="0.25">
      <c r="C26" s="761"/>
      <c r="D26" s="796" t="str">
        <f>IF('Air Leakage Sealing'!$D$2="", "", "VERIFY LINE BY LINE INVENTORY IN THE APPENDIX BELOW.")</f>
        <v/>
      </c>
      <c r="E26" s="797"/>
      <c r="F26" s="791"/>
      <c r="G26" s="759"/>
      <c r="H26" s="759"/>
      <c r="I26" s="760"/>
      <c r="J26" s="767"/>
    </row>
    <row r="27" spans="3:10" ht="27.75" customHeight="1" x14ac:dyDescent="0.25">
      <c r="C27" s="758" t="s">
        <v>651</v>
      </c>
      <c r="D27" s="1038" t="s">
        <v>654</v>
      </c>
      <c r="E27" s="1076"/>
      <c r="F27" s="1076"/>
      <c r="G27" s="1076"/>
      <c r="H27" s="1076"/>
      <c r="I27" s="1077"/>
      <c r="J27" s="767"/>
    </row>
    <row r="28" spans="3:10" x14ac:dyDescent="0.25">
      <c r="C28" s="150"/>
      <c r="D28" s="1061" t="s">
        <v>655</v>
      </c>
      <c r="E28" s="1062"/>
      <c r="F28" s="1062"/>
      <c r="G28" s="1062"/>
      <c r="H28" s="1062"/>
      <c r="I28" s="1063"/>
      <c r="J28" s="798"/>
    </row>
    <row r="29" spans="3:10" ht="27.75" customHeight="1" x14ac:dyDescent="0.25">
      <c r="C29" s="758" t="s">
        <v>651</v>
      </c>
      <c r="D29" s="1038" t="s">
        <v>656</v>
      </c>
      <c r="E29" s="1039"/>
      <c r="F29" s="1039"/>
      <c r="G29" s="1039"/>
      <c r="H29" s="1039"/>
      <c r="I29" s="1040"/>
      <c r="J29" s="767"/>
    </row>
    <row r="30" spans="3:10" x14ac:dyDescent="0.25">
      <c r="C30" s="150"/>
      <c r="D30" s="1041" t="s">
        <v>657</v>
      </c>
      <c r="E30" s="1042"/>
      <c r="F30" s="1042"/>
      <c r="G30" s="1042"/>
      <c r="H30" s="1042"/>
      <c r="I30" s="1043"/>
      <c r="J30" s="799"/>
    </row>
    <row r="31" spans="3:10" ht="51.75" customHeight="1" x14ac:dyDescent="0.25">
      <c r="C31" s="758" t="s">
        <v>651</v>
      </c>
      <c r="D31" s="1038" t="s">
        <v>658</v>
      </c>
      <c r="E31" s="1039"/>
      <c r="F31" s="1039"/>
      <c r="G31" s="1039"/>
      <c r="H31" s="1039"/>
      <c r="I31" s="1040"/>
      <c r="J31" s="767"/>
    </row>
    <row r="32" spans="3:10" x14ac:dyDescent="0.25">
      <c r="C32" s="150"/>
      <c r="D32" s="1041" t="s">
        <v>659</v>
      </c>
      <c r="E32" s="1042"/>
      <c r="F32" s="1042"/>
      <c r="G32" s="1042"/>
      <c r="H32" s="1042"/>
      <c r="I32" s="1043"/>
      <c r="J32" s="799"/>
    </row>
    <row r="33" spans="3:10" ht="33.75" customHeight="1" x14ac:dyDescent="0.25">
      <c r="C33" s="758" t="s">
        <v>651</v>
      </c>
      <c r="D33" s="1065" t="s">
        <v>660</v>
      </c>
      <c r="E33" s="1066"/>
      <c r="F33" s="1066"/>
      <c r="G33" s="1066"/>
      <c r="H33" s="1066"/>
      <c r="I33" s="1067"/>
      <c r="J33" s="767"/>
    </row>
    <row r="34" spans="3:10" ht="95.25" customHeight="1" x14ac:dyDescent="0.25">
      <c r="C34" s="150"/>
      <c r="D34" s="1052" t="s">
        <v>661</v>
      </c>
      <c r="E34" s="1053"/>
      <c r="F34" s="1053"/>
      <c r="G34" s="1053"/>
      <c r="H34" s="1053"/>
      <c r="I34" s="1054"/>
      <c r="J34" s="800"/>
    </row>
    <row r="36" spans="3:10" ht="22.5" customHeight="1" x14ac:dyDescent="0.4">
      <c r="C36" s="1068"/>
      <c r="D36" s="1069"/>
      <c r="E36" s="399">
        <f ca="1">TODAY()</f>
        <v>46212</v>
      </c>
    </row>
    <row r="37" spans="3:10" ht="24.75" customHeight="1" x14ac:dyDescent="0.25">
      <c r="C37" s="1045" t="s">
        <v>662</v>
      </c>
      <c r="D37" s="1045"/>
      <c r="E37" s="765" t="s">
        <v>70</v>
      </c>
    </row>
    <row r="39" spans="3:10" x14ac:dyDescent="0.25">
      <c r="C39" s="1074" t="s">
        <v>679</v>
      </c>
      <c r="D39" s="1074"/>
      <c r="E39" s="1074"/>
      <c r="F39" s="1074"/>
      <c r="G39" s="1074"/>
      <c r="H39" s="1074"/>
      <c r="I39" s="1074"/>
      <c r="J39" s="819"/>
    </row>
    <row r="40" spans="3:10" ht="18" customHeight="1" x14ac:dyDescent="0.25">
      <c r="C40" s="1050" t="s">
        <v>664</v>
      </c>
      <c r="D40" s="1050"/>
      <c r="E40" s="1050"/>
      <c r="F40" s="1050"/>
      <c r="G40" s="1050"/>
      <c r="H40" s="1050"/>
      <c r="I40" s="1050"/>
      <c r="J40" s="767"/>
    </row>
    <row r="41" spans="3:10" x14ac:dyDescent="0.25">
      <c r="C41" s="1050"/>
      <c r="D41" s="1050"/>
      <c r="E41" s="1050"/>
      <c r="F41" s="1050"/>
      <c r="G41" s="1050"/>
      <c r="H41" s="1050"/>
      <c r="I41" s="1050"/>
      <c r="J41" s="767"/>
    </row>
    <row r="42" spans="3:10" x14ac:dyDescent="0.25">
      <c r="C42" s="1050"/>
      <c r="D42" s="1050"/>
      <c r="E42" s="1050"/>
      <c r="F42" s="1050"/>
      <c r="G42" s="1050"/>
      <c r="H42" s="1050"/>
      <c r="I42" s="1050"/>
      <c r="J42" s="767"/>
    </row>
    <row r="43" spans="3:10" x14ac:dyDescent="0.25">
      <c r="C43" s="768"/>
      <c r="D43" s="768"/>
      <c r="E43" s="768"/>
      <c r="F43" s="768"/>
      <c r="G43" s="768"/>
      <c r="H43" s="768"/>
      <c r="I43" s="768"/>
      <c r="J43" s="768"/>
    </row>
    <row r="44" spans="3:10" x14ac:dyDescent="0.25">
      <c r="C44" s="151"/>
      <c r="D44" s="152"/>
      <c r="E44" s="153" t="s">
        <v>665</v>
      </c>
      <c r="F44" s="154" t="b">
        <v>0</v>
      </c>
      <c r="G44" s="400" t="s">
        <v>666</v>
      </c>
      <c r="H44" s="154" t="b">
        <v>0</v>
      </c>
      <c r="I44" s="155"/>
    </row>
    <row r="46" spans="3:10" ht="15" customHeight="1" x14ac:dyDescent="0.25">
      <c r="C46" s="769" t="s">
        <v>667</v>
      </c>
      <c r="D46" s="770"/>
      <c r="E46" s="770"/>
      <c r="F46" s="770"/>
      <c r="G46" s="770"/>
      <c r="H46" s="770"/>
      <c r="I46" s="771"/>
      <c r="J46" s="801"/>
    </row>
    <row r="47" spans="3:10" x14ac:dyDescent="0.25">
      <c r="C47" s="156" t="s">
        <v>668</v>
      </c>
      <c r="D47" s="157" t="b">
        <v>0</v>
      </c>
      <c r="E47" s="158" t="s">
        <v>669</v>
      </c>
      <c r="F47" s="157" t="b">
        <v>0</v>
      </c>
      <c r="G47" s="166"/>
      <c r="H47" s="166"/>
      <c r="I47" s="167"/>
    </row>
    <row r="48" spans="3:10" ht="10.5" customHeight="1" x14ac:dyDescent="0.25"/>
    <row r="49" spans="3:9" x14ac:dyDescent="0.25">
      <c r="C49" s="772" t="s">
        <v>670</v>
      </c>
    </row>
    <row r="50" spans="3:9" ht="6.75" customHeight="1" x14ac:dyDescent="0.25">
      <c r="C50" s="772"/>
    </row>
    <row r="51" spans="3:9" x14ac:dyDescent="0.25">
      <c r="C51" s="773" t="s">
        <v>671</v>
      </c>
      <c r="D51" s="160"/>
      <c r="E51" s="160"/>
      <c r="F51" s="160"/>
      <c r="G51" s="160"/>
      <c r="H51" s="160"/>
      <c r="I51" s="161"/>
    </row>
    <row r="52" spans="3:9" x14ac:dyDescent="0.25">
      <c r="C52" s="156" t="s">
        <v>668</v>
      </c>
      <c r="D52" s="157" t="b">
        <v>0</v>
      </c>
      <c r="E52" s="158" t="s">
        <v>669</v>
      </c>
      <c r="F52" s="157" t="b">
        <v>0</v>
      </c>
      <c r="G52" s="166"/>
      <c r="H52" s="166"/>
      <c r="I52" s="167"/>
    </row>
    <row r="54" spans="3:9" ht="24" customHeight="1" x14ac:dyDescent="0.25">
      <c r="C54" s="1047"/>
      <c r="D54" s="1048"/>
      <c r="E54" s="150"/>
      <c r="F54" s="1047"/>
      <c r="G54" s="1051"/>
      <c r="H54" s="150"/>
    </row>
    <row r="55" spans="3:9" x14ac:dyDescent="0.25">
      <c r="C55" s="1045" t="s">
        <v>672</v>
      </c>
      <c r="D55" s="1045"/>
      <c r="E55" s="765" t="s">
        <v>70</v>
      </c>
      <c r="F55" s="1046" t="s">
        <v>673</v>
      </c>
      <c r="G55" s="1046"/>
      <c r="H55" s="765" t="s">
        <v>70</v>
      </c>
    </row>
    <row r="57" spans="3:9" x14ac:dyDescent="0.25">
      <c r="C57" s="774" t="s">
        <v>674</v>
      </c>
    </row>
    <row r="58" spans="3:9" x14ac:dyDescent="0.25">
      <c r="C58" s="159"/>
      <c r="D58" s="160"/>
      <c r="E58" s="160"/>
      <c r="F58" s="160"/>
      <c r="G58" s="160"/>
      <c r="H58" s="160"/>
      <c r="I58" s="161"/>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2"/>
      <c r="I70" s="164"/>
    </row>
    <row r="71" spans="3:9" x14ac:dyDescent="0.25">
      <c r="C71" s="162"/>
      <c r="I71" s="164"/>
    </row>
    <row r="72" spans="3:9" x14ac:dyDescent="0.25">
      <c r="C72" s="162"/>
      <c r="I72" s="164"/>
    </row>
    <row r="73" spans="3:9" x14ac:dyDescent="0.25">
      <c r="C73" s="162"/>
      <c r="I73" s="164"/>
    </row>
    <row r="74" spans="3:9" x14ac:dyDescent="0.25">
      <c r="C74" s="162"/>
      <c r="I74" s="164"/>
    </row>
    <row r="75" spans="3:9" x14ac:dyDescent="0.25">
      <c r="C75" s="165"/>
      <c r="D75" s="166"/>
      <c r="E75" s="166"/>
      <c r="F75" s="166"/>
      <c r="G75" s="166"/>
      <c r="H75" s="166"/>
      <c r="I75" s="167"/>
    </row>
  </sheetData>
  <sheetProtection algorithmName="SHA-512" hashValue="pVLaLn3SMn2GrgIqDQ1GkdB9acSuzKKmBCCUomMkqS6d8QD2YDD1NSjO6p/PZoMugMWp7RIATTWU2Zw/C4dPug==" saltValue="Lfp3VYM6ypcZ8+ZYNdgxBA==" spinCount="100000" sheet="1" objects="1" scenarios="1"/>
  <mergeCells count="36">
    <mergeCell ref="C1:I1"/>
    <mergeCell ref="C55:D55"/>
    <mergeCell ref="F55:G55"/>
    <mergeCell ref="F15:I15"/>
    <mergeCell ref="G20:I20"/>
    <mergeCell ref="G21:I21"/>
    <mergeCell ref="D34:I34"/>
    <mergeCell ref="C36:D36"/>
    <mergeCell ref="C37:D37"/>
    <mergeCell ref="C39:I39"/>
    <mergeCell ref="C40:I42"/>
    <mergeCell ref="C54:D54"/>
    <mergeCell ref="F54:G54"/>
    <mergeCell ref="D28:I28"/>
    <mergeCell ref="D29:I29"/>
    <mergeCell ref="D30:I30"/>
    <mergeCell ref="D31:I31"/>
    <mergeCell ref="D32:I32"/>
    <mergeCell ref="D33:I33"/>
    <mergeCell ref="D22:E22"/>
    <mergeCell ref="D23:E23"/>
    <mergeCell ref="D24:E24"/>
    <mergeCell ref="D25:E25"/>
    <mergeCell ref="D27:I27"/>
    <mergeCell ref="D21:E21"/>
    <mergeCell ref="E2:I2"/>
    <mergeCell ref="F3:I3"/>
    <mergeCell ref="C9:I11"/>
    <mergeCell ref="D13:I13"/>
    <mergeCell ref="D14:E14"/>
    <mergeCell ref="D15:E15"/>
    <mergeCell ref="D16:E16"/>
    <mergeCell ref="D17:E17"/>
    <mergeCell ref="D18:E18"/>
    <mergeCell ref="D19:E19"/>
    <mergeCell ref="D20:E20"/>
  </mergeCells>
  <conditionalFormatting sqref="F26">
    <cfRule type="expression" dxfId="9" priority="1">
      <formula>$F$20="N/A"</formula>
    </cfRule>
  </conditionalFormatting>
  <conditionalFormatting sqref="I6">
    <cfRule type="expression" dxfId="8" priority="3">
      <formula>ISBLANK($I$6)</formula>
    </cfRule>
  </conditionalFormatting>
  <conditionalFormatting sqref="I7">
    <cfRule type="expression" dxfId="7" priority="2">
      <formula>ISBLANK($I$7)</formula>
    </cfRule>
  </conditionalFormatting>
  <pageMargins left="0.25" right="0.25" top="0.75" bottom="0.75" header="0.3" footer="0.3"/>
  <pageSetup scale="81" orientation="portrait" r:id="rId1"/>
  <headerFooter>
    <oddFooter>&amp;R&amp;P</oddFooter>
  </headerFooter>
  <rowBreaks count="1" manualBreakCount="1">
    <brk id="35"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29025" r:id="rId4" name="Check Box 1">
              <controlPr locked="0" defaultSize="0" autoFill="0" autoLine="0" autoPict="0">
                <anchor moveWithCells="1">
                  <from>
                    <xdr:col>2</xdr:col>
                    <xdr:colOff>28575</xdr:colOff>
                    <xdr:row>26</xdr:row>
                    <xdr:rowOff>333375</xdr:rowOff>
                  </from>
                  <to>
                    <xdr:col>2</xdr:col>
                    <xdr:colOff>514350</xdr:colOff>
                    <xdr:row>28</xdr:row>
                    <xdr:rowOff>9525</xdr:rowOff>
                  </to>
                </anchor>
              </controlPr>
            </control>
          </mc:Choice>
        </mc:AlternateContent>
        <mc:AlternateContent xmlns:mc="http://schemas.openxmlformats.org/markup-compatibility/2006">
          <mc:Choice Requires="x14">
            <control shapeId="129026" r:id="rId5" name="Check Box 2">
              <controlPr locked="0" defaultSize="0" autoFill="0" autoLine="0" autoPict="0">
                <anchor moveWithCells="1">
                  <from>
                    <xdr:col>2</xdr:col>
                    <xdr:colOff>438150</xdr:colOff>
                    <xdr:row>26</xdr:row>
                    <xdr:rowOff>333375</xdr:rowOff>
                  </from>
                  <to>
                    <xdr:col>2</xdr:col>
                    <xdr:colOff>923925</xdr:colOff>
                    <xdr:row>28</xdr:row>
                    <xdr:rowOff>9525</xdr:rowOff>
                  </to>
                </anchor>
              </controlPr>
            </control>
          </mc:Choice>
        </mc:AlternateContent>
        <mc:AlternateContent xmlns:mc="http://schemas.openxmlformats.org/markup-compatibility/2006">
          <mc:Choice Requires="x14">
            <control shapeId="129027" r:id="rId6" name="Check Box 3">
              <controlPr locked="0" defaultSize="0" autoFill="0" autoLine="0" autoPict="0">
                <anchor moveWithCells="1">
                  <from>
                    <xdr:col>2</xdr:col>
                    <xdr:colOff>28575</xdr:colOff>
                    <xdr:row>28</xdr:row>
                    <xdr:rowOff>333375</xdr:rowOff>
                  </from>
                  <to>
                    <xdr:col>2</xdr:col>
                    <xdr:colOff>514350</xdr:colOff>
                    <xdr:row>30</xdr:row>
                    <xdr:rowOff>9525</xdr:rowOff>
                  </to>
                </anchor>
              </controlPr>
            </control>
          </mc:Choice>
        </mc:AlternateContent>
        <mc:AlternateContent xmlns:mc="http://schemas.openxmlformats.org/markup-compatibility/2006">
          <mc:Choice Requires="x14">
            <control shapeId="129028" r:id="rId7" name="Check Box 4">
              <controlPr locked="0" defaultSize="0" autoFill="0" autoLine="0" autoPict="0">
                <anchor moveWithCells="1">
                  <from>
                    <xdr:col>2</xdr:col>
                    <xdr:colOff>438150</xdr:colOff>
                    <xdr:row>28</xdr:row>
                    <xdr:rowOff>333375</xdr:rowOff>
                  </from>
                  <to>
                    <xdr:col>2</xdr:col>
                    <xdr:colOff>923925</xdr:colOff>
                    <xdr:row>30</xdr:row>
                    <xdr:rowOff>9525</xdr:rowOff>
                  </to>
                </anchor>
              </controlPr>
            </control>
          </mc:Choice>
        </mc:AlternateContent>
        <mc:AlternateContent xmlns:mc="http://schemas.openxmlformats.org/markup-compatibility/2006">
          <mc:Choice Requires="x14">
            <control shapeId="129029" r:id="rId8" name="Check Box 5">
              <controlPr locked="0" defaultSize="0" autoFill="0" autoLine="0" autoPict="0">
                <anchor moveWithCells="1">
                  <from>
                    <xdr:col>2</xdr:col>
                    <xdr:colOff>47625</xdr:colOff>
                    <xdr:row>30</xdr:row>
                    <xdr:rowOff>638175</xdr:rowOff>
                  </from>
                  <to>
                    <xdr:col>2</xdr:col>
                    <xdr:colOff>533400</xdr:colOff>
                    <xdr:row>32</xdr:row>
                    <xdr:rowOff>9525</xdr:rowOff>
                  </to>
                </anchor>
              </controlPr>
            </control>
          </mc:Choice>
        </mc:AlternateContent>
        <mc:AlternateContent xmlns:mc="http://schemas.openxmlformats.org/markup-compatibility/2006">
          <mc:Choice Requires="x14">
            <control shapeId="129030" r:id="rId9" name="Check Box 6">
              <controlPr locked="0" defaultSize="0" autoFill="0" autoLine="0" autoPict="0">
                <anchor moveWithCells="1">
                  <from>
                    <xdr:col>2</xdr:col>
                    <xdr:colOff>428625</xdr:colOff>
                    <xdr:row>30</xdr:row>
                    <xdr:rowOff>647700</xdr:rowOff>
                  </from>
                  <to>
                    <xdr:col>2</xdr:col>
                    <xdr:colOff>914400</xdr:colOff>
                    <xdr:row>32</xdr:row>
                    <xdr:rowOff>9525</xdr:rowOff>
                  </to>
                </anchor>
              </controlPr>
            </control>
          </mc:Choice>
        </mc:AlternateContent>
        <mc:AlternateContent xmlns:mc="http://schemas.openxmlformats.org/markup-compatibility/2006">
          <mc:Choice Requires="x14">
            <control shapeId="129031" r:id="rId10" name="Check Box 7">
              <controlPr locked="0" defaultSize="0" autoFill="0" autoLine="0" autoPict="0">
                <anchor moveWithCells="1">
                  <from>
                    <xdr:col>2</xdr:col>
                    <xdr:colOff>66675</xdr:colOff>
                    <xdr:row>33</xdr:row>
                    <xdr:rowOff>180975</xdr:rowOff>
                  </from>
                  <to>
                    <xdr:col>2</xdr:col>
                    <xdr:colOff>552450</xdr:colOff>
                    <xdr:row>33</xdr:row>
                    <xdr:rowOff>400050</xdr:rowOff>
                  </to>
                </anchor>
              </controlPr>
            </control>
          </mc:Choice>
        </mc:AlternateContent>
        <mc:AlternateContent xmlns:mc="http://schemas.openxmlformats.org/markup-compatibility/2006">
          <mc:Choice Requires="x14">
            <control shapeId="129032" r:id="rId11" name="Check Box 8">
              <controlPr locked="0" defaultSize="0" autoFill="0" autoLine="0" autoPict="0">
                <anchor moveWithCells="1">
                  <from>
                    <xdr:col>2</xdr:col>
                    <xdr:colOff>428625</xdr:colOff>
                    <xdr:row>33</xdr:row>
                    <xdr:rowOff>180975</xdr:rowOff>
                  </from>
                  <to>
                    <xdr:col>2</xdr:col>
                    <xdr:colOff>914400</xdr:colOff>
                    <xdr:row>33</xdr:row>
                    <xdr:rowOff>400050</xdr:rowOff>
                  </to>
                </anchor>
              </controlPr>
            </control>
          </mc:Choice>
        </mc:AlternateContent>
        <mc:AlternateContent xmlns:mc="http://schemas.openxmlformats.org/markup-compatibility/2006">
          <mc:Choice Requires="x14">
            <control shapeId="129033" r:id="rId12" name="Check Box 9">
              <controlPr locked="0" defaultSize="0" autoFill="0" autoLine="0" autoPict="0">
                <anchor moveWithCells="1">
                  <from>
                    <xdr:col>2</xdr:col>
                    <xdr:colOff>438150</xdr:colOff>
                    <xdr:row>33</xdr:row>
                    <xdr:rowOff>504825</xdr:rowOff>
                  </from>
                  <to>
                    <xdr:col>2</xdr:col>
                    <xdr:colOff>923925</xdr:colOff>
                    <xdr:row>33</xdr:row>
                    <xdr:rowOff>723900</xdr:rowOff>
                  </to>
                </anchor>
              </controlPr>
            </control>
          </mc:Choice>
        </mc:AlternateContent>
        <mc:AlternateContent xmlns:mc="http://schemas.openxmlformats.org/markup-compatibility/2006">
          <mc:Choice Requires="x14">
            <control shapeId="129034" r:id="rId13" name="Check Box 10">
              <controlPr locked="0" defaultSize="0" autoFill="0" autoLine="0" autoPict="0">
                <anchor moveWithCells="1">
                  <from>
                    <xdr:col>2</xdr:col>
                    <xdr:colOff>428625</xdr:colOff>
                    <xdr:row>33</xdr:row>
                    <xdr:rowOff>790575</xdr:rowOff>
                  </from>
                  <to>
                    <xdr:col>2</xdr:col>
                    <xdr:colOff>914400</xdr:colOff>
                    <xdr:row>33</xdr:row>
                    <xdr:rowOff>1009650</xdr:rowOff>
                  </to>
                </anchor>
              </controlPr>
            </control>
          </mc:Choice>
        </mc:AlternateContent>
        <mc:AlternateContent xmlns:mc="http://schemas.openxmlformats.org/markup-compatibility/2006">
          <mc:Choice Requires="x14">
            <control shapeId="129035" r:id="rId14" name="Check Box 11">
              <controlPr locked="0" defaultSize="0" autoFill="0" autoLine="0" autoPict="0">
                <anchor moveWithCells="1">
                  <from>
                    <xdr:col>2</xdr:col>
                    <xdr:colOff>76200</xdr:colOff>
                    <xdr:row>33</xdr:row>
                    <xdr:rowOff>504825</xdr:rowOff>
                  </from>
                  <to>
                    <xdr:col>2</xdr:col>
                    <xdr:colOff>561975</xdr:colOff>
                    <xdr:row>33</xdr:row>
                    <xdr:rowOff>723900</xdr:rowOff>
                  </to>
                </anchor>
              </controlPr>
            </control>
          </mc:Choice>
        </mc:AlternateContent>
        <mc:AlternateContent xmlns:mc="http://schemas.openxmlformats.org/markup-compatibility/2006">
          <mc:Choice Requires="x14">
            <control shapeId="129036" r:id="rId15" name="Check Box 12">
              <controlPr locked="0" defaultSize="0" autoFill="0" autoLine="0" autoPict="0">
                <anchor moveWithCells="1">
                  <from>
                    <xdr:col>2</xdr:col>
                    <xdr:colOff>66675</xdr:colOff>
                    <xdr:row>33</xdr:row>
                    <xdr:rowOff>800100</xdr:rowOff>
                  </from>
                  <to>
                    <xdr:col>2</xdr:col>
                    <xdr:colOff>552450</xdr:colOff>
                    <xdr:row>33</xdr:row>
                    <xdr:rowOff>1019175</xdr:rowOff>
                  </to>
                </anchor>
              </controlPr>
            </control>
          </mc:Choice>
        </mc:AlternateContent>
        <mc:AlternateContent xmlns:mc="http://schemas.openxmlformats.org/markup-compatibility/2006">
          <mc:Choice Requires="x14">
            <control shapeId="129037"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29038"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29039" r:id="rId18" name="Check Box 15">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29040" r:id="rId19" name="Check Box 16">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29041" r:id="rId20" name="Check Box 17">
              <controlPr locked="0" defaultSize="0" autoFill="0" autoLine="0" autoPict="0">
                <anchor moveWithCells="1">
                  <from>
                    <xdr:col>2</xdr:col>
                    <xdr:colOff>57150</xdr:colOff>
                    <xdr:row>20</xdr:row>
                    <xdr:rowOff>0</xdr:rowOff>
                  </from>
                  <to>
                    <xdr:col>2</xdr:col>
                    <xdr:colOff>542925</xdr:colOff>
                    <xdr:row>20</xdr:row>
                    <xdr:rowOff>219075</xdr:rowOff>
                  </to>
                </anchor>
              </controlPr>
            </control>
          </mc:Choice>
        </mc:AlternateContent>
        <mc:AlternateContent xmlns:mc="http://schemas.openxmlformats.org/markup-compatibility/2006">
          <mc:Choice Requires="x14">
            <control shapeId="129042" r:id="rId21" name="Check Box 18">
              <controlPr locked="0" defaultSize="0" autoFill="0" autoLine="0" autoPict="0">
                <anchor moveWithCells="1">
                  <from>
                    <xdr:col>2</xdr:col>
                    <xdr:colOff>400050</xdr:colOff>
                    <xdr:row>20</xdr:row>
                    <xdr:rowOff>0</xdr:rowOff>
                  </from>
                  <to>
                    <xdr:col>2</xdr:col>
                    <xdr:colOff>885825</xdr:colOff>
                    <xdr:row>20</xdr:row>
                    <xdr:rowOff>219075</xdr:rowOff>
                  </to>
                </anchor>
              </controlPr>
            </control>
          </mc:Choice>
        </mc:AlternateContent>
        <mc:AlternateContent xmlns:mc="http://schemas.openxmlformats.org/markup-compatibility/2006">
          <mc:Choice Requires="x14">
            <control shapeId="129043" r:id="rId22" name="Check Box 19">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129044" r:id="rId23" name="Check Box 20">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129045" r:id="rId24" name="Check Box 21">
              <controlPr locked="0" defaultSize="0" autoFill="0" autoLine="0" autoPict="0">
                <anchor moveWithCells="1">
                  <from>
                    <xdr:col>2</xdr:col>
                    <xdr:colOff>57150</xdr:colOff>
                    <xdr:row>22</xdr:row>
                    <xdr:rowOff>0</xdr:rowOff>
                  </from>
                  <to>
                    <xdr:col>2</xdr:col>
                    <xdr:colOff>542925</xdr:colOff>
                    <xdr:row>22</xdr:row>
                    <xdr:rowOff>219075</xdr:rowOff>
                  </to>
                </anchor>
              </controlPr>
            </control>
          </mc:Choice>
        </mc:AlternateContent>
        <mc:AlternateContent xmlns:mc="http://schemas.openxmlformats.org/markup-compatibility/2006">
          <mc:Choice Requires="x14">
            <control shapeId="129046" r:id="rId25" name="Check Box 22">
              <controlPr locked="0" defaultSize="0" autoFill="0" autoLine="0" autoPict="0">
                <anchor moveWithCells="1">
                  <from>
                    <xdr:col>2</xdr:col>
                    <xdr:colOff>400050</xdr:colOff>
                    <xdr:row>22</xdr:row>
                    <xdr:rowOff>0</xdr:rowOff>
                  </from>
                  <to>
                    <xdr:col>2</xdr:col>
                    <xdr:colOff>885825</xdr:colOff>
                    <xdr:row>22</xdr:row>
                    <xdr:rowOff>219075</xdr:rowOff>
                  </to>
                </anchor>
              </controlPr>
            </control>
          </mc:Choice>
        </mc:AlternateContent>
        <mc:AlternateContent xmlns:mc="http://schemas.openxmlformats.org/markup-compatibility/2006">
          <mc:Choice Requires="x14">
            <control shapeId="129049" r:id="rId26" name="Check Box 25">
              <controlPr locked="0" defaultSize="0" autoFill="0" autoLine="0" autoPict="0">
                <anchor moveWithCells="1">
                  <from>
                    <xdr:col>2</xdr:col>
                    <xdr:colOff>57150</xdr:colOff>
                    <xdr:row>24</xdr:row>
                    <xdr:rowOff>0</xdr:rowOff>
                  </from>
                  <to>
                    <xdr:col>2</xdr:col>
                    <xdr:colOff>542925</xdr:colOff>
                    <xdr:row>24</xdr:row>
                    <xdr:rowOff>219075</xdr:rowOff>
                  </to>
                </anchor>
              </controlPr>
            </control>
          </mc:Choice>
        </mc:AlternateContent>
        <mc:AlternateContent xmlns:mc="http://schemas.openxmlformats.org/markup-compatibility/2006">
          <mc:Choice Requires="x14">
            <control shapeId="129050" r:id="rId27" name="Check Box 26">
              <controlPr locked="0" defaultSize="0" autoFill="0" autoLine="0" autoPict="0">
                <anchor moveWithCells="1">
                  <from>
                    <xdr:col>2</xdr:col>
                    <xdr:colOff>400050</xdr:colOff>
                    <xdr:row>24</xdr:row>
                    <xdr:rowOff>0</xdr:rowOff>
                  </from>
                  <to>
                    <xdr:col>2</xdr:col>
                    <xdr:colOff>885825</xdr:colOff>
                    <xdr:row>24</xdr:row>
                    <xdr:rowOff>219075</xdr:rowOff>
                  </to>
                </anchor>
              </controlPr>
            </control>
          </mc:Choice>
        </mc:AlternateContent>
        <mc:AlternateContent xmlns:mc="http://schemas.openxmlformats.org/markup-compatibility/2006">
          <mc:Choice Requires="x14">
            <control shapeId="129051" r:id="rId28" name="Check Box 27">
              <controlPr locked="0" defaultSize="0" autoFill="0" autoLine="0" autoPict="0">
                <anchor moveWithCells="1">
                  <from>
                    <xdr:col>2</xdr:col>
                    <xdr:colOff>57150</xdr:colOff>
                    <xdr:row>23</xdr:row>
                    <xdr:rowOff>0</xdr:rowOff>
                  </from>
                  <to>
                    <xdr:col>2</xdr:col>
                    <xdr:colOff>542925</xdr:colOff>
                    <xdr:row>23</xdr:row>
                    <xdr:rowOff>219075</xdr:rowOff>
                  </to>
                </anchor>
              </controlPr>
            </control>
          </mc:Choice>
        </mc:AlternateContent>
        <mc:AlternateContent xmlns:mc="http://schemas.openxmlformats.org/markup-compatibility/2006">
          <mc:Choice Requires="x14">
            <control shapeId="129052" r:id="rId29" name="Check Box 28">
              <controlPr locked="0" defaultSize="0" autoFill="0" autoLine="0" autoPict="0">
                <anchor moveWithCells="1">
                  <from>
                    <xdr:col>2</xdr:col>
                    <xdr:colOff>400050</xdr:colOff>
                    <xdr:row>23</xdr:row>
                    <xdr:rowOff>0</xdr:rowOff>
                  </from>
                  <to>
                    <xdr:col>2</xdr:col>
                    <xdr:colOff>885825</xdr:colOff>
                    <xdr:row>23</xdr:row>
                    <xdr:rowOff>219075</xdr:rowOff>
                  </to>
                </anchor>
              </controlPr>
            </control>
          </mc:Choice>
        </mc:AlternateContent>
        <mc:AlternateContent xmlns:mc="http://schemas.openxmlformats.org/markup-compatibility/2006">
          <mc:Choice Requires="x14">
            <control shapeId="129053" r:id="rId30" name="Check Box 29">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29054" r:id="rId31" name="Check Box 30">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29055" r:id="rId32" name="Check Box 31">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29056" r:id="rId33" name="Check Box 32">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29057" r:id="rId34" name="Check Box 33">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29058" r:id="rId35" name="Check Box 34">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29059" r:id="rId36" name="Check Box 35">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29060" r:id="rId37" name="Check Box 36">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29061" r:id="rId38" name="Check Box 3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29062" r:id="rId39" name="Check Box 3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29065" r:id="rId40" name="Check Box 41">
              <controlPr locked="0" defaultSize="0" autoFill="0" autoLine="0" autoPict="0">
                <anchor moveWithCells="1">
                  <from>
                    <xdr:col>2</xdr:col>
                    <xdr:colOff>66675</xdr:colOff>
                    <xdr:row>25</xdr:row>
                    <xdr:rowOff>85725</xdr:rowOff>
                  </from>
                  <to>
                    <xdr:col>2</xdr:col>
                    <xdr:colOff>552450</xdr:colOff>
                    <xdr:row>25</xdr:row>
                    <xdr:rowOff>304800</xdr:rowOff>
                  </to>
                </anchor>
              </controlPr>
            </control>
          </mc:Choice>
        </mc:AlternateContent>
        <mc:AlternateContent xmlns:mc="http://schemas.openxmlformats.org/markup-compatibility/2006">
          <mc:Choice Requires="x14">
            <control shapeId="129066" r:id="rId41" name="Check Box 42">
              <controlPr locked="0" defaultSize="0" autoFill="0" autoLine="0" autoPict="0">
                <anchor moveWithCells="1">
                  <from>
                    <xdr:col>2</xdr:col>
                    <xdr:colOff>400050</xdr:colOff>
                    <xdr:row>25</xdr:row>
                    <xdr:rowOff>104775</xdr:rowOff>
                  </from>
                  <to>
                    <xdr:col>2</xdr:col>
                    <xdr:colOff>885825</xdr:colOff>
                    <xdr:row>25</xdr:row>
                    <xdr:rowOff>285750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1A3B-4249-4130-8CBF-769165E1F03B}">
  <sheetPr>
    <pageSetUpPr fitToPage="1"/>
  </sheetPr>
  <dimension ref="B1:I60"/>
  <sheetViews>
    <sheetView zoomScale="120" zoomScaleNormal="120" workbookViewId="0">
      <selection activeCell="F12" sqref="F12"/>
    </sheetView>
  </sheetViews>
  <sheetFormatPr defaultColWidth="9.140625" defaultRowHeight="15" x14ac:dyDescent="0.25"/>
  <cols>
    <col min="1" max="1" width="4.28515625" style="1" customWidth="1"/>
    <col min="2" max="2" width="6" style="63" customWidth="1"/>
    <col min="3" max="3" width="14.42578125" style="63" customWidth="1"/>
    <col min="4" max="4" width="26" style="63" customWidth="1"/>
    <col min="5" max="5" width="21.42578125" style="63" customWidth="1"/>
    <col min="6" max="6" width="10" style="63" bestFit="1" customWidth="1"/>
    <col min="7" max="7" width="18" style="63" bestFit="1" customWidth="1"/>
    <col min="8" max="8" width="19.85546875" style="63" customWidth="1"/>
    <col min="9" max="9" width="6.85546875" style="63" customWidth="1"/>
    <col min="10" max="16384" width="9.140625" style="1"/>
  </cols>
  <sheetData>
    <row r="1" spans="2:9" ht="15.75" x14ac:dyDescent="0.25">
      <c r="C1" s="1044" t="s">
        <v>48</v>
      </c>
      <c r="D1" s="1044"/>
      <c r="E1" s="1044"/>
      <c r="F1" s="1044"/>
      <c r="G1" s="1044"/>
      <c r="H1" s="1044"/>
      <c r="I1" s="1"/>
    </row>
    <row r="2" spans="2:9" ht="27.75" customHeight="1" x14ac:dyDescent="0.25">
      <c r="C2" s="147"/>
      <c r="D2" s="123"/>
      <c r="E2" s="1055" t="str">
        <f>'Air Leakage Sealing - MRD'!$E$2</f>
        <v>New York - Electric and Gas Small Business Program</v>
      </c>
      <c r="F2" s="1055"/>
      <c r="G2" s="1055"/>
      <c r="H2" s="1056"/>
    </row>
    <row r="3" spans="2:9" ht="27.75" customHeight="1" x14ac:dyDescent="0.35">
      <c r="C3" s="148"/>
      <c r="D3" s="124"/>
      <c r="E3" s="1057" t="s">
        <v>644</v>
      </c>
      <c r="F3" s="1057"/>
      <c r="G3" s="1057"/>
      <c r="H3" s="1058"/>
    </row>
    <row r="4" spans="2:9" x14ac:dyDescent="0.25">
      <c r="C4" s="99"/>
      <c r="D4" s="99"/>
      <c r="E4" s="99"/>
      <c r="F4" s="99"/>
      <c r="G4" s="99"/>
      <c r="H4" s="99"/>
    </row>
    <row r="5" spans="2:9" x14ac:dyDescent="0.25">
      <c r="C5" s="775" t="s">
        <v>645</v>
      </c>
      <c r="D5" s="781" t="str">
        <f>IF('Air Leakage Sealing - MRD'!$D$5="", "", 'Air Leakage Sealing - MRD'!$D$5)</f>
        <v/>
      </c>
      <c r="E5" s="777"/>
      <c r="F5" s="777"/>
      <c r="G5" s="775" t="s">
        <v>646</v>
      </c>
      <c r="H5" s="782" t="str">
        <f>IF('Air Leakage Sealing - MRD'!$I$5="", "", 'Air Leakage Sealing - MRD'!$I$5)</f>
        <v>Add-On</v>
      </c>
    </row>
    <row r="6" spans="2:9" x14ac:dyDescent="0.25">
      <c r="C6" s="775" t="s">
        <v>134</v>
      </c>
      <c r="D6" s="776" t="str">
        <f>IF('Air Leakage Sealing - MRD'!$D$6="",  "", 'Air Leakage Sealing - MRD'!$D$6)</f>
        <v/>
      </c>
      <c r="E6" s="777"/>
      <c r="F6" s="777"/>
      <c r="G6" s="775" t="s">
        <v>647</v>
      </c>
      <c r="H6" s="782" t="str">
        <f>IF('Air Leakage Sealing - MRD'!$I$6="", "", 'Air Leakage Sealing - MRD'!$I$6)</f>
        <v/>
      </c>
    </row>
    <row r="7" spans="2:9" x14ac:dyDescent="0.25">
      <c r="C7" s="775" t="s">
        <v>648</v>
      </c>
      <c r="D7" s="776" t="str">
        <f>IF('Air Leakage Sealing - MRD'!$D$7="", "", 'Air Leakage Sealing - MRD'!$D$7)</f>
        <v/>
      </c>
      <c r="E7" s="777"/>
      <c r="F7" s="777"/>
      <c r="G7" s="775" t="s">
        <v>649</v>
      </c>
      <c r="H7" s="782" t="str">
        <f>IF('Air Leakage Sealing - MRD'!$I$7="", "", 'Air Leakage Sealing - MRD'!$I$7)</f>
        <v/>
      </c>
    </row>
    <row r="8" spans="2:9" x14ac:dyDescent="0.25">
      <c r="C8" s="99"/>
      <c r="D8" s="99"/>
      <c r="E8" s="99"/>
      <c r="F8" s="99"/>
      <c r="G8" s="99"/>
      <c r="H8" s="99"/>
    </row>
    <row r="9" spans="2:9" s="808" customFormat="1" ht="42" customHeight="1" x14ac:dyDescent="0.2">
      <c r="B9" s="806" t="s">
        <v>133</v>
      </c>
      <c r="C9" s="806" t="s">
        <v>599</v>
      </c>
      <c r="D9" s="806" t="s">
        <v>598</v>
      </c>
      <c r="E9" s="806" t="s">
        <v>595</v>
      </c>
      <c r="F9" s="807" t="s">
        <v>600</v>
      </c>
      <c r="G9" s="807" t="s">
        <v>601</v>
      </c>
      <c r="H9" s="806" t="s">
        <v>602</v>
      </c>
      <c r="I9" s="806" t="s">
        <v>678</v>
      </c>
    </row>
    <row r="10" spans="2:9" s="812" customFormat="1" ht="18" customHeight="1" x14ac:dyDescent="0.25">
      <c r="B10" s="809">
        <v>1</v>
      </c>
      <c r="C10" s="828" t="str">
        <f>IF('Air Leakage Sealing'!E32="", "", 'Air Leakage Sealing'!E32)</f>
        <v/>
      </c>
      <c r="D10" s="809" t="str">
        <f>IF('Air Leakage Sealing'!C32="", "", 'Air Leakage Sealing'!C32)</f>
        <v/>
      </c>
      <c r="E10" s="809" t="str">
        <f>IF('Air Leakage Sealing'!D32="", "", 'Air Leakage Sealing'!D32)</f>
        <v/>
      </c>
      <c r="F10" s="820" t="str">
        <f>IF('Air Leakage Sealing'!F32="", "", 'Air Leakage Sealing'!F32)</f>
        <v/>
      </c>
      <c r="G10" s="820" t="str">
        <f>IF(F10="","", 'Air Leakage Sealing'!G32)</f>
        <v/>
      </c>
      <c r="H10" s="820" t="str">
        <f>IF('Air Leakage Sealing'!H32="","",'Air Leakage Sealing'!H32)</f>
        <v/>
      </c>
      <c r="I10" s="401"/>
    </row>
    <row r="11" spans="2:9" s="812" customFormat="1" ht="18" customHeight="1" x14ac:dyDescent="0.25">
      <c r="B11" s="809">
        <v>2</v>
      </c>
      <c r="C11" s="828" t="str">
        <f>IF('Air Leakage Sealing'!E33="", "", 'Air Leakage Sealing'!E33)</f>
        <v/>
      </c>
      <c r="D11" s="809" t="str">
        <f>IF('Air Leakage Sealing'!C33="", "", 'Air Leakage Sealing'!C33)</f>
        <v/>
      </c>
      <c r="E11" s="809" t="str">
        <f>IF('Air Leakage Sealing'!D33="", "", 'Air Leakage Sealing'!D33)</f>
        <v/>
      </c>
      <c r="F11" s="820" t="str">
        <f>IF('Air Leakage Sealing'!F33="", "", 'Air Leakage Sealing'!F33)</f>
        <v/>
      </c>
      <c r="G11" s="820" t="str">
        <f>IF(F11="","", 'Air Leakage Sealing'!G33)</f>
        <v/>
      </c>
      <c r="H11" s="820" t="str">
        <f>IF('Air Leakage Sealing'!H33="","",'Air Leakage Sealing'!H33)</f>
        <v/>
      </c>
      <c r="I11" s="401"/>
    </row>
    <row r="12" spans="2:9" s="812" customFormat="1" ht="18" customHeight="1" x14ac:dyDescent="0.25">
      <c r="B12" s="809">
        <v>3</v>
      </c>
      <c r="C12" s="828" t="str">
        <f>IF('Air Leakage Sealing'!E34="", "", 'Air Leakage Sealing'!E34)</f>
        <v/>
      </c>
      <c r="D12" s="809" t="str">
        <f>IF('Air Leakage Sealing'!C34="", "", 'Air Leakage Sealing'!C34)</f>
        <v/>
      </c>
      <c r="E12" s="809" t="str">
        <f>IF('Air Leakage Sealing'!D34="", "", 'Air Leakage Sealing'!D34)</f>
        <v/>
      </c>
      <c r="F12" s="820" t="str">
        <f>IF('Air Leakage Sealing'!F34="", "", 'Air Leakage Sealing'!F34)</f>
        <v/>
      </c>
      <c r="G12" s="820" t="str">
        <f>IF(F12="","", 'Air Leakage Sealing'!G34)</f>
        <v/>
      </c>
      <c r="H12" s="820" t="str">
        <f>IF('Air Leakage Sealing'!H34="","",'Air Leakage Sealing'!H34)</f>
        <v/>
      </c>
      <c r="I12" s="401"/>
    </row>
    <row r="13" spans="2:9" s="812" customFormat="1" ht="18" customHeight="1" x14ac:dyDescent="0.25">
      <c r="B13" s="809">
        <v>4</v>
      </c>
      <c r="C13" s="828" t="str">
        <f>IF('Air Leakage Sealing'!E35="", "", 'Air Leakage Sealing'!E35)</f>
        <v/>
      </c>
      <c r="D13" s="809" t="str">
        <f>IF('Air Leakage Sealing'!C35="", "", 'Air Leakage Sealing'!C35)</f>
        <v/>
      </c>
      <c r="E13" s="809" t="str">
        <f>IF('Air Leakage Sealing'!D35="", "", 'Air Leakage Sealing'!D35)</f>
        <v/>
      </c>
      <c r="F13" s="820" t="str">
        <f>IF('Air Leakage Sealing'!F35="", "", 'Air Leakage Sealing'!F35)</f>
        <v/>
      </c>
      <c r="G13" s="820" t="str">
        <f>IF(F13="","", 'Air Leakage Sealing'!G35)</f>
        <v/>
      </c>
      <c r="H13" s="820" t="str">
        <f>IF('Air Leakage Sealing'!H35="","",'Air Leakage Sealing'!H35)</f>
        <v/>
      </c>
      <c r="I13" s="401"/>
    </row>
    <row r="14" spans="2:9" s="812" customFormat="1" ht="18" customHeight="1" x14ac:dyDescent="0.25">
      <c r="B14" s="809">
        <v>5</v>
      </c>
      <c r="C14" s="828" t="str">
        <f>IF('Air Leakage Sealing'!E36="", "", 'Air Leakage Sealing'!E36)</f>
        <v/>
      </c>
      <c r="D14" s="809" t="str">
        <f>IF('Air Leakage Sealing'!C36="", "", 'Air Leakage Sealing'!C36)</f>
        <v/>
      </c>
      <c r="E14" s="809" t="str">
        <f>IF('Air Leakage Sealing'!D36="", "", 'Air Leakage Sealing'!D36)</f>
        <v/>
      </c>
      <c r="F14" s="820" t="str">
        <f>IF('Air Leakage Sealing'!F36="", "", 'Air Leakage Sealing'!F36)</f>
        <v/>
      </c>
      <c r="G14" s="820" t="str">
        <f>IF(F14="","", 'Air Leakage Sealing'!G36)</f>
        <v/>
      </c>
      <c r="H14" s="820" t="str">
        <f>IF('Air Leakage Sealing'!H36="","",'Air Leakage Sealing'!H36)</f>
        <v/>
      </c>
      <c r="I14" s="401"/>
    </row>
    <row r="15" spans="2:9" s="812" customFormat="1" ht="18" customHeight="1" x14ac:dyDescent="0.25">
      <c r="B15" s="809">
        <v>6</v>
      </c>
      <c r="C15" s="828" t="str">
        <f>IF('Air Leakage Sealing'!E37="", "", 'Air Leakage Sealing'!E37)</f>
        <v/>
      </c>
      <c r="D15" s="809" t="str">
        <f>IF('Air Leakage Sealing'!C37="", "", 'Air Leakage Sealing'!C37)</f>
        <v/>
      </c>
      <c r="E15" s="809" t="str">
        <f>IF('Air Leakage Sealing'!D37="", "", 'Air Leakage Sealing'!D37)</f>
        <v/>
      </c>
      <c r="F15" s="820" t="str">
        <f>IF('Air Leakage Sealing'!F37="", "", 'Air Leakage Sealing'!F37)</f>
        <v/>
      </c>
      <c r="G15" s="820" t="str">
        <f>IF(F15="","", 'Air Leakage Sealing'!G37)</f>
        <v/>
      </c>
      <c r="H15" s="820" t="str">
        <f>IF('Air Leakage Sealing'!H37="","",'Air Leakage Sealing'!H37)</f>
        <v/>
      </c>
      <c r="I15" s="401"/>
    </row>
    <row r="16" spans="2:9" s="812" customFormat="1" ht="18" customHeight="1" x14ac:dyDescent="0.25">
      <c r="B16" s="809">
        <v>7</v>
      </c>
      <c r="C16" s="828" t="str">
        <f>IF('Air Leakage Sealing'!E38="", "", 'Air Leakage Sealing'!E38)</f>
        <v/>
      </c>
      <c r="D16" s="809" t="str">
        <f>IF('Air Leakage Sealing'!C38="", "", 'Air Leakage Sealing'!C38)</f>
        <v/>
      </c>
      <c r="E16" s="809" t="str">
        <f>IF('Air Leakage Sealing'!D38="", "", 'Air Leakage Sealing'!D38)</f>
        <v/>
      </c>
      <c r="F16" s="820" t="str">
        <f>IF('Air Leakage Sealing'!F38="", "", 'Air Leakage Sealing'!F38)</f>
        <v/>
      </c>
      <c r="G16" s="820" t="str">
        <f>IF(F16="","", 'Air Leakage Sealing'!G38)</f>
        <v/>
      </c>
      <c r="H16" s="820" t="str">
        <f>IF('Air Leakage Sealing'!H38="","",'Air Leakage Sealing'!H38)</f>
        <v/>
      </c>
      <c r="I16" s="401"/>
    </row>
    <row r="17" spans="2:9" s="812" customFormat="1" ht="18" customHeight="1" x14ac:dyDescent="0.25">
      <c r="B17" s="809">
        <v>8</v>
      </c>
      <c r="C17" s="828" t="str">
        <f>IF('Air Leakage Sealing'!E39="", "", 'Air Leakage Sealing'!E39)</f>
        <v/>
      </c>
      <c r="D17" s="809" t="str">
        <f>IF('Air Leakage Sealing'!C39="", "", 'Air Leakage Sealing'!C39)</f>
        <v/>
      </c>
      <c r="E17" s="809" t="str">
        <f>IF('Air Leakage Sealing'!D39="", "", 'Air Leakage Sealing'!D39)</f>
        <v/>
      </c>
      <c r="F17" s="820" t="str">
        <f>IF('Air Leakage Sealing'!F39="", "", 'Air Leakage Sealing'!F39)</f>
        <v/>
      </c>
      <c r="G17" s="820" t="str">
        <f>IF(F17="","", 'Air Leakage Sealing'!G39)</f>
        <v/>
      </c>
      <c r="H17" s="820" t="str">
        <f>IF('Air Leakage Sealing'!H39="","",'Air Leakage Sealing'!H39)</f>
        <v/>
      </c>
      <c r="I17" s="401"/>
    </row>
    <row r="18" spans="2:9" s="812" customFormat="1" ht="18" customHeight="1" x14ac:dyDescent="0.25">
      <c r="B18" s="809">
        <v>9</v>
      </c>
      <c r="C18" s="828" t="str">
        <f>IF('Air Leakage Sealing'!E40="", "", 'Air Leakage Sealing'!E40)</f>
        <v/>
      </c>
      <c r="D18" s="809" t="str">
        <f>IF('Air Leakage Sealing'!C40="", "", 'Air Leakage Sealing'!C40)</f>
        <v/>
      </c>
      <c r="E18" s="809" t="str">
        <f>IF('Air Leakage Sealing'!D40="", "", 'Air Leakage Sealing'!D40)</f>
        <v/>
      </c>
      <c r="F18" s="820" t="str">
        <f>IF('Air Leakage Sealing'!F40="", "", 'Air Leakage Sealing'!F40)</f>
        <v/>
      </c>
      <c r="G18" s="820" t="str">
        <f>IF(F18="","", 'Air Leakage Sealing'!G40)</f>
        <v/>
      </c>
      <c r="H18" s="820" t="str">
        <f>IF('Air Leakage Sealing'!H40="","",'Air Leakage Sealing'!H40)</f>
        <v/>
      </c>
      <c r="I18" s="401"/>
    </row>
    <row r="19" spans="2:9" s="812" customFormat="1" ht="18" customHeight="1" x14ac:dyDescent="0.25">
      <c r="B19" s="809">
        <v>10</v>
      </c>
      <c r="C19" s="828" t="str">
        <f>IF('Air Leakage Sealing'!E41="", "", 'Air Leakage Sealing'!E41)</f>
        <v/>
      </c>
      <c r="D19" s="809" t="str">
        <f>IF('Air Leakage Sealing'!C41="", "", 'Air Leakage Sealing'!C41)</f>
        <v/>
      </c>
      <c r="E19" s="809" t="str">
        <f>IF('Air Leakage Sealing'!D41="", "", 'Air Leakage Sealing'!D41)</f>
        <v/>
      </c>
      <c r="F19" s="820" t="str">
        <f>IF('Air Leakage Sealing'!F41="", "", 'Air Leakage Sealing'!F41)</f>
        <v/>
      </c>
      <c r="G19" s="820" t="str">
        <f>IF(F19="","", 'Air Leakage Sealing'!G41)</f>
        <v/>
      </c>
      <c r="H19" s="820" t="str">
        <f>IF('Air Leakage Sealing'!H41="","",'Air Leakage Sealing'!H41)</f>
        <v/>
      </c>
      <c r="I19" s="401"/>
    </row>
    <row r="20" spans="2:9" s="812" customFormat="1" ht="18" customHeight="1" x14ac:dyDescent="0.25">
      <c r="B20" s="809">
        <v>11</v>
      </c>
      <c r="C20" s="828" t="str">
        <f>IF('Air Leakage Sealing'!E42="", "", 'Air Leakage Sealing'!E42)</f>
        <v/>
      </c>
      <c r="D20" s="809" t="str">
        <f>IF('Air Leakage Sealing'!C42="", "", 'Air Leakage Sealing'!C42)</f>
        <v/>
      </c>
      <c r="E20" s="809" t="str">
        <f>IF('Air Leakage Sealing'!D42="", "", 'Air Leakage Sealing'!D42)</f>
        <v/>
      </c>
      <c r="F20" s="820" t="str">
        <f>IF('Air Leakage Sealing'!F42="", "", 'Air Leakage Sealing'!F42)</f>
        <v/>
      </c>
      <c r="G20" s="820" t="str">
        <f>IF(F20="","", 'Air Leakage Sealing'!G42)</f>
        <v/>
      </c>
      <c r="H20" s="820" t="str">
        <f>IF('Air Leakage Sealing'!H42="","",'Air Leakage Sealing'!H42)</f>
        <v/>
      </c>
      <c r="I20" s="401"/>
    </row>
    <row r="21" spans="2:9" s="812" customFormat="1" ht="18" customHeight="1" x14ac:dyDescent="0.25">
      <c r="B21" s="809">
        <v>12</v>
      </c>
      <c r="C21" s="828" t="str">
        <f>IF('Air Leakage Sealing'!E43="", "", 'Air Leakage Sealing'!E43)</f>
        <v/>
      </c>
      <c r="D21" s="809" t="str">
        <f>IF('Air Leakage Sealing'!C43="", "", 'Air Leakage Sealing'!C43)</f>
        <v/>
      </c>
      <c r="E21" s="809" t="str">
        <f>IF('Air Leakage Sealing'!D43="", "", 'Air Leakage Sealing'!D43)</f>
        <v/>
      </c>
      <c r="F21" s="820" t="str">
        <f>IF('Air Leakage Sealing'!F43="", "", 'Air Leakage Sealing'!F43)</f>
        <v/>
      </c>
      <c r="G21" s="820" t="str">
        <f>IF(F21="","", 'Air Leakage Sealing'!G43)</f>
        <v/>
      </c>
      <c r="H21" s="820" t="str">
        <f>IF('Air Leakage Sealing'!H43="","",'Air Leakage Sealing'!H43)</f>
        <v/>
      </c>
      <c r="I21" s="401"/>
    </row>
    <row r="22" spans="2:9" s="812" customFormat="1" ht="18" customHeight="1" x14ac:dyDescent="0.25">
      <c r="B22" s="809">
        <v>13</v>
      </c>
      <c r="C22" s="828" t="str">
        <f>IF('Air Leakage Sealing'!E44="", "", 'Air Leakage Sealing'!E44)</f>
        <v/>
      </c>
      <c r="D22" s="809" t="str">
        <f>IF('Air Leakage Sealing'!C44="", "", 'Air Leakage Sealing'!C44)</f>
        <v/>
      </c>
      <c r="E22" s="809" t="str">
        <f>IF('Air Leakage Sealing'!D44="", "", 'Air Leakage Sealing'!D44)</f>
        <v/>
      </c>
      <c r="F22" s="820" t="str">
        <f>IF('Air Leakage Sealing'!F44="", "", 'Air Leakage Sealing'!F44)</f>
        <v/>
      </c>
      <c r="G22" s="820" t="str">
        <f>IF(F22="","", 'Air Leakage Sealing'!G44)</f>
        <v/>
      </c>
      <c r="H22" s="820" t="str">
        <f>IF('Air Leakage Sealing'!H44="","",'Air Leakage Sealing'!H44)</f>
        <v/>
      </c>
      <c r="I22" s="401"/>
    </row>
    <row r="23" spans="2:9" s="812" customFormat="1" ht="18" customHeight="1" x14ac:dyDescent="0.25">
      <c r="B23" s="809">
        <v>14</v>
      </c>
      <c r="C23" s="828" t="str">
        <f>IF('Air Leakage Sealing'!E45="", "", 'Air Leakage Sealing'!E45)</f>
        <v/>
      </c>
      <c r="D23" s="809" t="str">
        <f>IF('Air Leakage Sealing'!C45="", "", 'Air Leakage Sealing'!C45)</f>
        <v/>
      </c>
      <c r="E23" s="809" t="str">
        <f>IF('Air Leakage Sealing'!D45="", "", 'Air Leakage Sealing'!D45)</f>
        <v/>
      </c>
      <c r="F23" s="820" t="str">
        <f>IF('Air Leakage Sealing'!F45="", "", 'Air Leakage Sealing'!F45)</f>
        <v/>
      </c>
      <c r="G23" s="820" t="str">
        <f>IF(F23="","", 'Air Leakage Sealing'!G45)</f>
        <v/>
      </c>
      <c r="H23" s="820" t="str">
        <f>IF('Air Leakage Sealing'!H45="","",'Air Leakage Sealing'!H45)</f>
        <v/>
      </c>
      <c r="I23" s="401"/>
    </row>
    <row r="24" spans="2:9" s="812" customFormat="1" ht="18" customHeight="1" x14ac:dyDescent="0.25">
      <c r="B24" s="809">
        <v>15</v>
      </c>
      <c r="C24" s="828" t="str">
        <f>IF('Air Leakage Sealing'!E46="", "", 'Air Leakage Sealing'!E46)</f>
        <v/>
      </c>
      <c r="D24" s="809" t="str">
        <f>IF('Air Leakage Sealing'!C46="", "", 'Air Leakage Sealing'!C46)</f>
        <v/>
      </c>
      <c r="E24" s="809" t="str">
        <f>IF('Air Leakage Sealing'!D46="", "", 'Air Leakage Sealing'!D46)</f>
        <v/>
      </c>
      <c r="F24" s="820" t="str">
        <f>IF('Air Leakage Sealing'!F46="", "", 'Air Leakage Sealing'!F46)</f>
        <v/>
      </c>
      <c r="G24" s="820" t="str">
        <f>IF(F24="","", 'Air Leakage Sealing'!G46)</f>
        <v/>
      </c>
      <c r="H24" s="820" t="str">
        <f>IF('Air Leakage Sealing'!H46="","",'Air Leakage Sealing'!H46)</f>
        <v/>
      </c>
      <c r="I24" s="401"/>
    </row>
    <row r="25" spans="2:9" s="812" customFormat="1" ht="18" customHeight="1" x14ac:dyDescent="0.25">
      <c r="B25" s="809">
        <v>16</v>
      </c>
      <c r="C25" s="828" t="str">
        <f>IF('Air Leakage Sealing'!E47="", "", 'Air Leakage Sealing'!E47)</f>
        <v/>
      </c>
      <c r="D25" s="809" t="str">
        <f>IF('Air Leakage Sealing'!C47="", "", 'Air Leakage Sealing'!C47)</f>
        <v/>
      </c>
      <c r="E25" s="809" t="str">
        <f>IF('Air Leakage Sealing'!D47="", "", 'Air Leakage Sealing'!D47)</f>
        <v/>
      </c>
      <c r="F25" s="820" t="str">
        <f>IF('Air Leakage Sealing'!F47="", "", 'Air Leakage Sealing'!F47)</f>
        <v/>
      </c>
      <c r="G25" s="820" t="str">
        <f>IF(F25="","", 'Air Leakage Sealing'!G47)</f>
        <v/>
      </c>
      <c r="H25" s="820" t="str">
        <f>IF('Air Leakage Sealing'!H47="","",'Air Leakage Sealing'!H47)</f>
        <v/>
      </c>
      <c r="I25" s="401"/>
    </row>
    <row r="26" spans="2:9" s="812" customFormat="1" ht="18" customHeight="1" x14ac:dyDescent="0.25">
      <c r="B26" s="809">
        <v>17</v>
      </c>
      <c r="C26" s="828" t="str">
        <f>IF('Air Leakage Sealing'!E48="", "", 'Air Leakage Sealing'!E48)</f>
        <v/>
      </c>
      <c r="D26" s="809" t="str">
        <f>IF('Air Leakage Sealing'!C48="", "", 'Air Leakage Sealing'!C48)</f>
        <v/>
      </c>
      <c r="E26" s="809" t="str">
        <f>IF('Air Leakage Sealing'!D48="", "", 'Air Leakage Sealing'!D48)</f>
        <v/>
      </c>
      <c r="F26" s="820" t="str">
        <f>IF('Air Leakage Sealing'!F48="", "", 'Air Leakage Sealing'!F48)</f>
        <v/>
      </c>
      <c r="G26" s="820" t="str">
        <f>IF(F26="","", 'Air Leakage Sealing'!G48)</f>
        <v/>
      </c>
      <c r="H26" s="820" t="str">
        <f>IF('Air Leakage Sealing'!H48="","",'Air Leakage Sealing'!H48)</f>
        <v/>
      </c>
      <c r="I26" s="401"/>
    </row>
    <row r="27" spans="2:9" s="812" customFormat="1" ht="18" customHeight="1" x14ac:dyDescent="0.25">
      <c r="B27" s="809">
        <v>18</v>
      </c>
      <c r="C27" s="828" t="str">
        <f>IF('Air Leakage Sealing'!E49="", "", 'Air Leakage Sealing'!E49)</f>
        <v/>
      </c>
      <c r="D27" s="809" t="str">
        <f>IF('Air Leakage Sealing'!C49="", "", 'Air Leakage Sealing'!C49)</f>
        <v/>
      </c>
      <c r="E27" s="809" t="str">
        <f>IF('Air Leakage Sealing'!D49="", "", 'Air Leakage Sealing'!D49)</f>
        <v/>
      </c>
      <c r="F27" s="820" t="str">
        <f>IF('Air Leakage Sealing'!F49="", "", 'Air Leakage Sealing'!F49)</f>
        <v/>
      </c>
      <c r="G27" s="820" t="str">
        <f>IF(F27="","", 'Air Leakage Sealing'!G49)</f>
        <v/>
      </c>
      <c r="H27" s="820" t="str">
        <f>IF('Air Leakage Sealing'!H49="","",'Air Leakage Sealing'!H49)</f>
        <v/>
      </c>
      <c r="I27" s="401"/>
    </row>
    <row r="28" spans="2:9" s="812" customFormat="1" ht="18" customHeight="1" x14ac:dyDescent="0.25">
      <c r="B28" s="809">
        <v>19</v>
      </c>
      <c r="C28" s="828" t="str">
        <f>IF('Air Leakage Sealing'!E50="", "", 'Air Leakage Sealing'!E50)</f>
        <v/>
      </c>
      <c r="D28" s="809" t="str">
        <f>IF('Air Leakage Sealing'!C50="", "", 'Air Leakage Sealing'!C50)</f>
        <v/>
      </c>
      <c r="E28" s="809" t="str">
        <f>IF('Air Leakage Sealing'!D50="", "", 'Air Leakage Sealing'!D50)</f>
        <v/>
      </c>
      <c r="F28" s="820" t="str">
        <f>IF('Air Leakage Sealing'!F50="", "", 'Air Leakage Sealing'!F50)</f>
        <v/>
      </c>
      <c r="G28" s="820" t="str">
        <f>IF(F28="","", 'Air Leakage Sealing'!G50)</f>
        <v/>
      </c>
      <c r="H28" s="820" t="str">
        <f>IF('Air Leakage Sealing'!H50="","",'Air Leakage Sealing'!H50)</f>
        <v/>
      </c>
      <c r="I28" s="401"/>
    </row>
    <row r="29" spans="2:9" s="812" customFormat="1" ht="18" customHeight="1" x14ac:dyDescent="0.25">
      <c r="B29" s="809">
        <v>20</v>
      </c>
      <c r="C29" s="828" t="str">
        <f>IF('Air Leakage Sealing'!E51="", "", 'Air Leakage Sealing'!E51)</f>
        <v/>
      </c>
      <c r="D29" s="809" t="str">
        <f>IF('Air Leakage Sealing'!C51="", "", 'Air Leakage Sealing'!C51)</f>
        <v/>
      </c>
      <c r="E29" s="809" t="str">
        <f>IF('Air Leakage Sealing'!D51="", "", 'Air Leakage Sealing'!D51)</f>
        <v/>
      </c>
      <c r="F29" s="820" t="str">
        <f>IF('Air Leakage Sealing'!F51="", "", 'Air Leakage Sealing'!F51)</f>
        <v/>
      </c>
      <c r="G29" s="820" t="str">
        <f>IF(F29="","", 'Air Leakage Sealing'!G51)</f>
        <v/>
      </c>
      <c r="H29" s="820" t="str">
        <f>IF('Air Leakage Sealing'!H51="","",'Air Leakage Sealing'!H51)</f>
        <v/>
      </c>
      <c r="I29" s="401"/>
    </row>
    <row r="30" spans="2:9" s="812" customFormat="1" ht="18" customHeight="1" x14ac:dyDescent="0.25">
      <c r="B30" s="809">
        <v>21</v>
      </c>
      <c r="C30" s="828" t="str">
        <f>IF('Air Leakage Sealing'!E52="", "", 'Air Leakage Sealing'!E52)</f>
        <v/>
      </c>
      <c r="D30" s="809" t="str">
        <f>IF('Air Leakage Sealing'!C52="", "", 'Air Leakage Sealing'!C52)</f>
        <v/>
      </c>
      <c r="E30" s="809" t="str">
        <f>IF('Air Leakage Sealing'!D52="", "", 'Air Leakage Sealing'!D52)</f>
        <v/>
      </c>
      <c r="F30" s="820" t="str">
        <f>IF('Air Leakage Sealing'!F52="", "", 'Air Leakage Sealing'!F52)</f>
        <v/>
      </c>
      <c r="G30" s="820" t="str">
        <f>IF(F30="","", 'Air Leakage Sealing'!G52)</f>
        <v/>
      </c>
      <c r="H30" s="820" t="str">
        <f>IF('Air Leakage Sealing'!H52="","",'Air Leakage Sealing'!H52)</f>
        <v/>
      </c>
      <c r="I30" s="401"/>
    </row>
    <row r="31" spans="2:9" s="812" customFormat="1" ht="18" customHeight="1" x14ac:dyDescent="0.25">
      <c r="B31" s="809">
        <v>22</v>
      </c>
      <c r="C31" s="828" t="str">
        <f>IF('Air Leakage Sealing'!E53="", "", 'Air Leakage Sealing'!E53)</f>
        <v/>
      </c>
      <c r="D31" s="809" t="str">
        <f>IF('Air Leakage Sealing'!C53="", "", 'Air Leakage Sealing'!C53)</f>
        <v/>
      </c>
      <c r="E31" s="809" t="str">
        <f>IF('Air Leakage Sealing'!D53="", "", 'Air Leakage Sealing'!D53)</f>
        <v/>
      </c>
      <c r="F31" s="820" t="str">
        <f>IF('Air Leakage Sealing'!F53="", "", 'Air Leakage Sealing'!F53)</f>
        <v/>
      </c>
      <c r="G31" s="820" t="str">
        <f>IF(F31="","", 'Air Leakage Sealing'!G53)</f>
        <v/>
      </c>
      <c r="H31" s="820" t="str">
        <f>IF('Air Leakage Sealing'!H53="","",'Air Leakage Sealing'!H53)</f>
        <v/>
      </c>
      <c r="I31" s="401"/>
    </row>
    <row r="32" spans="2:9" s="812" customFormat="1" ht="18" customHeight="1" x14ac:dyDescent="0.25">
      <c r="B32" s="809">
        <v>23</v>
      </c>
      <c r="C32" s="828" t="str">
        <f>IF('Air Leakage Sealing'!E54="", "", 'Air Leakage Sealing'!E54)</f>
        <v/>
      </c>
      <c r="D32" s="809" t="str">
        <f>IF('Air Leakage Sealing'!C54="", "", 'Air Leakage Sealing'!C54)</f>
        <v/>
      </c>
      <c r="E32" s="809" t="str">
        <f>IF('Air Leakage Sealing'!D54="", "", 'Air Leakage Sealing'!D54)</f>
        <v/>
      </c>
      <c r="F32" s="820" t="str">
        <f>IF('Air Leakage Sealing'!F54="", "", 'Air Leakage Sealing'!F54)</f>
        <v/>
      </c>
      <c r="G32" s="820" t="str">
        <f>IF(F32="","", 'Air Leakage Sealing'!G54)</f>
        <v/>
      </c>
      <c r="H32" s="820" t="str">
        <f>IF('Air Leakage Sealing'!H54="","",'Air Leakage Sealing'!H54)</f>
        <v/>
      </c>
      <c r="I32" s="401"/>
    </row>
    <row r="33" spans="2:9" s="812" customFormat="1" ht="18" customHeight="1" x14ac:dyDescent="0.25">
      <c r="B33" s="809">
        <v>24</v>
      </c>
      <c r="C33" s="828" t="str">
        <f>IF('Air Leakage Sealing'!E55="", "", 'Air Leakage Sealing'!E55)</f>
        <v/>
      </c>
      <c r="D33" s="809" t="str">
        <f>IF('Air Leakage Sealing'!C55="", "", 'Air Leakage Sealing'!C55)</f>
        <v/>
      </c>
      <c r="E33" s="809" t="str">
        <f>IF('Air Leakage Sealing'!D55="", "", 'Air Leakage Sealing'!D55)</f>
        <v/>
      </c>
      <c r="F33" s="820" t="str">
        <f>IF('Air Leakage Sealing'!F55="", "", 'Air Leakage Sealing'!F55)</f>
        <v/>
      </c>
      <c r="G33" s="820" t="str">
        <f>IF(F33="","", 'Air Leakage Sealing'!G55)</f>
        <v/>
      </c>
      <c r="H33" s="820" t="str">
        <f>IF('Air Leakage Sealing'!H55="","",'Air Leakage Sealing'!H55)</f>
        <v/>
      </c>
      <c r="I33" s="401"/>
    </row>
    <row r="34" spans="2:9" s="812" customFormat="1" ht="18" customHeight="1" x14ac:dyDescent="0.25">
      <c r="B34" s="809">
        <v>25</v>
      </c>
      <c r="C34" s="828" t="str">
        <f>IF('Air Leakage Sealing'!E56="", "", 'Air Leakage Sealing'!E56)</f>
        <v/>
      </c>
      <c r="D34" s="809" t="str">
        <f>IF('Air Leakage Sealing'!C56="", "", 'Air Leakage Sealing'!C56)</f>
        <v/>
      </c>
      <c r="E34" s="809" t="str">
        <f>IF('Air Leakage Sealing'!D56="", "", 'Air Leakage Sealing'!D56)</f>
        <v/>
      </c>
      <c r="F34" s="820" t="str">
        <f>IF('Air Leakage Sealing'!F56="", "", 'Air Leakage Sealing'!F56)</f>
        <v/>
      </c>
      <c r="G34" s="820" t="str">
        <f>IF(F34="","", 'Air Leakage Sealing'!G56)</f>
        <v/>
      </c>
      <c r="H34" s="820" t="str">
        <f>IF('Air Leakage Sealing'!H56="","",'Air Leakage Sealing'!H56)</f>
        <v/>
      </c>
      <c r="I34" s="401"/>
    </row>
    <row r="35" spans="2:9" s="812" customFormat="1" ht="18" customHeight="1" x14ac:dyDescent="0.25">
      <c r="B35" s="809">
        <v>26</v>
      </c>
      <c r="C35" s="828" t="str">
        <f>IF('Air Leakage Sealing'!E57="", "", 'Air Leakage Sealing'!E57)</f>
        <v/>
      </c>
      <c r="D35" s="809" t="str">
        <f>IF('Air Leakage Sealing'!C57="", "", 'Air Leakage Sealing'!C57)</f>
        <v/>
      </c>
      <c r="E35" s="809" t="str">
        <f>IF('Air Leakage Sealing'!D57="", "", 'Air Leakage Sealing'!D57)</f>
        <v/>
      </c>
      <c r="F35" s="820" t="str">
        <f>IF('Air Leakage Sealing'!F57="", "", 'Air Leakage Sealing'!F57)</f>
        <v/>
      </c>
      <c r="G35" s="820" t="str">
        <f>IF(F35="","", 'Air Leakage Sealing'!G57)</f>
        <v/>
      </c>
      <c r="H35" s="820" t="str">
        <f>IF('Air Leakage Sealing'!H57="","",'Air Leakage Sealing'!H57)</f>
        <v/>
      </c>
      <c r="I35" s="401"/>
    </row>
    <row r="36" spans="2:9" s="812" customFormat="1" ht="18" customHeight="1" x14ac:dyDescent="0.25">
      <c r="B36" s="809">
        <v>27</v>
      </c>
      <c r="C36" s="828" t="str">
        <f>IF('Air Leakage Sealing'!E58="", "", 'Air Leakage Sealing'!E58)</f>
        <v/>
      </c>
      <c r="D36" s="809" t="str">
        <f>IF('Air Leakage Sealing'!C58="", "", 'Air Leakage Sealing'!C58)</f>
        <v/>
      </c>
      <c r="E36" s="809" t="str">
        <f>IF('Air Leakage Sealing'!D58="", "", 'Air Leakage Sealing'!D58)</f>
        <v/>
      </c>
      <c r="F36" s="820" t="str">
        <f>IF('Air Leakage Sealing'!F58="", "", 'Air Leakage Sealing'!F58)</f>
        <v/>
      </c>
      <c r="G36" s="820" t="str">
        <f>IF(F36="","", 'Air Leakage Sealing'!G58)</f>
        <v/>
      </c>
      <c r="H36" s="820" t="str">
        <f>IF('Air Leakage Sealing'!H58="","",'Air Leakage Sealing'!H58)</f>
        <v/>
      </c>
      <c r="I36" s="401"/>
    </row>
    <row r="37" spans="2:9" s="812" customFormat="1" ht="18" customHeight="1" x14ac:dyDescent="0.25">
      <c r="B37" s="809">
        <v>28</v>
      </c>
      <c r="C37" s="828" t="str">
        <f>IF('Air Leakage Sealing'!E59="", "", 'Air Leakage Sealing'!E59)</f>
        <v/>
      </c>
      <c r="D37" s="809" t="str">
        <f>IF('Air Leakage Sealing'!C59="", "", 'Air Leakage Sealing'!C59)</f>
        <v/>
      </c>
      <c r="E37" s="809" t="str">
        <f>IF('Air Leakage Sealing'!D59="", "", 'Air Leakage Sealing'!D59)</f>
        <v/>
      </c>
      <c r="F37" s="820" t="str">
        <f>IF('Air Leakage Sealing'!F59="", "", 'Air Leakage Sealing'!F59)</f>
        <v/>
      </c>
      <c r="G37" s="820" t="str">
        <f>IF(F37="","", 'Air Leakage Sealing'!G59)</f>
        <v/>
      </c>
      <c r="H37" s="820" t="str">
        <f>IF('Air Leakage Sealing'!H59="","",'Air Leakage Sealing'!H59)</f>
        <v/>
      </c>
      <c r="I37" s="401"/>
    </row>
    <row r="38" spans="2:9" s="812" customFormat="1" ht="18" customHeight="1" x14ac:dyDescent="0.25">
      <c r="B38" s="809">
        <v>29</v>
      </c>
      <c r="C38" s="828" t="str">
        <f>IF('Air Leakage Sealing'!E60="", "", 'Air Leakage Sealing'!E60)</f>
        <v/>
      </c>
      <c r="D38" s="809" t="str">
        <f>IF('Air Leakage Sealing'!C60="", "", 'Air Leakage Sealing'!C60)</f>
        <v/>
      </c>
      <c r="E38" s="809" t="str">
        <f>IF('Air Leakage Sealing'!D60="", "", 'Air Leakage Sealing'!D60)</f>
        <v/>
      </c>
      <c r="F38" s="820" t="str">
        <f>IF('Air Leakage Sealing'!F60="", "", 'Air Leakage Sealing'!F60)</f>
        <v/>
      </c>
      <c r="G38" s="820" t="str">
        <f>IF(F38="","", 'Air Leakage Sealing'!G60)</f>
        <v/>
      </c>
      <c r="H38" s="820" t="str">
        <f>IF('Air Leakage Sealing'!H60="","",'Air Leakage Sealing'!H60)</f>
        <v/>
      </c>
      <c r="I38" s="401"/>
    </row>
    <row r="39" spans="2:9" s="812" customFormat="1" ht="18" customHeight="1" x14ac:dyDescent="0.25">
      <c r="B39" s="809">
        <v>30</v>
      </c>
      <c r="C39" s="828" t="str">
        <f>IF('Air Leakage Sealing'!E61="", "", 'Air Leakage Sealing'!E61)</f>
        <v/>
      </c>
      <c r="D39" s="809" t="str">
        <f>IF('Air Leakage Sealing'!C61="", "", 'Air Leakage Sealing'!C61)</f>
        <v/>
      </c>
      <c r="E39" s="809" t="str">
        <f>IF('Air Leakage Sealing'!D61="", "", 'Air Leakage Sealing'!D61)</f>
        <v/>
      </c>
      <c r="F39" s="820" t="str">
        <f>IF('Air Leakage Sealing'!F61="", "", 'Air Leakage Sealing'!F61)</f>
        <v/>
      </c>
      <c r="G39" s="820" t="str">
        <f>IF(F39="","", 'Air Leakage Sealing'!G61)</f>
        <v/>
      </c>
      <c r="H39" s="820" t="str">
        <f>IF('Air Leakage Sealing'!H61="","",'Air Leakage Sealing'!H61)</f>
        <v/>
      </c>
      <c r="I39" s="401"/>
    </row>
    <row r="40" spans="2:9" s="812" customFormat="1" ht="18" customHeight="1" x14ac:dyDescent="0.25">
      <c r="B40" s="809">
        <v>31</v>
      </c>
      <c r="C40" s="828" t="str">
        <f>IF('Air Leakage Sealing'!E62="", "", 'Air Leakage Sealing'!E62)</f>
        <v/>
      </c>
      <c r="D40" s="809" t="str">
        <f>IF('Air Leakage Sealing'!C62="", "", 'Air Leakage Sealing'!C62)</f>
        <v/>
      </c>
      <c r="E40" s="809" t="str">
        <f>IF('Air Leakage Sealing'!D62="", "", 'Air Leakage Sealing'!D62)</f>
        <v/>
      </c>
      <c r="F40" s="820" t="str">
        <f>IF('Air Leakage Sealing'!F62="", "", 'Air Leakage Sealing'!F62)</f>
        <v/>
      </c>
      <c r="G40" s="820" t="str">
        <f>IF(F40="","", 'Air Leakage Sealing'!G62)</f>
        <v/>
      </c>
      <c r="H40" s="820" t="str">
        <f>IF('Air Leakage Sealing'!H62="","",'Air Leakage Sealing'!H62)</f>
        <v/>
      </c>
      <c r="I40" s="401"/>
    </row>
    <row r="41" spans="2:9" s="812" customFormat="1" ht="18" customHeight="1" x14ac:dyDescent="0.25">
      <c r="B41" s="809">
        <v>32</v>
      </c>
      <c r="C41" s="828" t="str">
        <f>IF('Air Leakage Sealing'!E63="", "", 'Air Leakage Sealing'!E63)</f>
        <v/>
      </c>
      <c r="D41" s="809" t="str">
        <f>IF('Air Leakage Sealing'!C63="", "", 'Air Leakage Sealing'!C63)</f>
        <v/>
      </c>
      <c r="E41" s="809" t="str">
        <f>IF('Air Leakage Sealing'!D63="", "", 'Air Leakage Sealing'!D63)</f>
        <v/>
      </c>
      <c r="F41" s="820" t="str">
        <f>IF('Air Leakage Sealing'!F63="", "", 'Air Leakage Sealing'!F63)</f>
        <v/>
      </c>
      <c r="G41" s="820" t="str">
        <f>IF(F41="","", 'Air Leakage Sealing'!G63)</f>
        <v/>
      </c>
      <c r="H41" s="820" t="str">
        <f>IF('Air Leakage Sealing'!H63="","",'Air Leakage Sealing'!H63)</f>
        <v/>
      </c>
      <c r="I41" s="401"/>
    </row>
    <row r="42" spans="2:9" s="812" customFormat="1" ht="18" customHeight="1" x14ac:dyDescent="0.25">
      <c r="B42" s="809">
        <v>33</v>
      </c>
      <c r="C42" s="828" t="str">
        <f>IF('Air Leakage Sealing'!E64="", "", 'Air Leakage Sealing'!E64)</f>
        <v/>
      </c>
      <c r="D42" s="809" t="str">
        <f>IF('Air Leakage Sealing'!C64="", "", 'Air Leakage Sealing'!C64)</f>
        <v/>
      </c>
      <c r="E42" s="809" t="str">
        <f>IF('Air Leakage Sealing'!D64="", "", 'Air Leakage Sealing'!D64)</f>
        <v/>
      </c>
      <c r="F42" s="820" t="str">
        <f>IF('Air Leakage Sealing'!F64="", "", 'Air Leakage Sealing'!F64)</f>
        <v/>
      </c>
      <c r="G42" s="820" t="str">
        <f>IF(F42="","", 'Air Leakage Sealing'!G64)</f>
        <v/>
      </c>
      <c r="H42" s="820" t="str">
        <f>IF('Air Leakage Sealing'!H64="","",'Air Leakage Sealing'!H64)</f>
        <v/>
      </c>
      <c r="I42" s="401"/>
    </row>
    <row r="43" spans="2:9" s="812" customFormat="1" ht="18" customHeight="1" x14ac:dyDescent="0.25">
      <c r="B43" s="809">
        <v>34</v>
      </c>
      <c r="C43" s="828" t="str">
        <f>IF('Air Leakage Sealing'!E65="", "", 'Air Leakage Sealing'!E65)</f>
        <v/>
      </c>
      <c r="D43" s="809" t="str">
        <f>IF('Air Leakage Sealing'!C65="", "", 'Air Leakage Sealing'!C65)</f>
        <v/>
      </c>
      <c r="E43" s="809" t="str">
        <f>IF('Air Leakage Sealing'!D65="", "", 'Air Leakage Sealing'!D65)</f>
        <v/>
      </c>
      <c r="F43" s="820" t="str">
        <f>IF('Air Leakage Sealing'!F65="", "", 'Air Leakage Sealing'!F65)</f>
        <v/>
      </c>
      <c r="G43" s="820" t="str">
        <f>IF(F43="","", 'Air Leakage Sealing'!G65)</f>
        <v/>
      </c>
      <c r="H43" s="820" t="str">
        <f>IF('Air Leakage Sealing'!H65="","",'Air Leakage Sealing'!H65)</f>
        <v/>
      </c>
      <c r="I43" s="401"/>
    </row>
    <row r="44" spans="2:9" s="812" customFormat="1" ht="18" customHeight="1" x14ac:dyDescent="0.25">
      <c r="B44" s="809">
        <v>35</v>
      </c>
      <c r="C44" s="828" t="str">
        <f>IF('Air Leakage Sealing'!E66="", "", 'Air Leakage Sealing'!E66)</f>
        <v/>
      </c>
      <c r="D44" s="809" t="str">
        <f>IF('Air Leakage Sealing'!C66="", "", 'Air Leakage Sealing'!C66)</f>
        <v/>
      </c>
      <c r="E44" s="809" t="str">
        <f>IF('Air Leakage Sealing'!D66="", "", 'Air Leakage Sealing'!D66)</f>
        <v/>
      </c>
      <c r="F44" s="820" t="str">
        <f>IF('Air Leakage Sealing'!F66="", "", 'Air Leakage Sealing'!F66)</f>
        <v/>
      </c>
      <c r="G44" s="820" t="str">
        <f>IF(F44="","", 'Air Leakage Sealing'!G66)</f>
        <v/>
      </c>
      <c r="H44" s="820" t="str">
        <f>IF('Air Leakage Sealing'!H66="","",'Air Leakage Sealing'!H66)</f>
        <v/>
      </c>
      <c r="I44" s="401"/>
    </row>
    <row r="45" spans="2:9" s="812" customFormat="1" ht="18" customHeight="1" x14ac:dyDescent="0.25">
      <c r="B45" s="809">
        <v>36</v>
      </c>
      <c r="C45" s="828" t="str">
        <f>IF('Air Leakage Sealing'!E67="", "", 'Air Leakage Sealing'!E67)</f>
        <v/>
      </c>
      <c r="D45" s="809" t="str">
        <f>IF('Air Leakage Sealing'!C67="", "", 'Air Leakage Sealing'!C67)</f>
        <v/>
      </c>
      <c r="E45" s="809" t="str">
        <f>IF('Air Leakage Sealing'!D67="", "", 'Air Leakage Sealing'!D67)</f>
        <v/>
      </c>
      <c r="F45" s="820" t="str">
        <f>IF('Air Leakage Sealing'!F67="", "", 'Air Leakage Sealing'!F67)</f>
        <v/>
      </c>
      <c r="G45" s="820" t="str">
        <f>IF(F45="","", 'Air Leakage Sealing'!G67)</f>
        <v/>
      </c>
      <c r="H45" s="820" t="str">
        <f>IF('Air Leakage Sealing'!H67="","",'Air Leakage Sealing'!H67)</f>
        <v/>
      </c>
      <c r="I45" s="401"/>
    </row>
    <row r="46" spans="2:9" s="812" customFormat="1" ht="18" customHeight="1" x14ac:dyDescent="0.25">
      <c r="B46" s="809">
        <v>37</v>
      </c>
      <c r="C46" s="828" t="str">
        <f>IF('Air Leakage Sealing'!E68="", "", 'Air Leakage Sealing'!E68)</f>
        <v/>
      </c>
      <c r="D46" s="809" t="str">
        <f>IF('Air Leakage Sealing'!C68="", "", 'Air Leakage Sealing'!C68)</f>
        <v/>
      </c>
      <c r="E46" s="809" t="str">
        <f>IF('Air Leakage Sealing'!D68="", "", 'Air Leakage Sealing'!D68)</f>
        <v/>
      </c>
      <c r="F46" s="820" t="str">
        <f>IF('Air Leakage Sealing'!F68="", "", 'Air Leakage Sealing'!F68)</f>
        <v/>
      </c>
      <c r="G46" s="820" t="str">
        <f>IF(F46="","", 'Air Leakage Sealing'!G68)</f>
        <v/>
      </c>
      <c r="H46" s="820" t="str">
        <f>IF('Air Leakage Sealing'!H68="","",'Air Leakage Sealing'!H68)</f>
        <v/>
      </c>
      <c r="I46" s="401"/>
    </row>
    <row r="47" spans="2:9" s="812" customFormat="1" ht="18" customHeight="1" x14ac:dyDescent="0.25">
      <c r="B47" s="809">
        <v>38</v>
      </c>
      <c r="C47" s="828" t="str">
        <f>IF('Air Leakage Sealing'!E69="", "", 'Air Leakage Sealing'!E69)</f>
        <v/>
      </c>
      <c r="D47" s="809" t="str">
        <f>IF('Air Leakage Sealing'!C69="", "", 'Air Leakage Sealing'!C69)</f>
        <v/>
      </c>
      <c r="E47" s="809" t="str">
        <f>IF('Air Leakage Sealing'!D69="", "", 'Air Leakage Sealing'!D69)</f>
        <v/>
      </c>
      <c r="F47" s="820" t="str">
        <f>IF('Air Leakage Sealing'!F69="", "", 'Air Leakage Sealing'!F69)</f>
        <v/>
      </c>
      <c r="G47" s="820" t="str">
        <f>IF(F47="","", 'Air Leakage Sealing'!G69)</f>
        <v/>
      </c>
      <c r="H47" s="820" t="str">
        <f>IF('Air Leakage Sealing'!H69="","",'Air Leakage Sealing'!H69)</f>
        <v/>
      </c>
      <c r="I47" s="401"/>
    </row>
    <row r="48" spans="2:9" s="812" customFormat="1" ht="18" customHeight="1" x14ac:dyDescent="0.25">
      <c r="B48" s="809">
        <v>39</v>
      </c>
      <c r="C48" s="828" t="str">
        <f>IF('Air Leakage Sealing'!E70="", "", 'Air Leakage Sealing'!E70)</f>
        <v/>
      </c>
      <c r="D48" s="809" t="str">
        <f>IF('Air Leakage Sealing'!C70="", "", 'Air Leakage Sealing'!C70)</f>
        <v/>
      </c>
      <c r="E48" s="809" t="str">
        <f>IF('Air Leakage Sealing'!D70="", "", 'Air Leakage Sealing'!D70)</f>
        <v/>
      </c>
      <c r="F48" s="820" t="str">
        <f>IF('Air Leakage Sealing'!F70="", "", 'Air Leakage Sealing'!F70)</f>
        <v/>
      </c>
      <c r="G48" s="820" t="str">
        <f>IF(F48="","", 'Air Leakage Sealing'!G70)</f>
        <v/>
      </c>
      <c r="H48" s="820" t="str">
        <f>IF('Air Leakage Sealing'!H70="","",'Air Leakage Sealing'!H70)</f>
        <v/>
      </c>
      <c r="I48" s="401"/>
    </row>
    <row r="49" spans="2:9" s="812" customFormat="1" ht="18" customHeight="1" x14ac:dyDescent="0.25">
      <c r="B49" s="809">
        <v>40</v>
      </c>
      <c r="C49" s="828" t="str">
        <f>IF('Air Leakage Sealing'!E71="", "", 'Air Leakage Sealing'!E71)</f>
        <v/>
      </c>
      <c r="D49" s="809" t="str">
        <f>IF('Air Leakage Sealing'!C71="", "", 'Air Leakage Sealing'!C71)</f>
        <v/>
      </c>
      <c r="E49" s="809" t="str">
        <f>IF('Air Leakage Sealing'!D71="", "", 'Air Leakage Sealing'!D71)</f>
        <v/>
      </c>
      <c r="F49" s="820" t="str">
        <f>IF('Air Leakage Sealing'!F71="", "", 'Air Leakage Sealing'!F71)</f>
        <v/>
      </c>
      <c r="G49" s="820" t="str">
        <f>IF(F49="","", 'Air Leakage Sealing'!G71)</f>
        <v/>
      </c>
      <c r="H49" s="820" t="str">
        <f>IF('Air Leakage Sealing'!H71="","",'Air Leakage Sealing'!H71)</f>
        <v/>
      </c>
      <c r="I49" s="401"/>
    </row>
    <row r="50" spans="2:9" s="812" customFormat="1" ht="18" customHeight="1" x14ac:dyDescent="0.25">
      <c r="B50" s="809">
        <v>41</v>
      </c>
      <c r="C50" s="828" t="str">
        <f>IF('Air Leakage Sealing'!E72="", "", 'Air Leakage Sealing'!E72)</f>
        <v/>
      </c>
      <c r="D50" s="809" t="str">
        <f>IF('Air Leakage Sealing'!C72="", "", 'Air Leakage Sealing'!C72)</f>
        <v/>
      </c>
      <c r="E50" s="809" t="str">
        <f>IF('Air Leakage Sealing'!D72="", "", 'Air Leakage Sealing'!D72)</f>
        <v/>
      </c>
      <c r="F50" s="820" t="str">
        <f>IF('Air Leakage Sealing'!F72="", "", 'Air Leakage Sealing'!F72)</f>
        <v/>
      </c>
      <c r="G50" s="820" t="str">
        <f>IF(F50="","", 'Air Leakage Sealing'!G72)</f>
        <v/>
      </c>
      <c r="H50" s="820" t="str">
        <f>IF('Air Leakage Sealing'!H72="","",'Air Leakage Sealing'!H72)</f>
        <v/>
      </c>
      <c r="I50" s="401"/>
    </row>
    <row r="51" spans="2:9" s="812" customFormat="1" ht="18" customHeight="1" x14ac:dyDescent="0.25">
      <c r="B51" s="809">
        <v>42</v>
      </c>
      <c r="C51" s="828" t="str">
        <f>IF('Air Leakage Sealing'!E73="", "", 'Air Leakage Sealing'!E73)</f>
        <v/>
      </c>
      <c r="D51" s="809" t="str">
        <f>IF('Air Leakage Sealing'!C73="", "", 'Air Leakage Sealing'!C73)</f>
        <v/>
      </c>
      <c r="E51" s="809" t="str">
        <f>IF('Air Leakage Sealing'!D73="", "", 'Air Leakage Sealing'!D73)</f>
        <v/>
      </c>
      <c r="F51" s="820" t="str">
        <f>IF('Air Leakage Sealing'!F73="", "", 'Air Leakage Sealing'!F73)</f>
        <v/>
      </c>
      <c r="G51" s="820" t="str">
        <f>IF(F51="","", 'Air Leakage Sealing'!G73)</f>
        <v/>
      </c>
      <c r="H51" s="820" t="str">
        <f>IF('Air Leakage Sealing'!H73="","",'Air Leakage Sealing'!H73)</f>
        <v/>
      </c>
      <c r="I51" s="401"/>
    </row>
    <row r="52" spans="2:9" s="812" customFormat="1" ht="18" customHeight="1" x14ac:dyDescent="0.25">
      <c r="B52" s="809">
        <v>43</v>
      </c>
      <c r="C52" s="828" t="str">
        <f>IF('Air Leakage Sealing'!E74="", "", 'Air Leakage Sealing'!E74)</f>
        <v/>
      </c>
      <c r="D52" s="809" t="str">
        <f>IF('Air Leakage Sealing'!C74="", "", 'Air Leakage Sealing'!C74)</f>
        <v/>
      </c>
      <c r="E52" s="809" t="str">
        <f>IF('Air Leakage Sealing'!D74="", "", 'Air Leakage Sealing'!D74)</f>
        <v/>
      </c>
      <c r="F52" s="820" t="str">
        <f>IF('Air Leakage Sealing'!F74="", "", 'Air Leakage Sealing'!F74)</f>
        <v/>
      </c>
      <c r="G52" s="820" t="str">
        <f>IF(F52="","", 'Air Leakage Sealing'!G74)</f>
        <v/>
      </c>
      <c r="H52" s="820" t="str">
        <f>IF('Air Leakage Sealing'!H74="","",'Air Leakage Sealing'!H74)</f>
        <v/>
      </c>
      <c r="I52" s="401"/>
    </row>
    <row r="53" spans="2:9" s="812" customFormat="1" ht="18" customHeight="1" x14ac:dyDescent="0.25">
      <c r="B53" s="809">
        <v>44</v>
      </c>
      <c r="C53" s="828" t="str">
        <f>IF('Air Leakage Sealing'!E75="", "", 'Air Leakage Sealing'!E75)</f>
        <v/>
      </c>
      <c r="D53" s="809" t="str">
        <f>IF('Air Leakage Sealing'!C75="", "", 'Air Leakage Sealing'!C75)</f>
        <v/>
      </c>
      <c r="E53" s="809" t="str">
        <f>IF('Air Leakage Sealing'!D75="", "", 'Air Leakage Sealing'!D75)</f>
        <v/>
      </c>
      <c r="F53" s="820" t="str">
        <f>IF('Air Leakage Sealing'!F75="", "", 'Air Leakage Sealing'!F75)</f>
        <v/>
      </c>
      <c r="G53" s="820" t="str">
        <f>IF(F53="","", 'Air Leakage Sealing'!G75)</f>
        <v/>
      </c>
      <c r="H53" s="820" t="str">
        <f>IF('Air Leakage Sealing'!H75="","",'Air Leakage Sealing'!H75)</f>
        <v/>
      </c>
      <c r="I53" s="401"/>
    </row>
    <row r="54" spans="2:9" s="812" customFormat="1" ht="18" customHeight="1" x14ac:dyDescent="0.25">
      <c r="B54" s="809">
        <v>45</v>
      </c>
      <c r="C54" s="828" t="str">
        <f>IF('Air Leakage Sealing'!E76="", "", 'Air Leakage Sealing'!E76)</f>
        <v/>
      </c>
      <c r="D54" s="809" t="str">
        <f>IF('Air Leakage Sealing'!C76="", "", 'Air Leakage Sealing'!C76)</f>
        <v/>
      </c>
      <c r="E54" s="809" t="str">
        <f>IF('Air Leakage Sealing'!D76="", "", 'Air Leakage Sealing'!D76)</f>
        <v/>
      </c>
      <c r="F54" s="820" t="str">
        <f>IF('Air Leakage Sealing'!F76="", "", 'Air Leakage Sealing'!F76)</f>
        <v/>
      </c>
      <c r="G54" s="820" t="str">
        <f>IF(F54="","", 'Air Leakage Sealing'!G76)</f>
        <v/>
      </c>
      <c r="H54" s="820" t="str">
        <f>IF('Air Leakage Sealing'!H76="","",'Air Leakage Sealing'!H76)</f>
        <v/>
      </c>
      <c r="I54" s="401"/>
    </row>
    <row r="55" spans="2:9" s="812" customFormat="1" ht="18" customHeight="1" x14ac:dyDescent="0.25">
      <c r="B55" s="809">
        <v>46</v>
      </c>
      <c r="C55" s="828" t="str">
        <f>IF('Air Leakage Sealing'!E77="", "", 'Air Leakage Sealing'!E77)</f>
        <v/>
      </c>
      <c r="D55" s="809" t="str">
        <f>IF('Air Leakage Sealing'!C77="", "", 'Air Leakage Sealing'!C77)</f>
        <v/>
      </c>
      <c r="E55" s="809" t="str">
        <f>IF('Air Leakage Sealing'!D77="", "", 'Air Leakage Sealing'!D77)</f>
        <v/>
      </c>
      <c r="F55" s="820" t="str">
        <f>IF('Air Leakage Sealing'!F77="", "", 'Air Leakage Sealing'!F77)</f>
        <v/>
      </c>
      <c r="G55" s="820" t="str">
        <f>IF(F55="","", 'Air Leakage Sealing'!G77)</f>
        <v/>
      </c>
      <c r="H55" s="820" t="str">
        <f>IF('Air Leakage Sealing'!H77="","",'Air Leakage Sealing'!H77)</f>
        <v/>
      </c>
      <c r="I55" s="401"/>
    </row>
    <row r="56" spans="2:9" s="812" customFormat="1" ht="18" customHeight="1" x14ac:dyDescent="0.25">
      <c r="B56" s="809">
        <v>47</v>
      </c>
      <c r="C56" s="828" t="str">
        <f>IF('Air Leakage Sealing'!E78="", "", 'Air Leakage Sealing'!E78)</f>
        <v/>
      </c>
      <c r="D56" s="809" t="str">
        <f>IF('Air Leakage Sealing'!C78="", "", 'Air Leakage Sealing'!C78)</f>
        <v/>
      </c>
      <c r="E56" s="809" t="str">
        <f>IF('Air Leakage Sealing'!D78="", "", 'Air Leakage Sealing'!D78)</f>
        <v/>
      </c>
      <c r="F56" s="820" t="str">
        <f>IF('Air Leakage Sealing'!F78="", "", 'Air Leakage Sealing'!F78)</f>
        <v/>
      </c>
      <c r="G56" s="820" t="str">
        <f>IF(F56="","", 'Air Leakage Sealing'!G78)</f>
        <v/>
      </c>
      <c r="H56" s="820" t="str">
        <f>IF('Air Leakage Sealing'!H78="","",'Air Leakage Sealing'!H78)</f>
        <v/>
      </c>
      <c r="I56" s="401"/>
    </row>
    <row r="57" spans="2:9" s="812" customFormat="1" ht="18" customHeight="1" x14ac:dyDescent="0.25">
      <c r="B57" s="809">
        <v>48</v>
      </c>
      <c r="C57" s="828" t="str">
        <f>IF('Air Leakage Sealing'!E79="", "", 'Air Leakage Sealing'!E79)</f>
        <v/>
      </c>
      <c r="D57" s="809" t="str">
        <f>IF('Air Leakage Sealing'!C79="", "", 'Air Leakage Sealing'!C79)</f>
        <v/>
      </c>
      <c r="E57" s="809" t="str">
        <f>IF('Air Leakage Sealing'!D79="", "", 'Air Leakage Sealing'!D79)</f>
        <v/>
      </c>
      <c r="F57" s="820" t="str">
        <f>IF('Air Leakage Sealing'!F79="", "", 'Air Leakage Sealing'!F79)</f>
        <v/>
      </c>
      <c r="G57" s="820" t="str">
        <f>IF(F57="","", 'Air Leakage Sealing'!G79)</f>
        <v/>
      </c>
      <c r="H57" s="820" t="str">
        <f>IF('Air Leakage Sealing'!H79="","",'Air Leakage Sealing'!H79)</f>
        <v/>
      </c>
      <c r="I57" s="401"/>
    </row>
    <row r="58" spans="2:9" s="812" customFormat="1" ht="18" customHeight="1" x14ac:dyDescent="0.25">
      <c r="B58" s="809">
        <v>49</v>
      </c>
      <c r="C58" s="828" t="str">
        <f>IF('Air Leakage Sealing'!E80="", "", 'Air Leakage Sealing'!E80)</f>
        <v/>
      </c>
      <c r="D58" s="809" t="str">
        <f>IF('Air Leakage Sealing'!C80="", "", 'Air Leakage Sealing'!C80)</f>
        <v/>
      </c>
      <c r="E58" s="809" t="str">
        <f>IF('Air Leakage Sealing'!D80="", "", 'Air Leakage Sealing'!D80)</f>
        <v/>
      </c>
      <c r="F58" s="820" t="str">
        <f>IF('Air Leakage Sealing'!F80="", "", 'Air Leakage Sealing'!F80)</f>
        <v/>
      </c>
      <c r="G58" s="820" t="str">
        <f>IF(F58="","", 'Air Leakage Sealing'!G80)</f>
        <v/>
      </c>
      <c r="H58" s="820" t="str">
        <f>IF('Air Leakage Sealing'!H80="","",'Air Leakage Sealing'!H80)</f>
        <v/>
      </c>
      <c r="I58" s="401"/>
    </row>
    <row r="59" spans="2:9" s="812" customFormat="1" ht="18.75" customHeight="1" x14ac:dyDescent="0.25">
      <c r="B59" s="809">
        <v>50</v>
      </c>
      <c r="C59" s="828" t="str">
        <f>IF('Air Leakage Sealing'!E81="", "", 'Air Leakage Sealing'!E81)</f>
        <v/>
      </c>
      <c r="D59" s="809" t="str">
        <f>IF('Air Leakage Sealing'!C81="", "", 'Air Leakage Sealing'!C81)</f>
        <v/>
      </c>
      <c r="E59" s="809" t="str">
        <f>IF('Air Leakage Sealing'!D81="", "", 'Air Leakage Sealing'!D81)</f>
        <v/>
      </c>
      <c r="F59" s="820" t="str">
        <f>IF('Air Leakage Sealing'!F81="", "", 'Air Leakage Sealing'!F81)</f>
        <v/>
      </c>
      <c r="G59" s="820" t="str">
        <f>IF(F59="","", 'Air Leakage Sealing'!G81)</f>
        <v/>
      </c>
      <c r="H59" s="820" t="str">
        <f>IF('Air Leakage Sealing'!H81="","",'Air Leakage Sealing'!H81)</f>
        <v/>
      </c>
      <c r="I59" s="401"/>
    </row>
    <row r="60" spans="2:9" s="814" customFormat="1" ht="18.75" customHeight="1" x14ac:dyDescent="0.2">
      <c r="B60" s="813"/>
      <c r="C60" s="813"/>
      <c r="D60" s="813"/>
      <c r="E60" s="813"/>
      <c r="F60" s="813"/>
      <c r="G60" s="813"/>
      <c r="H60" s="813"/>
      <c r="I60" s="813"/>
    </row>
  </sheetData>
  <sheetProtection algorithmName="SHA-512" hashValue="1tU8RPAdueETFgDVE2UMVDBECbvMgPQyZ84YZIoiBciV0x+UDg/SzHKGoxgXFJXAX6MqsVS2qbXtoPirHI3oxA==" saltValue="ibIj024EZemxLtdu9afzRA==" spinCount="100000" sheet="1" formatColumns="0" formatRows="0" insertRows="0" deleteRows="0"/>
  <mergeCells count="3">
    <mergeCell ref="E2:H2"/>
    <mergeCell ref="E3:H3"/>
    <mergeCell ref="C1:H1"/>
  </mergeCells>
  <pageMargins left="0.7" right="0.7" top="0.75" bottom="0.75" header="0.3" footer="0.3"/>
  <pageSetup scale="65" orientation="portrait" r:id="rId1"/>
  <headerFooter>
    <oddFooter>&amp;LMINIMUM REQUIREMENTS DOCUMENT&amp;RAIR LEAKAGE SEALING  MRD - APPENDIX</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C0F28-1EC7-4155-A243-ECE882C493AA}">
  <dimension ref="C1:J69"/>
  <sheetViews>
    <sheetView zoomScale="120" zoomScaleNormal="120" workbookViewId="0">
      <selection activeCell="I6" sqref="I6:I7"/>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IFERROR(IF(Doors!$AC$21=0, "", IF(Doors!$AC$21="LCI", "New York - Electric and Gas Large Commercial and Industrial Program", "New York - Electric and Gas Small Business Program")),"")</f>
        <v>New York - Electric and Gas Small Business Program</v>
      </c>
      <c r="F2" s="1070"/>
      <c r="G2" s="1070"/>
      <c r="H2" s="1070"/>
      <c r="I2" s="1071"/>
      <c r="J2" s="789"/>
    </row>
    <row r="3" spans="3:10" ht="27.75" customHeight="1" x14ac:dyDescent="0.35">
      <c r="C3" s="148"/>
      <c r="D3" s="780"/>
      <c r="E3" s="802"/>
      <c r="F3" s="1072" t="s">
        <v>644</v>
      </c>
      <c r="G3" s="1072"/>
      <c r="H3" s="1072"/>
      <c r="I3" s="1073"/>
      <c r="J3" s="815"/>
    </row>
    <row r="4" spans="3:10" ht="5.25" customHeight="1" x14ac:dyDescent="0.25">
      <c r="C4" s="99"/>
      <c r="D4" s="99"/>
      <c r="E4" s="99"/>
      <c r="F4" s="99"/>
      <c r="G4" s="99"/>
      <c r="H4" s="99"/>
      <c r="I4" s="99"/>
    </row>
    <row r="5" spans="3:10" x14ac:dyDescent="0.25">
      <c r="C5" s="775" t="s">
        <v>645</v>
      </c>
      <c r="D5" s="781" t="str">
        <f>IF('App Cust Info'!$B$12="", "", 'App Cust Info'!$B$12)</f>
        <v/>
      </c>
      <c r="E5" s="777"/>
      <c r="F5" s="777"/>
      <c r="G5" s="777"/>
      <c r="H5" s="775" t="s">
        <v>646</v>
      </c>
      <c r="I5" s="782" t="s">
        <v>367</v>
      </c>
    </row>
    <row r="6" spans="3:10" x14ac:dyDescent="0.25">
      <c r="C6" s="775" t="s">
        <v>134</v>
      </c>
      <c r="D6" s="776" t="str">
        <f>IF($D$5="", "", 'App Cust Info'!$B$18&amp;", "&amp;'App Cust Info'!$F$18&amp;", "&amp;'App Cust Info'!$I$18&amp;" "&amp;'App Cust Info'!$K$18)</f>
        <v/>
      </c>
      <c r="E6" s="777"/>
      <c r="F6" s="777"/>
      <c r="G6" s="777"/>
      <c r="H6" s="775" t="s">
        <v>647</v>
      </c>
      <c r="I6" s="757"/>
    </row>
    <row r="7" spans="3:10" x14ac:dyDescent="0.25">
      <c r="C7" s="775" t="s">
        <v>648</v>
      </c>
      <c r="D7" s="776" t="str">
        <f>IF($D$5="", "", "Door Replacement")</f>
        <v/>
      </c>
      <c r="E7" s="777"/>
      <c r="F7" s="777"/>
      <c r="G7" s="777"/>
      <c r="H7" s="775" t="s">
        <v>649</v>
      </c>
      <c r="I7" s="757"/>
    </row>
    <row r="8" spans="3:10" ht="6" customHeight="1" x14ac:dyDescent="0.25">
      <c r="C8" s="99"/>
      <c r="D8" s="99"/>
      <c r="E8" s="99"/>
      <c r="F8" s="99"/>
      <c r="G8" s="99"/>
      <c r="H8" s="99"/>
      <c r="I8" s="99"/>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"",Doors!$B$5)</f>
        <v/>
      </c>
      <c r="E14" s="1064"/>
      <c r="F14" s="793" t="str">
        <f>IF($D$5="", "",Doors!$F$5)</f>
        <v/>
      </c>
      <c r="G14" s="763"/>
      <c r="H14" s="763"/>
      <c r="I14" s="764"/>
      <c r="J14" s="767"/>
    </row>
    <row r="15" spans="3:10" ht="27.75" customHeight="1" x14ac:dyDescent="0.25">
      <c r="C15" s="761"/>
      <c r="D15" s="1064" t="str">
        <f>IF($D$5="", "",Doors!$B$7)</f>
        <v/>
      </c>
      <c r="E15" s="1064"/>
      <c r="F15" s="793" t="str">
        <f>IF($D$5="", "",Doors!$F$7)</f>
        <v/>
      </c>
      <c r="G15" s="763"/>
      <c r="H15" s="763"/>
      <c r="I15" s="764"/>
      <c r="J15" s="767"/>
    </row>
    <row r="16" spans="3:10" ht="27.75" customHeight="1" x14ac:dyDescent="0.25">
      <c r="C16" s="761"/>
      <c r="D16" s="1064" t="str">
        <f>IF($D$5="", "",Doors!$B$8)</f>
        <v/>
      </c>
      <c r="E16" s="1064"/>
      <c r="F16" s="817" t="str">
        <f>IF($D$5="", "",Doors!$F$8)</f>
        <v/>
      </c>
      <c r="G16" s="763"/>
      <c r="H16" s="763"/>
      <c r="I16" s="764"/>
      <c r="J16" s="767"/>
    </row>
    <row r="17" spans="3:10" ht="27.75" customHeight="1" x14ac:dyDescent="0.25">
      <c r="C17" s="761"/>
      <c r="D17" s="1064" t="str">
        <f>IF($D$5="", "",Doors!$B$9)</f>
        <v/>
      </c>
      <c r="E17" s="1064"/>
      <c r="F17" s="795" t="str">
        <f>IF($D$5="", "",Doors!$F$9)</f>
        <v/>
      </c>
      <c r="G17" s="763"/>
      <c r="H17" s="763"/>
      <c r="I17" s="764"/>
      <c r="J17" s="767"/>
    </row>
    <row r="18" spans="3:10" ht="27.75" customHeight="1" x14ac:dyDescent="0.25">
      <c r="C18" s="761"/>
      <c r="D18" s="1064" t="str">
        <f>IF($D$5="", "",Doors!$B$10)</f>
        <v/>
      </c>
      <c r="E18" s="1064"/>
      <c r="F18" s="795" t="str">
        <f>IF($D$5="", "",Doors!$AH$23)</f>
        <v/>
      </c>
      <c r="G18" s="1052" t="str">
        <f>IF($F$18="","", IF(Doors!$F$10="", "(Default Value)", "(Customer Entered Value)"))</f>
        <v/>
      </c>
      <c r="H18" s="1066"/>
      <c r="I18" s="1067"/>
      <c r="J18" s="767"/>
    </row>
    <row r="19" spans="3:10" ht="27.75" customHeight="1" x14ac:dyDescent="0.25">
      <c r="C19" s="761"/>
      <c r="D19" s="1064" t="str">
        <f>IF($D$5="", "",Doors!$B$11)</f>
        <v/>
      </c>
      <c r="E19" s="1064"/>
      <c r="F19" s="795" t="str">
        <f>IF($D$5="", "",Doors!$AH$24)</f>
        <v/>
      </c>
      <c r="G19" s="763"/>
      <c r="H19" s="763"/>
      <c r="I19" s="764"/>
      <c r="J19" s="767"/>
    </row>
    <row r="20" spans="3:10" ht="27.75" customHeight="1" x14ac:dyDescent="0.25">
      <c r="C20" s="761"/>
      <c r="D20" s="796" t="str">
        <f>IF(Doors!$F$2="", "", "VERIFY LINE BY LINE DOOR INVENTORY IN THE APPENDIX BELOW.")</f>
        <v/>
      </c>
      <c r="E20" s="797"/>
      <c r="F20" s="791"/>
      <c r="G20" s="759"/>
      <c r="H20" s="759"/>
      <c r="I20" s="760"/>
      <c r="J20" s="767"/>
    </row>
    <row r="21" spans="3:10" ht="27.75" customHeight="1" x14ac:dyDescent="0.25">
      <c r="C21" s="758" t="s">
        <v>651</v>
      </c>
      <c r="D21" s="1038" t="s">
        <v>654</v>
      </c>
      <c r="E21" s="1039"/>
      <c r="F21" s="1039"/>
      <c r="G21" s="1039"/>
      <c r="H21" s="1039"/>
      <c r="I21" s="1040"/>
      <c r="J21" s="767"/>
    </row>
    <row r="22" spans="3:10" x14ac:dyDescent="0.25">
      <c r="C22" s="150"/>
      <c r="D22" s="1061" t="s">
        <v>655</v>
      </c>
      <c r="E22" s="1062"/>
      <c r="F22" s="1062"/>
      <c r="G22" s="1062"/>
      <c r="H22" s="1062"/>
      <c r="I22" s="1063"/>
      <c r="J22" s="798"/>
    </row>
    <row r="23" spans="3:10" ht="27.75" customHeight="1" x14ac:dyDescent="0.25">
      <c r="C23" s="758" t="s">
        <v>651</v>
      </c>
      <c r="D23" s="1038" t="s">
        <v>656</v>
      </c>
      <c r="E23" s="1039"/>
      <c r="F23" s="1039"/>
      <c r="G23" s="1039"/>
      <c r="H23" s="1039"/>
      <c r="I23" s="1040"/>
      <c r="J23" s="767"/>
    </row>
    <row r="24" spans="3:10" x14ac:dyDescent="0.25">
      <c r="C24" s="150"/>
      <c r="D24" s="1041" t="s">
        <v>657</v>
      </c>
      <c r="E24" s="1042"/>
      <c r="F24" s="1042"/>
      <c r="G24" s="1042"/>
      <c r="H24" s="1042"/>
      <c r="I24" s="1043"/>
      <c r="J24" s="799"/>
    </row>
    <row r="25" spans="3:10" ht="51.75" customHeight="1" x14ac:dyDescent="0.25">
      <c r="C25" s="758" t="s">
        <v>651</v>
      </c>
      <c r="D25" s="1038" t="s">
        <v>658</v>
      </c>
      <c r="E25" s="1039"/>
      <c r="F25" s="1039"/>
      <c r="G25" s="1039"/>
      <c r="H25" s="1039"/>
      <c r="I25" s="1040"/>
      <c r="J25" s="767"/>
    </row>
    <row r="26" spans="3:10" x14ac:dyDescent="0.25">
      <c r="C26" s="150"/>
      <c r="D26" s="1041" t="s">
        <v>659</v>
      </c>
      <c r="E26" s="1042"/>
      <c r="F26" s="1042"/>
      <c r="G26" s="1042"/>
      <c r="H26" s="1042"/>
      <c r="I26" s="1043"/>
      <c r="J26" s="799"/>
    </row>
    <row r="27" spans="3:10" ht="33.75" customHeight="1" x14ac:dyDescent="0.25">
      <c r="C27" s="758" t="s">
        <v>651</v>
      </c>
      <c r="D27" s="1065" t="s">
        <v>660</v>
      </c>
      <c r="E27" s="1066"/>
      <c r="F27" s="1066"/>
      <c r="G27" s="1066"/>
      <c r="H27" s="1066"/>
      <c r="I27" s="1067"/>
      <c r="J27" s="767"/>
    </row>
    <row r="28" spans="3:10" ht="95.25" customHeight="1" x14ac:dyDescent="0.25">
      <c r="C28" s="150"/>
      <c r="D28" s="1052" t="s">
        <v>661</v>
      </c>
      <c r="E28" s="1053"/>
      <c r="F28" s="1053"/>
      <c r="G28" s="1053"/>
      <c r="H28" s="1053"/>
      <c r="I28" s="1054"/>
      <c r="J28" s="800"/>
    </row>
    <row r="30" spans="3:10" ht="22.5" customHeight="1" x14ac:dyDescent="0.4">
      <c r="C30" s="1068"/>
      <c r="D30" s="1069"/>
      <c r="E30" s="399">
        <f ca="1">TODAY()</f>
        <v>46212</v>
      </c>
    </row>
    <row r="31" spans="3:10" ht="24.75" customHeight="1" x14ac:dyDescent="0.25">
      <c r="C31" s="1045" t="s">
        <v>662</v>
      </c>
      <c r="D31" s="1045"/>
      <c r="E31" s="765" t="s">
        <v>70</v>
      </c>
    </row>
    <row r="33" spans="3:10" x14ac:dyDescent="0.25">
      <c r="C33" s="1074" t="s">
        <v>679</v>
      </c>
      <c r="D33" s="1074"/>
      <c r="E33" s="1074"/>
      <c r="F33" s="1074"/>
      <c r="G33" s="1074"/>
      <c r="H33" s="1074"/>
      <c r="I33" s="1074"/>
      <c r="J33" s="819"/>
    </row>
    <row r="34" spans="3:10" ht="18" customHeight="1" x14ac:dyDescent="0.25">
      <c r="C34" s="1050" t="s">
        <v>664</v>
      </c>
      <c r="D34" s="1050"/>
      <c r="E34" s="1050"/>
      <c r="F34" s="1050"/>
      <c r="G34" s="1050"/>
      <c r="H34" s="1050"/>
      <c r="I34" s="1050"/>
      <c r="J34" s="767"/>
    </row>
    <row r="35" spans="3:10" x14ac:dyDescent="0.25">
      <c r="C35" s="1050"/>
      <c r="D35" s="1050"/>
      <c r="E35" s="1050"/>
      <c r="F35" s="1050"/>
      <c r="G35" s="1050"/>
      <c r="H35" s="1050"/>
      <c r="I35" s="1050"/>
      <c r="J35" s="767"/>
    </row>
    <row r="36" spans="3:10" x14ac:dyDescent="0.25">
      <c r="C36" s="1050"/>
      <c r="D36" s="1050"/>
      <c r="E36" s="1050"/>
      <c r="F36" s="1050"/>
      <c r="G36" s="1050"/>
      <c r="H36" s="1050"/>
      <c r="I36" s="1050"/>
      <c r="J36" s="767"/>
    </row>
    <row r="37" spans="3:10" x14ac:dyDescent="0.25">
      <c r="C37" s="768"/>
      <c r="D37" s="768"/>
      <c r="E37" s="768"/>
      <c r="F37" s="768"/>
      <c r="G37" s="768"/>
      <c r="H37" s="768"/>
      <c r="I37" s="768"/>
      <c r="J37" s="768"/>
    </row>
    <row r="38" spans="3:10" x14ac:dyDescent="0.25">
      <c r="C38" s="151"/>
      <c r="D38" s="152"/>
      <c r="E38" s="153" t="s">
        <v>665</v>
      </c>
      <c r="F38" s="154" t="b">
        <v>0</v>
      </c>
      <c r="G38" s="400" t="s">
        <v>666</v>
      </c>
      <c r="H38" s="154" t="b">
        <v>0</v>
      </c>
      <c r="I38" s="155"/>
    </row>
    <row r="40" spans="3:10" ht="15" customHeight="1" x14ac:dyDescent="0.25">
      <c r="C40" s="769" t="s">
        <v>667</v>
      </c>
      <c r="D40" s="770"/>
      <c r="E40" s="770"/>
      <c r="F40" s="770"/>
      <c r="G40" s="770"/>
      <c r="H40" s="770"/>
      <c r="I40" s="771"/>
      <c r="J40" s="801"/>
    </row>
    <row r="41" spans="3:10" x14ac:dyDescent="0.25">
      <c r="C41" s="156" t="s">
        <v>668</v>
      </c>
      <c r="D41" s="157" t="b">
        <v>0</v>
      </c>
      <c r="E41" s="158" t="s">
        <v>669</v>
      </c>
      <c r="F41" s="157" t="b">
        <v>0</v>
      </c>
      <c r="G41" s="166"/>
      <c r="H41" s="166"/>
      <c r="I41" s="167"/>
    </row>
    <row r="42" spans="3:10" ht="10.5" customHeight="1" x14ac:dyDescent="0.25"/>
    <row r="43" spans="3:10" x14ac:dyDescent="0.25">
      <c r="C43" s="772" t="s">
        <v>670</v>
      </c>
    </row>
    <row r="44" spans="3:10" ht="6.75" customHeight="1" x14ac:dyDescent="0.25">
      <c r="C44" s="772"/>
    </row>
    <row r="45" spans="3:10" x14ac:dyDescent="0.25">
      <c r="C45" s="773" t="s">
        <v>671</v>
      </c>
      <c r="D45" s="160"/>
      <c r="E45" s="160"/>
      <c r="F45" s="160"/>
      <c r="G45" s="160"/>
      <c r="H45" s="160"/>
      <c r="I45" s="161"/>
    </row>
    <row r="46" spans="3:10" x14ac:dyDescent="0.25">
      <c r="C46" s="156" t="s">
        <v>668</v>
      </c>
      <c r="D46" s="157" t="b">
        <v>0</v>
      </c>
      <c r="E46" s="158" t="s">
        <v>669</v>
      </c>
      <c r="F46" s="157" t="b">
        <v>0</v>
      </c>
      <c r="G46" s="166"/>
      <c r="H46" s="166"/>
      <c r="I46" s="167"/>
    </row>
    <row r="48" spans="3:10" ht="24" customHeight="1" x14ac:dyDescent="0.25">
      <c r="C48" s="1047"/>
      <c r="D48" s="1048"/>
      <c r="E48" s="150"/>
      <c r="F48" s="1047"/>
      <c r="G48" s="1051"/>
      <c r="H48" s="150"/>
    </row>
    <row r="49" spans="3:9" x14ac:dyDescent="0.25">
      <c r="C49" s="1045" t="s">
        <v>672</v>
      </c>
      <c r="D49" s="1045"/>
      <c r="E49" s="765" t="s">
        <v>70</v>
      </c>
      <c r="F49" s="1046" t="s">
        <v>673</v>
      </c>
      <c r="G49" s="1046"/>
      <c r="H49" s="765" t="s">
        <v>70</v>
      </c>
    </row>
    <row r="51" spans="3:9" x14ac:dyDescent="0.25">
      <c r="C51" s="774" t="s">
        <v>674</v>
      </c>
    </row>
    <row r="52" spans="3:9" x14ac:dyDescent="0.25">
      <c r="C52" s="159"/>
      <c r="D52" s="160"/>
      <c r="E52" s="160"/>
      <c r="F52" s="160"/>
      <c r="G52" s="160"/>
      <c r="H52" s="160"/>
      <c r="I52" s="161"/>
    </row>
    <row r="53" spans="3:9" x14ac:dyDescent="0.25">
      <c r="C53" s="162"/>
      <c r="I53" s="164"/>
    </row>
    <row r="54" spans="3:9" x14ac:dyDescent="0.25">
      <c r="C54" s="162"/>
      <c r="I54" s="164"/>
    </row>
    <row r="55" spans="3:9" x14ac:dyDescent="0.25">
      <c r="C55" s="162"/>
      <c r="I55" s="164"/>
    </row>
    <row r="56" spans="3:9" x14ac:dyDescent="0.25">
      <c r="C56" s="162"/>
      <c r="I56" s="164"/>
    </row>
    <row r="57" spans="3:9" x14ac:dyDescent="0.25">
      <c r="C57" s="162"/>
      <c r="I57" s="164"/>
    </row>
    <row r="58" spans="3:9" x14ac:dyDescent="0.25">
      <c r="C58" s="162"/>
      <c r="I58" s="164"/>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5"/>
      <c r="D69" s="166"/>
      <c r="E69" s="166"/>
      <c r="F69" s="166"/>
      <c r="G69" s="166"/>
      <c r="H69" s="166"/>
      <c r="I69" s="167"/>
    </row>
  </sheetData>
  <sheetProtection algorithmName="SHA-512" hashValue="E7G4ZP8xuUvEUzwtKnS4K56whdLDqh170RpHdpYC+lCP6I/jnvC27s36W+zp3hXjP9LN6LxK4LKi7XPGSbypkw==" saltValue="TyiCHBqwejB5MQPGFjp7og==" spinCount="100000" sheet="1" objects="1" scenarios="1"/>
  <mergeCells count="28">
    <mergeCell ref="C1:I1"/>
    <mergeCell ref="C48:D48"/>
    <mergeCell ref="F48:G48"/>
    <mergeCell ref="C49:D49"/>
    <mergeCell ref="F49:G49"/>
    <mergeCell ref="G18:I18"/>
    <mergeCell ref="D27:I27"/>
    <mergeCell ref="D28:I28"/>
    <mergeCell ref="C30:D30"/>
    <mergeCell ref="C31:D31"/>
    <mergeCell ref="C33:I33"/>
    <mergeCell ref="C34:I36"/>
    <mergeCell ref="D21:I21"/>
    <mergeCell ref="D22:I22"/>
    <mergeCell ref="D23:I23"/>
    <mergeCell ref="D24:I24"/>
    <mergeCell ref="D25:I25"/>
    <mergeCell ref="D26:I26"/>
    <mergeCell ref="D16:E16"/>
    <mergeCell ref="D17:E17"/>
    <mergeCell ref="D18:E18"/>
    <mergeCell ref="D19:E19"/>
    <mergeCell ref="D15:E15"/>
    <mergeCell ref="E2:I2"/>
    <mergeCell ref="F3:I3"/>
    <mergeCell ref="C9:I11"/>
    <mergeCell ref="D13:I13"/>
    <mergeCell ref="D14:E14"/>
  </mergeCells>
  <conditionalFormatting sqref="F20">
    <cfRule type="expression" dxfId="6" priority="1">
      <formula>$F$20="N/A"</formula>
    </cfRule>
  </conditionalFormatting>
  <conditionalFormatting sqref="I6">
    <cfRule type="expression" dxfId="5" priority="3">
      <formula>ISBLANK($I$6)</formula>
    </cfRule>
  </conditionalFormatting>
  <conditionalFormatting sqref="I7">
    <cfRule type="expression" dxfId="4" priority="2">
      <formula>ISBLANK($I$7)</formula>
    </cfRule>
  </conditionalFormatting>
  <pageMargins left="0.25" right="0.25" top="0.75" bottom="0.75" header="0.3" footer="0.3"/>
  <pageSetup scale="81" orientation="portrait" r:id="rId1"/>
  <headerFooter>
    <oddFooter>&amp;R&amp;P</oddFooter>
  </headerFooter>
  <rowBreaks count="1" manualBreakCount="1">
    <brk id="29"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31073" r:id="rId4" name="Check Box 1">
              <controlPr locked="0" defaultSize="0" autoFill="0" autoLine="0" autoPict="0">
                <anchor moveWithCells="1">
                  <from>
                    <xdr:col>2</xdr:col>
                    <xdr:colOff>28575</xdr:colOff>
                    <xdr:row>20</xdr:row>
                    <xdr:rowOff>333375</xdr:rowOff>
                  </from>
                  <to>
                    <xdr:col>2</xdr:col>
                    <xdr:colOff>514350</xdr:colOff>
                    <xdr:row>22</xdr:row>
                    <xdr:rowOff>9525</xdr:rowOff>
                  </to>
                </anchor>
              </controlPr>
            </control>
          </mc:Choice>
        </mc:AlternateContent>
        <mc:AlternateContent xmlns:mc="http://schemas.openxmlformats.org/markup-compatibility/2006">
          <mc:Choice Requires="x14">
            <control shapeId="131074" r:id="rId5" name="Check Box 2">
              <controlPr locked="0" defaultSize="0" autoFill="0" autoLine="0" autoPict="0">
                <anchor moveWithCells="1">
                  <from>
                    <xdr:col>2</xdr:col>
                    <xdr:colOff>438150</xdr:colOff>
                    <xdr:row>20</xdr:row>
                    <xdr:rowOff>333375</xdr:rowOff>
                  </from>
                  <to>
                    <xdr:col>2</xdr:col>
                    <xdr:colOff>923925</xdr:colOff>
                    <xdr:row>22</xdr:row>
                    <xdr:rowOff>9525</xdr:rowOff>
                  </to>
                </anchor>
              </controlPr>
            </control>
          </mc:Choice>
        </mc:AlternateContent>
        <mc:AlternateContent xmlns:mc="http://schemas.openxmlformats.org/markup-compatibility/2006">
          <mc:Choice Requires="x14">
            <control shapeId="131075" r:id="rId6" name="Check Box 3">
              <controlPr locked="0" defaultSize="0" autoFill="0" autoLine="0" autoPict="0">
                <anchor moveWithCells="1">
                  <from>
                    <xdr:col>2</xdr:col>
                    <xdr:colOff>28575</xdr:colOff>
                    <xdr:row>22</xdr:row>
                    <xdr:rowOff>333375</xdr:rowOff>
                  </from>
                  <to>
                    <xdr:col>2</xdr:col>
                    <xdr:colOff>514350</xdr:colOff>
                    <xdr:row>24</xdr:row>
                    <xdr:rowOff>9525</xdr:rowOff>
                  </to>
                </anchor>
              </controlPr>
            </control>
          </mc:Choice>
        </mc:AlternateContent>
        <mc:AlternateContent xmlns:mc="http://schemas.openxmlformats.org/markup-compatibility/2006">
          <mc:Choice Requires="x14">
            <control shapeId="131076" r:id="rId7" name="Check Box 4">
              <controlPr locked="0" defaultSize="0" autoFill="0" autoLine="0" autoPict="0">
                <anchor moveWithCells="1">
                  <from>
                    <xdr:col>2</xdr:col>
                    <xdr:colOff>438150</xdr:colOff>
                    <xdr:row>22</xdr:row>
                    <xdr:rowOff>333375</xdr:rowOff>
                  </from>
                  <to>
                    <xdr:col>2</xdr:col>
                    <xdr:colOff>923925</xdr:colOff>
                    <xdr:row>24</xdr:row>
                    <xdr:rowOff>9525</xdr:rowOff>
                  </to>
                </anchor>
              </controlPr>
            </control>
          </mc:Choice>
        </mc:AlternateContent>
        <mc:AlternateContent xmlns:mc="http://schemas.openxmlformats.org/markup-compatibility/2006">
          <mc:Choice Requires="x14">
            <control shapeId="131077" r:id="rId8" name="Check Box 5">
              <controlPr locked="0" defaultSize="0" autoFill="0" autoLine="0" autoPict="0">
                <anchor moveWithCells="1">
                  <from>
                    <xdr:col>2</xdr:col>
                    <xdr:colOff>47625</xdr:colOff>
                    <xdr:row>24</xdr:row>
                    <xdr:rowOff>638175</xdr:rowOff>
                  </from>
                  <to>
                    <xdr:col>2</xdr:col>
                    <xdr:colOff>533400</xdr:colOff>
                    <xdr:row>26</xdr:row>
                    <xdr:rowOff>9525</xdr:rowOff>
                  </to>
                </anchor>
              </controlPr>
            </control>
          </mc:Choice>
        </mc:AlternateContent>
        <mc:AlternateContent xmlns:mc="http://schemas.openxmlformats.org/markup-compatibility/2006">
          <mc:Choice Requires="x14">
            <control shapeId="131078" r:id="rId9" name="Check Box 6">
              <controlPr locked="0" defaultSize="0" autoFill="0" autoLine="0" autoPict="0">
                <anchor moveWithCells="1">
                  <from>
                    <xdr:col>2</xdr:col>
                    <xdr:colOff>428625</xdr:colOff>
                    <xdr:row>24</xdr:row>
                    <xdr:rowOff>647700</xdr:rowOff>
                  </from>
                  <to>
                    <xdr:col>2</xdr:col>
                    <xdr:colOff>914400</xdr:colOff>
                    <xdr:row>26</xdr:row>
                    <xdr:rowOff>9525</xdr:rowOff>
                  </to>
                </anchor>
              </controlPr>
            </control>
          </mc:Choice>
        </mc:AlternateContent>
        <mc:AlternateContent xmlns:mc="http://schemas.openxmlformats.org/markup-compatibility/2006">
          <mc:Choice Requires="x14">
            <control shapeId="131079" r:id="rId10" name="Check Box 7">
              <controlPr locked="0" defaultSize="0" autoFill="0" autoLine="0" autoPict="0">
                <anchor moveWithCells="1">
                  <from>
                    <xdr:col>2</xdr:col>
                    <xdr:colOff>66675</xdr:colOff>
                    <xdr:row>27</xdr:row>
                    <xdr:rowOff>180975</xdr:rowOff>
                  </from>
                  <to>
                    <xdr:col>2</xdr:col>
                    <xdr:colOff>552450</xdr:colOff>
                    <xdr:row>27</xdr:row>
                    <xdr:rowOff>400050</xdr:rowOff>
                  </to>
                </anchor>
              </controlPr>
            </control>
          </mc:Choice>
        </mc:AlternateContent>
        <mc:AlternateContent xmlns:mc="http://schemas.openxmlformats.org/markup-compatibility/2006">
          <mc:Choice Requires="x14">
            <control shapeId="131080" r:id="rId11" name="Check Box 8">
              <controlPr locked="0" defaultSize="0" autoFill="0" autoLine="0" autoPict="0">
                <anchor moveWithCells="1">
                  <from>
                    <xdr:col>2</xdr:col>
                    <xdr:colOff>428625</xdr:colOff>
                    <xdr:row>27</xdr:row>
                    <xdr:rowOff>180975</xdr:rowOff>
                  </from>
                  <to>
                    <xdr:col>2</xdr:col>
                    <xdr:colOff>914400</xdr:colOff>
                    <xdr:row>27</xdr:row>
                    <xdr:rowOff>400050</xdr:rowOff>
                  </to>
                </anchor>
              </controlPr>
            </control>
          </mc:Choice>
        </mc:AlternateContent>
        <mc:AlternateContent xmlns:mc="http://schemas.openxmlformats.org/markup-compatibility/2006">
          <mc:Choice Requires="x14">
            <control shapeId="131081" r:id="rId12" name="Check Box 9">
              <controlPr locked="0" defaultSize="0" autoFill="0" autoLine="0" autoPict="0">
                <anchor moveWithCells="1">
                  <from>
                    <xdr:col>2</xdr:col>
                    <xdr:colOff>438150</xdr:colOff>
                    <xdr:row>27</xdr:row>
                    <xdr:rowOff>504825</xdr:rowOff>
                  </from>
                  <to>
                    <xdr:col>2</xdr:col>
                    <xdr:colOff>923925</xdr:colOff>
                    <xdr:row>27</xdr:row>
                    <xdr:rowOff>723900</xdr:rowOff>
                  </to>
                </anchor>
              </controlPr>
            </control>
          </mc:Choice>
        </mc:AlternateContent>
        <mc:AlternateContent xmlns:mc="http://schemas.openxmlformats.org/markup-compatibility/2006">
          <mc:Choice Requires="x14">
            <control shapeId="131082" r:id="rId13" name="Check Box 10">
              <controlPr locked="0" defaultSize="0" autoFill="0" autoLine="0" autoPict="0">
                <anchor moveWithCells="1">
                  <from>
                    <xdr:col>2</xdr:col>
                    <xdr:colOff>428625</xdr:colOff>
                    <xdr:row>27</xdr:row>
                    <xdr:rowOff>790575</xdr:rowOff>
                  </from>
                  <to>
                    <xdr:col>2</xdr:col>
                    <xdr:colOff>914400</xdr:colOff>
                    <xdr:row>27</xdr:row>
                    <xdr:rowOff>1009650</xdr:rowOff>
                  </to>
                </anchor>
              </controlPr>
            </control>
          </mc:Choice>
        </mc:AlternateContent>
        <mc:AlternateContent xmlns:mc="http://schemas.openxmlformats.org/markup-compatibility/2006">
          <mc:Choice Requires="x14">
            <control shapeId="131083" r:id="rId14" name="Check Box 11">
              <controlPr locked="0" defaultSize="0" autoFill="0" autoLine="0" autoPict="0">
                <anchor moveWithCells="1">
                  <from>
                    <xdr:col>2</xdr:col>
                    <xdr:colOff>76200</xdr:colOff>
                    <xdr:row>27</xdr:row>
                    <xdr:rowOff>504825</xdr:rowOff>
                  </from>
                  <to>
                    <xdr:col>2</xdr:col>
                    <xdr:colOff>561975</xdr:colOff>
                    <xdr:row>27</xdr:row>
                    <xdr:rowOff>723900</xdr:rowOff>
                  </to>
                </anchor>
              </controlPr>
            </control>
          </mc:Choice>
        </mc:AlternateContent>
        <mc:AlternateContent xmlns:mc="http://schemas.openxmlformats.org/markup-compatibility/2006">
          <mc:Choice Requires="x14">
            <control shapeId="131084" r:id="rId15" name="Check Box 12">
              <controlPr locked="0" defaultSize="0" autoFill="0" autoLine="0" autoPict="0">
                <anchor moveWithCells="1">
                  <from>
                    <xdr:col>2</xdr:col>
                    <xdr:colOff>66675</xdr:colOff>
                    <xdr:row>27</xdr:row>
                    <xdr:rowOff>800100</xdr:rowOff>
                  </from>
                  <to>
                    <xdr:col>2</xdr:col>
                    <xdr:colOff>552450</xdr:colOff>
                    <xdr:row>27</xdr:row>
                    <xdr:rowOff>1019175</xdr:rowOff>
                  </to>
                </anchor>
              </controlPr>
            </control>
          </mc:Choice>
        </mc:AlternateContent>
        <mc:AlternateContent xmlns:mc="http://schemas.openxmlformats.org/markup-compatibility/2006">
          <mc:Choice Requires="x14">
            <control shapeId="131085"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31086"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31099" r:id="rId18" name="Check Box 27">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31100" r:id="rId19" name="Check Box 28">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31101" r:id="rId20" name="Check Box 29">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31102" r:id="rId21" name="Check Box 30">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31103" r:id="rId22" name="Check Box 31">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31104" r:id="rId23" name="Check Box 32">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31105" r:id="rId24" name="Check Box 33">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31106" r:id="rId25" name="Check Box 34">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31107" r:id="rId26" name="Check Box 35">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31108" r:id="rId27" name="Check Box 36">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mc:AlternateContent xmlns:mc="http://schemas.openxmlformats.org/markup-compatibility/2006">
          <mc:Choice Requires="x14">
            <control shapeId="131109" r:id="rId28" name="Check Box 37">
              <controlPr locked="0" defaultSize="0" autoFill="0" autoLine="0" autoPict="0">
                <anchor moveWithCells="1">
                  <from>
                    <xdr:col>2</xdr:col>
                    <xdr:colOff>66675</xdr:colOff>
                    <xdr:row>19</xdr:row>
                    <xdr:rowOff>85725</xdr:rowOff>
                  </from>
                  <to>
                    <xdr:col>2</xdr:col>
                    <xdr:colOff>552450</xdr:colOff>
                    <xdr:row>19</xdr:row>
                    <xdr:rowOff>304800</xdr:rowOff>
                  </to>
                </anchor>
              </controlPr>
            </control>
          </mc:Choice>
        </mc:AlternateContent>
        <mc:AlternateContent xmlns:mc="http://schemas.openxmlformats.org/markup-compatibility/2006">
          <mc:Choice Requires="x14">
            <control shapeId="131110" r:id="rId29" name="Check Box 38">
              <controlPr locked="0" defaultSize="0" autoFill="0" autoLine="0" autoPict="0">
                <anchor moveWithCells="1">
                  <from>
                    <xdr:col>2</xdr:col>
                    <xdr:colOff>400050</xdr:colOff>
                    <xdr:row>19</xdr:row>
                    <xdr:rowOff>104775</xdr:rowOff>
                  </from>
                  <to>
                    <xdr:col>2</xdr:col>
                    <xdr:colOff>885825</xdr:colOff>
                    <xdr:row>19</xdr:row>
                    <xdr:rowOff>285750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DA51-072D-44C6-A18B-34910203ED81}">
  <sheetPr>
    <pageSetUpPr fitToPage="1"/>
  </sheetPr>
  <dimension ref="B1:M60"/>
  <sheetViews>
    <sheetView zoomScale="120" zoomScaleNormal="120" workbookViewId="0">
      <selection activeCell="J19" sqref="J19"/>
    </sheetView>
  </sheetViews>
  <sheetFormatPr defaultColWidth="9.140625" defaultRowHeight="15" x14ac:dyDescent="0.25"/>
  <cols>
    <col min="1" max="1" width="4.28515625" style="1" customWidth="1"/>
    <col min="2" max="2" width="4.7109375" style="63" bestFit="1" customWidth="1"/>
    <col min="3" max="3" width="7.140625" style="63" customWidth="1"/>
    <col min="4" max="4" width="14" style="63" customWidth="1"/>
    <col min="5" max="5" width="23.5703125" style="63" customWidth="1"/>
    <col min="6" max="7" width="10" style="63" bestFit="1" customWidth="1"/>
    <col min="8" max="8" width="7.85546875" style="63" bestFit="1" customWidth="1"/>
    <col min="9" max="9" width="28" style="63" customWidth="1"/>
    <col min="10" max="10" width="10.85546875" style="63" customWidth="1"/>
    <col min="11" max="12" width="12.28515625" style="63" customWidth="1"/>
    <col min="13" max="13" width="6.42578125" style="63" customWidth="1"/>
    <col min="14" max="16384" width="9.140625" style="1"/>
  </cols>
  <sheetData>
    <row r="1" spans="2:13" ht="15.75" x14ac:dyDescent="0.25">
      <c r="C1" s="1044" t="s">
        <v>48</v>
      </c>
      <c r="D1" s="1044"/>
      <c r="E1" s="1044"/>
      <c r="F1" s="1044"/>
      <c r="G1" s="1044"/>
      <c r="H1" s="1044"/>
      <c r="I1" s="1044"/>
      <c r="J1" s="1044"/>
      <c r="K1" s="1044"/>
      <c r="L1" s="1044"/>
    </row>
    <row r="2" spans="2:13" ht="27.75" customHeight="1" x14ac:dyDescent="0.25">
      <c r="C2" s="147"/>
      <c r="D2" s="779"/>
      <c r="E2" s="1070" t="str">
        <f>'Doors - MRD'!$E$2</f>
        <v>New York - Electric and Gas Small Business Program</v>
      </c>
      <c r="F2" s="1070"/>
      <c r="G2" s="1070"/>
      <c r="H2" s="1070"/>
      <c r="I2" s="1070"/>
      <c r="J2" s="1070"/>
      <c r="K2" s="1070"/>
      <c r="L2" s="1071"/>
    </row>
    <row r="3" spans="2:13" ht="27.75" customHeight="1" x14ac:dyDescent="0.35">
      <c r="C3" s="148"/>
      <c r="D3" s="780"/>
      <c r="E3" s="802"/>
      <c r="F3" s="1072" t="s">
        <v>644</v>
      </c>
      <c r="G3" s="1072"/>
      <c r="H3" s="1072"/>
      <c r="I3" s="1072"/>
      <c r="J3" s="1072"/>
      <c r="K3" s="1072"/>
      <c r="L3" s="1073"/>
    </row>
    <row r="4" spans="2:13" x14ac:dyDescent="0.25">
      <c r="C4" s="99"/>
      <c r="D4" s="99"/>
      <c r="E4" s="99"/>
      <c r="F4" s="99"/>
      <c r="G4" s="99"/>
      <c r="H4" s="99"/>
      <c r="I4" s="99"/>
      <c r="J4" s="99"/>
      <c r="K4" s="99"/>
      <c r="L4" s="99"/>
    </row>
    <row r="5" spans="2:13" x14ac:dyDescent="0.25">
      <c r="C5" s="1075" t="s">
        <v>645</v>
      </c>
      <c r="D5" s="1075"/>
      <c r="E5" s="781" t="str">
        <f>IF('Doors - MRD'!$D$5="", "", 'Doors - MRD'!$D$5)</f>
        <v/>
      </c>
      <c r="F5" s="777"/>
      <c r="G5" s="777"/>
      <c r="H5" s="777"/>
      <c r="I5" s="777"/>
      <c r="J5" s="775" t="s">
        <v>646</v>
      </c>
      <c r="K5" s="76"/>
      <c r="L5" s="782" t="str">
        <f>IF('Doors - MRD'!$I$5="", "", 'Doors - MRD'!$I$5)</f>
        <v>Retrofit</v>
      </c>
    </row>
    <row r="6" spans="2:13" x14ac:dyDescent="0.25">
      <c r="C6" s="1075" t="s">
        <v>134</v>
      </c>
      <c r="D6" s="1075"/>
      <c r="E6" s="776" t="str">
        <f>IF('Doors - MRD'!$D$6="",  "", 'Doors - MRD'!$D$6)</f>
        <v/>
      </c>
      <c r="F6" s="777"/>
      <c r="G6" s="777"/>
      <c r="H6" s="777"/>
      <c r="I6" s="777"/>
      <c r="J6" s="775" t="s">
        <v>647</v>
      </c>
      <c r="K6" s="76"/>
      <c r="L6" s="788" t="str">
        <f>IF('Doors - MRD'!$I$6="", "", 'Doors - MRD'!$I$6)</f>
        <v/>
      </c>
    </row>
    <row r="7" spans="2:13" x14ac:dyDescent="0.25">
      <c r="C7" s="1075" t="s">
        <v>648</v>
      </c>
      <c r="D7" s="1075"/>
      <c r="E7" s="776" t="str">
        <f>IF('Doors - MRD'!$D$7="", "", 'Doors - MRD'!$D$7)</f>
        <v/>
      </c>
      <c r="F7" s="777"/>
      <c r="G7" s="777"/>
      <c r="H7" s="777"/>
      <c r="I7" s="777"/>
      <c r="J7" s="775" t="s">
        <v>649</v>
      </c>
      <c r="K7" s="76"/>
      <c r="L7" s="788" t="str">
        <f>IF('Doors - MRD'!$I$7="", "",'Doors - MRD'!$I$7)</f>
        <v/>
      </c>
    </row>
    <row r="8" spans="2:13" x14ac:dyDescent="0.25">
      <c r="C8" s="99"/>
      <c r="D8" s="99"/>
      <c r="E8" s="99"/>
      <c r="F8" s="99"/>
      <c r="G8" s="99"/>
      <c r="H8" s="99"/>
      <c r="I8" s="99"/>
      <c r="J8" s="99"/>
      <c r="K8" s="99"/>
      <c r="L8" s="99"/>
    </row>
    <row r="9" spans="2:13" s="808" customFormat="1" ht="42" customHeight="1" x14ac:dyDescent="0.2">
      <c r="B9" s="806" t="s">
        <v>133</v>
      </c>
      <c r="C9" s="806" t="s">
        <v>599</v>
      </c>
      <c r="D9" s="806" t="s">
        <v>462</v>
      </c>
      <c r="E9" s="806" t="s">
        <v>134</v>
      </c>
      <c r="F9" s="807" t="s">
        <v>463</v>
      </c>
      <c r="G9" s="807" t="s">
        <v>464</v>
      </c>
      <c r="H9" s="806" t="s">
        <v>626</v>
      </c>
      <c r="I9" s="807" t="s">
        <v>611</v>
      </c>
      <c r="J9" s="807" t="s">
        <v>681</v>
      </c>
      <c r="K9" s="807" t="s">
        <v>682</v>
      </c>
      <c r="L9" s="807" t="s">
        <v>467</v>
      </c>
      <c r="M9" s="806" t="s">
        <v>678</v>
      </c>
    </row>
    <row r="10" spans="2:13" s="812" customFormat="1" ht="18" customHeight="1" x14ac:dyDescent="0.25">
      <c r="B10" s="809">
        <v>1</v>
      </c>
      <c r="C10" s="809" t="str">
        <f>IF(Doors!C21="", "", Doors!C21)</f>
        <v/>
      </c>
      <c r="D10" s="809" t="str">
        <f>IF(Doors!D21="", "", Doors!D21)</f>
        <v/>
      </c>
      <c r="E10" s="809" t="str">
        <f>IF(Doors!E21="", "", Doors!E21)</f>
        <v/>
      </c>
      <c r="F10" s="809" t="str">
        <f>IF(Doors!F21="", "", TEXT(Doors!F21,"#0.0")&amp;" "&amp;Doors!G21)</f>
        <v/>
      </c>
      <c r="G10" s="809" t="str">
        <f>IF(Doors!H21="", "", TEXT(Doors!H21,"#0.0")&amp;" "&amp;Doors!I21)</f>
        <v/>
      </c>
      <c r="H10" s="820">
        <f>IF(Doors!J21="", "", Doors!J21)</f>
        <v>0</v>
      </c>
      <c r="I10" s="809" t="str">
        <f>IF(Doors!K21="", "", Doors!K21)</f>
        <v/>
      </c>
      <c r="J10" s="811" t="str">
        <f>IF(Doors!L21="", "", Doors!L21)</f>
        <v/>
      </c>
      <c r="K10" s="811" t="str">
        <f>IF(Doors!M21="", "", Doors!M21)</f>
        <v/>
      </c>
      <c r="L10" s="809" t="str">
        <f>IF(Doors!O21="", "", Doors!O21)</f>
        <v/>
      </c>
      <c r="M10" s="401"/>
    </row>
    <row r="11" spans="2:13" s="812" customFormat="1" ht="18" customHeight="1" x14ac:dyDescent="0.25">
      <c r="B11" s="809">
        <v>2</v>
      </c>
      <c r="C11" s="809" t="str">
        <f>IF(Doors!C22="", "", Doors!C22)</f>
        <v/>
      </c>
      <c r="D11" s="809" t="str">
        <f>IF(Doors!D22="", "", Doors!D22)</f>
        <v/>
      </c>
      <c r="E11" s="809" t="str">
        <f>IF(Doors!E22="", "", Doors!E22)</f>
        <v/>
      </c>
      <c r="F11" s="809" t="str">
        <f>IF(Doors!F22="", "", TEXT(Doors!F22,"#0.0")&amp;" "&amp;Doors!G22)</f>
        <v/>
      </c>
      <c r="G11" s="809" t="str">
        <f>IF(Doors!H22="", "", TEXT(Doors!H22,"#0.0")&amp;" "&amp;Doors!I22)</f>
        <v/>
      </c>
      <c r="H11" s="820">
        <f>IF(Doors!J22="", "", Doors!J22)</f>
        <v>0</v>
      </c>
      <c r="I11" s="809" t="str">
        <f>IF(Doors!K22="", "", Doors!K22)</f>
        <v/>
      </c>
      <c r="J11" s="811" t="str">
        <f>IF(Doors!L22="", "", Doors!L22)</f>
        <v/>
      </c>
      <c r="K11" s="811" t="str">
        <f>IF(Doors!M22="", "", Doors!M22)</f>
        <v/>
      </c>
      <c r="L11" s="809" t="str">
        <f>IF(Doors!O22="", "", Doors!O22)</f>
        <v/>
      </c>
      <c r="M11" s="401"/>
    </row>
    <row r="12" spans="2:13" s="812" customFormat="1" ht="18" customHeight="1" x14ac:dyDescent="0.25">
      <c r="B12" s="809">
        <v>3</v>
      </c>
      <c r="C12" s="809" t="str">
        <f>IF(Doors!C23="", "", Doors!C23)</f>
        <v/>
      </c>
      <c r="D12" s="809" t="str">
        <f>IF(Doors!D23="", "", Doors!D23)</f>
        <v/>
      </c>
      <c r="E12" s="809" t="str">
        <f>IF(Doors!E23="", "", Doors!E23)</f>
        <v/>
      </c>
      <c r="F12" s="809" t="str">
        <f>IF(Doors!F23="", "", TEXT(Doors!F23,"#0.0")&amp;" "&amp;Doors!G23)</f>
        <v/>
      </c>
      <c r="G12" s="809" t="str">
        <f>IF(Doors!H23="", "", TEXT(Doors!H23,"#0.0")&amp;" "&amp;Doors!I23)</f>
        <v/>
      </c>
      <c r="H12" s="820">
        <f>IF(Doors!J23="", "", Doors!J23)</f>
        <v>0</v>
      </c>
      <c r="I12" s="809" t="str">
        <f>IF(Doors!K23="", "", Doors!K23)</f>
        <v/>
      </c>
      <c r="J12" s="811" t="str">
        <f>IF(Doors!L23="", "", Doors!L23)</f>
        <v/>
      </c>
      <c r="K12" s="811" t="str">
        <f>IF(Doors!M23="", "", Doors!M23)</f>
        <v/>
      </c>
      <c r="L12" s="809" t="str">
        <f>IF(Doors!O23="", "", Doors!O23)</f>
        <v/>
      </c>
      <c r="M12" s="401"/>
    </row>
    <row r="13" spans="2:13" s="812" customFormat="1" ht="18" customHeight="1" x14ac:dyDescent="0.25">
      <c r="B13" s="809">
        <v>4</v>
      </c>
      <c r="C13" s="809" t="str">
        <f>IF(Doors!C24="", "", Doors!C24)</f>
        <v/>
      </c>
      <c r="D13" s="809" t="str">
        <f>IF(Doors!D24="", "", Doors!D24)</f>
        <v/>
      </c>
      <c r="E13" s="809" t="str">
        <f>IF(Doors!E24="", "", Doors!E24)</f>
        <v/>
      </c>
      <c r="F13" s="809" t="str">
        <f>IF(Doors!F24="", "", TEXT(Doors!F24,"#0.0")&amp;" "&amp;Doors!G24)</f>
        <v/>
      </c>
      <c r="G13" s="809" t="str">
        <f>IF(Doors!H24="", "", TEXT(Doors!H24,"#0.0")&amp;" "&amp;Doors!I24)</f>
        <v/>
      </c>
      <c r="H13" s="820">
        <f>IF(Doors!J24="", "", Doors!J24)</f>
        <v>0</v>
      </c>
      <c r="I13" s="809" t="str">
        <f>IF(Doors!K24="", "", Doors!K24)</f>
        <v/>
      </c>
      <c r="J13" s="811" t="str">
        <f>IF(Doors!L24="", "", Doors!L24)</f>
        <v/>
      </c>
      <c r="K13" s="811" t="str">
        <f>IF(Doors!M24="", "", Doors!M24)</f>
        <v/>
      </c>
      <c r="L13" s="809" t="str">
        <f>IF(Doors!O24="", "", Doors!O24)</f>
        <v/>
      </c>
      <c r="M13" s="401"/>
    </row>
    <row r="14" spans="2:13" s="812" customFormat="1" ht="18" customHeight="1" x14ac:dyDescent="0.25">
      <c r="B14" s="809">
        <v>5</v>
      </c>
      <c r="C14" s="809" t="str">
        <f>IF(Doors!C25="", "", Doors!C25)</f>
        <v/>
      </c>
      <c r="D14" s="809" t="str">
        <f>IF(Doors!D25="", "", Doors!D25)</f>
        <v/>
      </c>
      <c r="E14" s="809" t="str">
        <f>IF(Doors!E25="", "", Doors!E25)</f>
        <v/>
      </c>
      <c r="F14" s="809" t="str">
        <f>IF(Doors!F25="", "", TEXT(Doors!F25,"#0.0")&amp;" "&amp;Doors!G25)</f>
        <v/>
      </c>
      <c r="G14" s="809" t="str">
        <f>IF(Doors!H25="", "", TEXT(Doors!H25,"#0.0")&amp;" "&amp;Doors!I25)</f>
        <v/>
      </c>
      <c r="H14" s="820">
        <f>IF(Doors!J25="", "", Doors!J25)</f>
        <v>0</v>
      </c>
      <c r="I14" s="809" t="str">
        <f>IF(Doors!K25="", "", Doors!K25)</f>
        <v/>
      </c>
      <c r="J14" s="811" t="str">
        <f>IF(Doors!L25="", "", Doors!L25)</f>
        <v/>
      </c>
      <c r="K14" s="811" t="str">
        <f>IF(Doors!M25="", "", Doors!M25)</f>
        <v/>
      </c>
      <c r="L14" s="809" t="str">
        <f>IF(Doors!O25="", "", Doors!O25)</f>
        <v/>
      </c>
      <c r="M14" s="401"/>
    </row>
    <row r="15" spans="2:13" s="812" customFormat="1" ht="18" customHeight="1" x14ac:dyDescent="0.25">
      <c r="B15" s="809">
        <v>6</v>
      </c>
      <c r="C15" s="809" t="str">
        <f>IF(Doors!C26="", "", Doors!C26)</f>
        <v/>
      </c>
      <c r="D15" s="809" t="str">
        <f>IF(Doors!D26="", "", Doors!D26)</f>
        <v/>
      </c>
      <c r="E15" s="809" t="str">
        <f>IF(Doors!E26="", "", Doors!E26)</f>
        <v/>
      </c>
      <c r="F15" s="809" t="str">
        <f>IF(Doors!F26="", "", TEXT(Doors!F26,"#0.0")&amp;" "&amp;Doors!G26)</f>
        <v/>
      </c>
      <c r="G15" s="809" t="str">
        <f>IF(Doors!H26="", "", TEXT(Doors!H26,"#0.0")&amp;" "&amp;Doors!I26)</f>
        <v/>
      </c>
      <c r="H15" s="820">
        <f>IF(Doors!J26="", "", Doors!J26)</f>
        <v>0</v>
      </c>
      <c r="I15" s="809" t="str">
        <f>IF(Doors!K26="", "", Doors!K26)</f>
        <v/>
      </c>
      <c r="J15" s="811" t="str">
        <f>IF(Doors!L26="", "", Doors!L26)</f>
        <v/>
      </c>
      <c r="K15" s="811" t="str">
        <f>IF(Doors!M26="", "", Doors!M26)</f>
        <v/>
      </c>
      <c r="L15" s="809" t="str">
        <f>IF(Doors!O26="", "", Doors!O26)</f>
        <v/>
      </c>
      <c r="M15" s="401"/>
    </row>
    <row r="16" spans="2:13" s="812" customFormat="1" ht="18" customHeight="1" x14ac:dyDescent="0.25">
      <c r="B16" s="809">
        <v>7</v>
      </c>
      <c r="C16" s="809" t="str">
        <f>IF(Doors!C27="", "", Doors!C27)</f>
        <v/>
      </c>
      <c r="D16" s="809" t="str">
        <f>IF(Doors!D27="", "", Doors!D27)</f>
        <v/>
      </c>
      <c r="E16" s="809" t="str">
        <f>IF(Doors!E27="", "", Doors!E27)</f>
        <v/>
      </c>
      <c r="F16" s="809" t="str">
        <f>IF(Doors!F27="", "", TEXT(Doors!F27,"#0.0")&amp;" "&amp;Doors!G27)</f>
        <v/>
      </c>
      <c r="G16" s="809" t="str">
        <f>IF(Doors!H27="", "", TEXT(Doors!H27,"#0.0")&amp;" "&amp;Doors!I27)</f>
        <v/>
      </c>
      <c r="H16" s="820">
        <f>IF(Doors!J27="", "", Doors!J27)</f>
        <v>0</v>
      </c>
      <c r="I16" s="809" t="str">
        <f>IF(Doors!K27="", "", Doors!K27)</f>
        <v/>
      </c>
      <c r="J16" s="811" t="str">
        <f>IF(Doors!L27="", "", Doors!L27)</f>
        <v/>
      </c>
      <c r="K16" s="811" t="str">
        <f>IF(Doors!M27="", "", Doors!M27)</f>
        <v/>
      </c>
      <c r="L16" s="809" t="str">
        <f>IF(Doors!O27="", "", Doors!O27)</f>
        <v/>
      </c>
      <c r="M16" s="401"/>
    </row>
    <row r="17" spans="2:13" s="812" customFormat="1" ht="18" customHeight="1" x14ac:dyDescent="0.25">
      <c r="B17" s="809">
        <v>8</v>
      </c>
      <c r="C17" s="809" t="str">
        <f>IF(Doors!C28="", "", Doors!C28)</f>
        <v/>
      </c>
      <c r="D17" s="809" t="str">
        <f>IF(Doors!D28="", "", Doors!D28)</f>
        <v/>
      </c>
      <c r="E17" s="809" t="str">
        <f>IF(Doors!E28="", "", Doors!E28)</f>
        <v/>
      </c>
      <c r="F17" s="809" t="str">
        <f>IF(Doors!F28="", "", TEXT(Doors!F28,"#0.0")&amp;" "&amp;Doors!G28)</f>
        <v/>
      </c>
      <c r="G17" s="809" t="str">
        <f>IF(Doors!H28="", "", TEXT(Doors!H28,"#0.0")&amp;" "&amp;Doors!I28)</f>
        <v/>
      </c>
      <c r="H17" s="820">
        <f>IF(Doors!J28="", "", Doors!J28)</f>
        <v>0</v>
      </c>
      <c r="I17" s="809" t="str">
        <f>IF(Doors!K28="", "", Doors!K28)</f>
        <v/>
      </c>
      <c r="J17" s="811" t="str">
        <f>IF(Doors!L28="", "", Doors!L28)</f>
        <v/>
      </c>
      <c r="K17" s="811" t="str">
        <f>IF(Doors!M28="", "", Doors!M28)</f>
        <v/>
      </c>
      <c r="L17" s="809" t="str">
        <f>IF(Doors!O28="", "", Doors!O28)</f>
        <v/>
      </c>
      <c r="M17" s="401"/>
    </row>
    <row r="18" spans="2:13" s="812" customFormat="1" ht="18" customHeight="1" x14ac:dyDescent="0.25">
      <c r="B18" s="809">
        <v>9</v>
      </c>
      <c r="C18" s="809" t="str">
        <f>IF(Doors!C29="", "", Doors!C29)</f>
        <v/>
      </c>
      <c r="D18" s="809" t="str">
        <f>IF(Doors!D29="", "", Doors!D29)</f>
        <v/>
      </c>
      <c r="E18" s="809" t="str">
        <f>IF(Doors!E29="", "", Doors!E29)</f>
        <v/>
      </c>
      <c r="F18" s="809" t="str">
        <f>IF(Doors!F29="", "", TEXT(Doors!F29,"#0.0")&amp;" "&amp;Doors!G29)</f>
        <v/>
      </c>
      <c r="G18" s="809" t="str">
        <f>IF(Doors!H29="", "", TEXT(Doors!H29,"#0.0")&amp;" "&amp;Doors!I29)</f>
        <v/>
      </c>
      <c r="H18" s="820">
        <f>IF(Doors!J29="", "", Doors!J29)</f>
        <v>0</v>
      </c>
      <c r="I18" s="809" t="str">
        <f>IF(Doors!K29="", "", Doors!K29)</f>
        <v/>
      </c>
      <c r="J18" s="811" t="str">
        <f>IF(Doors!L29="", "", Doors!L29)</f>
        <v/>
      </c>
      <c r="K18" s="811" t="str">
        <f>IF(Doors!M29="", "", Doors!M29)</f>
        <v/>
      </c>
      <c r="L18" s="809" t="str">
        <f>IF(Doors!O29="", "", Doors!O29)</f>
        <v/>
      </c>
      <c r="M18" s="401"/>
    </row>
    <row r="19" spans="2:13" s="812" customFormat="1" ht="18" customHeight="1" x14ac:dyDescent="0.25">
      <c r="B19" s="809">
        <v>10</v>
      </c>
      <c r="C19" s="809" t="str">
        <f>IF(Doors!C30="", "", Doors!C30)</f>
        <v/>
      </c>
      <c r="D19" s="809" t="str">
        <f>IF(Doors!D30="", "", Doors!D30)</f>
        <v/>
      </c>
      <c r="E19" s="809" t="str">
        <f>IF(Doors!E30="", "", Doors!E30)</f>
        <v/>
      </c>
      <c r="F19" s="809" t="str">
        <f>IF(Doors!F30="", "", TEXT(Doors!F30,"#0.0")&amp;" "&amp;Doors!G30)</f>
        <v/>
      </c>
      <c r="G19" s="809" t="str">
        <f>IF(Doors!H30="", "", TEXT(Doors!H30,"#0.0")&amp;" "&amp;Doors!I30)</f>
        <v/>
      </c>
      <c r="H19" s="820">
        <f>IF(Doors!J30="", "", Doors!J30)</f>
        <v>0</v>
      </c>
      <c r="I19" s="809" t="str">
        <f>IF(Doors!K30="", "", Doors!K30)</f>
        <v/>
      </c>
      <c r="J19" s="811" t="str">
        <f>IF(Doors!L30="", "", Doors!L30)</f>
        <v/>
      </c>
      <c r="K19" s="811" t="str">
        <f>IF(Doors!M30="", "", Doors!M30)</f>
        <v/>
      </c>
      <c r="L19" s="809" t="str">
        <f>IF(Doors!O30="", "", Doors!O30)</f>
        <v/>
      </c>
      <c r="M19" s="401"/>
    </row>
    <row r="20" spans="2:13" s="812" customFormat="1" ht="18" customHeight="1" x14ac:dyDescent="0.25">
      <c r="B20" s="809">
        <v>11</v>
      </c>
      <c r="C20" s="809" t="str">
        <f>IF(Doors!C31="", "", Doors!C31)</f>
        <v/>
      </c>
      <c r="D20" s="809" t="str">
        <f>IF(Doors!D31="", "", Doors!D31)</f>
        <v/>
      </c>
      <c r="E20" s="809" t="str">
        <f>IF(Doors!E31="", "", Doors!E31)</f>
        <v/>
      </c>
      <c r="F20" s="809" t="str">
        <f>IF(Doors!F31="", "", TEXT(Doors!F31,"#0.0")&amp;" "&amp;Doors!G31)</f>
        <v/>
      </c>
      <c r="G20" s="809" t="str">
        <f>IF(Doors!H31="", "", TEXT(Doors!H31,"#0.0")&amp;" "&amp;Doors!I31)</f>
        <v/>
      </c>
      <c r="H20" s="820">
        <f>IF(Doors!J31="", "", Doors!J31)</f>
        <v>0</v>
      </c>
      <c r="I20" s="809" t="str">
        <f>IF(Doors!K31="", "", Doors!K31)</f>
        <v/>
      </c>
      <c r="J20" s="811" t="str">
        <f>IF(Doors!L31="", "", Doors!L31)</f>
        <v/>
      </c>
      <c r="K20" s="811" t="str">
        <f>IF(Doors!M31="", "", Doors!M31)</f>
        <v/>
      </c>
      <c r="L20" s="809" t="str">
        <f>IF(Doors!O31="", "", Doors!O31)</f>
        <v/>
      </c>
      <c r="M20" s="401"/>
    </row>
    <row r="21" spans="2:13" s="812" customFormat="1" ht="18" customHeight="1" x14ac:dyDescent="0.25">
      <c r="B21" s="809">
        <v>12</v>
      </c>
      <c r="C21" s="809" t="str">
        <f>IF(Doors!C32="", "", Doors!C32)</f>
        <v/>
      </c>
      <c r="D21" s="809" t="str">
        <f>IF(Doors!D32="", "", Doors!D32)</f>
        <v/>
      </c>
      <c r="E21" s="809" t="str">
        <f>IF(Doors!E32="", "", Doors!E32)</f>
        <v/>
      </c>
      <c r="F21" s="809" t="str">
        <f>IF(Doors!F32="", "", TEXT(Doors!F32,"#0.0")&amp;" "&amp;Doors!G32)</f>
        <v/>
      </c>
      <c r="G21" s="809" t="str">
        <f>IF(Doors!H32="", "", TEXT(Doors!H32,"#0.0")&amp;" "&amp;Doors!I32)</f>
        <v/>
      </c>
      <c r="H21" s="820">
        <f>IF(Doors!J32="", "", Doors!J32)</f>
        <v>0</v>
      </c>
      <c r="I21" s="809" t="str">
        <f>IF(Doors!K32="", "", Doors!K32)</f>
        <v/>
      </c>
      <c r="J21" s="811" t="str">
        <f>IF(Doors!L32="", "", Doors!L32)</f>
        <v/>
      </c>
      <c r="K21" s="811" t="str">
        <f>IF(Doors!M32="", "", Doors!M32)</f>
        <v/>
      </c>
      <c r="L21" s="809" t="str">
        <f>IF(Doors!O32="", "", Doors!O32)</f>
        <v/>
      </c>
      <c r="M21" s="401"/>
    </row>
    <row r="22" spans="2:13" s="812" customFormat="1" ht="18" customHeight="1" x14ac:dyDescent="0.25">
      <c r="B22" s="809">
        <v>13</v>
      </c>
      <c r="C22" s="809" t="str">
        <f>IF(Doors!C33="", "", Doors!C33)</f>
        <v/>
      </c>
      <c r="D22" s="809" t="str">
        <f>IF(Doors!D33="", "", Doors!D33)</f>
        <v/>
      </c>
      <c r="E22" s="809" t="str">
        <f>IF(Doors!E33="", "", Doors!E33)</f>
        <v/>
      </c>
      <c r="F22" s="809" t="str">
        <f>IF(Doors!F33="", "", TEXT(Doors!F33,"#0.0")&amp;" "&amp;Doors!G33)</f>
        <v/>
      </c>
      <c r="G22" s="809" t="str">
        <f>IF(Doors!H33="", "", TEXT(Doors!H33,"#0.0")&amp;" "&amp;Doors!I33)</f>
        <v/>
      </c>
      <c r="H22" s="820">
        <f>IF(Doors!J33="", "", Doors!J33)</f>
        <v>0</v>
      </c>
      <c r="I22" s="809" t="str">
        <f>IF(Doors!K33="", "", Doors!K33)</f>
        <v/>
      </c>
      <c r="J22" s="811" t="str">
        <f>IF(Doors!L33="", "", Doors!L33)</f>
        <v/>
      </c>
      <c r="K22" s="811" t="str">
        <f>IF(Doors!M33="", "", Doors!M33)</f>
        <v/>
      </c>
      <c r="L22" s="809" t="str">
        <f>IF(Doors!O33="", "", Doors!O33)</f>
        <v/>
      </c>
      <c r="M22" s="401"/>
    </row>
    <row r="23" spans="2:13" s="812" customFormat="1" ht="18" customHeight="1" x14ac:dyDescent="0.25">
      <c r="B23" s="809">
        <v>14</v>
      </c>
      <c r="C23" s="809" t="str">
        <f>IF(Doors!C34="", "", Doors!C34)</f>
        <v/>
      </c>
      <c r="D23" s="809" t="str">
        <f>IF(Doors!D34="", "", Doors!D34)</f>
        <v/>
      </c>
      <c r="E23" s="809" t="str">
        <f>IF(Doors!E34="", "", Doors!E34)</f>
        <v/>
      </c>
      <c r="F23" s="809" t="str">
        <f>IF(Doors!F34="", "", TEXT(Doors!F34,"#0.0")&amp;" "&amp;Doors!G34)</f>
        <v/>
      </c>
      <c r="G23" s="809" t="str">
        <f>IF(Doors!H34="", "", TEXT(Doors!H34,"#0.0")&amp;" "&amp;Doors!I34)</f>
        <v/>
      </c>
      <c r="H23" s="820">
        <f>IF(Doors!J34="", "", Doors!J34)</f>
        <v>0</v>
      </c>
      <c r="I23" s="809" t="str">
        <f>IF(Doors!K34="", "", Doors!K34)</f>
        <v/>
      </c>
      <c r="J23" s="811" t="str">
        <f>IF(Doors!L34="", "", Doors!L34)</f>
        <v/>
      </c>
      <c r="K23" s="811" t="str">
        <f>IF(Doors!M34="", "", Doors!M34)</f>
        <v/>
      </c>
      <c r="L23" s="809" t="str">
        <f>IF(Doors!O34="", "", Doors!O34)</f>
        <v/>
      </c>
      <c r="M23" s="401"/>
    </row>
    <row r="24" spans="2:13" s="812" customFormat="1" ht="18" customHeight="1" x14ac:dyDescent="0.25">
      <c r="B24" s="809">
        <v>15</v>
      </c>
      <c r="C24" s="809" t="str">
        <f>IF(Doors!C35="", "", Doors!C35)</f>
        <v/>
      </c>
      <c r="D24" s="809" t="str">
        <f>IF(Doors!D35="", "", Doors!D35)</f>
        <v/>
      </c>
      <c r="E24" s="809" t="str">
        <f>IF(Doors!E35="", "", Doors!E35)</f>
        <v/>
      </c>
      <c r="F24" s="809" t="str">
        <f>IF(Doors!F35="", "", TEXT(Doors!F35,"#0.0")&amp;" "&amp;Doors!G35)</f>
        <v/>
      </c>
      <c r="G24" s="809" t="str">
        <f>IF(Doors!H35="", "", TEXT(Doors!H35,"#0.0")&amp;" "&amp;Doors!I35)</f>
        <v/>
      </c>
      <c r="H24" s="820">
        <f>IF(Doors!J35="", "", Doors!J35)</f>
        <v>0</v>
      </c>
      <c r="I24" s="809" t="str">
        <f>IF(Doors!K35="", "", Doors!K35)</f>
        <v/>
      </c>
      <c r="J24" s="811" t="str">
        <f>IF(Doors!L35="", "", Doors!L35)</f>
        <v/>
      </c>
      <c r="K24" s="811" t="str">
        <f>IF(Doors!M35="", "", Doors!M35)</f>
        <v/>
      </c>
      <c r="L24" s="809" t="str">
        <f>IF(Doors!O35="", "", Doors!O35)</f>
        <v/>
      </c>
      <c r="M24" s="401"/>
    </row>
    <row r="25" spans="2:13" s="812" customFormat="1" ht="18" customHeight="1" x14ac:dyDescent="0.25">
      <c r="B25" s="809">
        <v>16</v>
      </c>
      <c r="C25" s="809" t="str">
        <f>IF(Doors!C36="", "", Doors!C36)</f>
        <v/>
      </c>
      <c r="D25" s="809" t="str">
        <f>IF(Doors!D36="", "", Doors!D36)</f>
        <v/>
      </c>
      <c r="E25" s="809" t="str">
        <f>IF(Doors!E36="", "", Doors!E36)</f>
        <v/>
      </c>
      <c r="F25" s="809" t="str">
        <f>IF(Doors!F36="", "", TEXT(Doors!F36,"#0.0")&amp;" "&amp;Doors!G36)</f>
        <v/>
      </c>
      <c r="G25" s="809" t="str">
        <f>IF(Doors!H36="", "", TEXT(Doors!H36,"#0.0")&amp;" "&amp;Doors!I36)</f>
        <v/>
      </c>
      <c r="H25" s="820">
        <f>IF(Doors!J36="", "", Doors!J36)</f>
        <v>0</v>
      </c>
      <c r="I25" s="809" t="str">
        <f>IF(Doors!K36="", "", Doors!K36)</f>
        <v/>
      </c>
      <c r="J25" s="811" t="str">
        <f>IF(Doors!L36="", "", Doors!L36)</f>
        <v/>
      </c>
      <c r="K25" s="811" t="str">
        <f>IF(Doors!M36="", "", Doors!M36)</f>
        <v/>
      </c>
      <c r="L25" s="809" t="str">
        <f>IF(Doors!O36="", "", Doors!O36)</f>
        <v/>
      </c>
      <c r="M25" s="401"/>
    </row>
    <row r="26" spans="2:13" s="812" customFormat="1" ht="18" customHeight="1" x14ac:dyDescent="0.25">
      <c r="B26" s="809">
        <v>17</v>
      </c>
      <c r="C26" s="809" t="str">
        <f>IF(Doors!C37="", "", Doors!C37)</f>
        <v/>
      </c>
      <c r="D26" s="809" t="str">
        <f>IF(Doors!D37="", "", Doors!D37)</f>
        <v/>
      </c>
      <c r="E26" s="809" t="str">
        <f>IF(Doors!E37="", "", Doors!E37)</f>
        <v/>
      </c>
      <c r="F26" s="809" t="str">
        <f>IF(Doors!F37="", "", TEXT(Doors!F37,"#0.0")&amp;" "&amp;Doors!G37)</f>
        <v/>
      </c>
      <c r="G26" s="809" t="str">
        <f>IF(Doors!H37="", "", TEXT(Doors!H37,"#0.0")&amp;" "&amp;Doors!I37)</f>
        <v/>
      </c>
      <c r="H26" s="820">
        <f>IF(Doors!J37="", "", Doors!J37)</f>
        <v>0</v>
      </c>
      <c r="I26" s="809" t="str">
        <f>IF(Doors!K37="", "", Doors!K37)</f>
        <v/>
      </c>
      <c r="J26" s="811" t="str">
        <f>IF(Doors!L37="", "", Doors!L37)</f>
        <v/>
      </c>
      <c r="K26" s="811" t="str">
        <f>IF(Doors!M37="", "", Doors!M37)</f>
        <v/>
      </c>
      <c r="L26" s="809" t="str">
        <f>IF(Doors!O37="", "", Doors!O37)</f>
        <v/>
      </c>
      <c r="M26" s="401"/>
    </row>
    <row r="27" spans="2:13" s="812" customFormat="1" ht="18" customHeight="1" x14ac:dyDescent="0.25">
      <c r="B27" s="809">
        <v>18</v>
      </c>
      <c r="C27" s="809" t="str">
        <f>IF(Doors!C38="", "", Doors!C38)</f>
        <v/>
      </c>
      <c r="D27" s="809" t="str">
        <f>IF(Doors!D38="", "", Doors!D38)</f>
        <v/>
      </c>
      <c r="E27" s="809" t="str">
        <f>IF(Doors!E38="", "", Doors!E38)</f>
        <v/>
      </c>
      <c r="F27" s="809" t="str">
        <f>IF(Doors!F38="", "", TEXT(Doors!F38,"#0.0")&amp;" "&amp;Doors!G38)</f>
        <v/>
      </c>
      <c r="G27" s="809" t="str">
        <f>IF(Doors!H38="", "", TEXT(Doors!H38,"#0.0")&amp;" "&amp;Doors!I38)</f>
        <v/>
      </c>
      <c r="H27" s="820">
        <f>IF(Doors!J38="", "", Doors!J38)</f>
        <v>0</v>
      </c>
      <c r="I27" s="809" t="str">
        <f>IF(Doors!K38="", "", Doors!K38)</f>
        <v/>
      </c>
      <c r="J27" s="811" t="str">
        <f>IF(Doors!L38="", "", Doors!L38)</f>
        <v/>
      </c>
      <c r="K27" s="811" t="str">
        <f>IF(Doors!M38="", "", Doors!M38)</f>
        <v/>
      </c>
      <c r="L27" s="809" t="str">
        <f>IF(Doors!O38="", "", Doors!O38)</f>
        <v/>
      </c>
      <c r="M27" s="401"/>
    </row>
    <row r="28" spans="2:13" s="812" customFormat="1" ht="18" customHeight="1" x14ac:dyDescent="0.25">
      <c r="B28" s="809">
        <v>19</v>
      </c>
      <c r="C28" s="809" t="str">
        <f>IF(Doors!C39="", "", Doors!C39)</f>
        <v/>
      </c>
      <c r="D28" s="809" t="str">
        <f>IF(Doors!D39="", "", Doors!D39)</f>
        <v/>
      </c>
      <c r="E28" s="809" t="str">
        <f>IF(Doors!E39="", "", Doors!E39)</f>
        <v/>
      </c>
      <c r="F28" s="809" t="str">
        <f>IF(Doors!F39="", "", TEXT(Doors!F39,"#0.0")&amp;" "&amp;Doors!G39)</f>
        <v/>
      </c>
      <c r="G28" s="809" t="str">
        <f>IF(Doors!H39="", "", TEXT(Doors!H39,"#0.0")&amp;" "&amp;Doors!I39)</f>
        <v/>
      </c>
      <c r="H28" s="820">
        <f>IF(Doors!J39="", "", Doors!J39)</f>
        <v>0</v>
      </c>
      <c r="I28" s="809" t="str">
        <f>IF(Doors!K39="", "", Doors!K39)</f>
        <v/>
      </c>
      <c r="J28" s="811" t="str">
        <f>IF(Doors!L39="", "", Doors!L39)</f>
        <v/>
      </c>
      <c r="K28" s="811" t="str">
        <f>IF(Doors!M39="", "", Doors!M39)</f>
        <v/>
      </c>
      <c r="L28" s="809" t="str">
        <f>IF(Doors!O39="", "", Doors!O39)</f>
        <v/>
      </c>
      <c r="M28" s="401"/>
    </row>
    <row r="29" spans="2:13" s="812" customFormat="1" ht="18" customHeight="1" x14ac:dyDescent="0.25">
      <c r="B29" s="809">
        <v>20</v>
      </c>
      <c r="C29" s="809" t="str">
        <f>IF(Doors!C40="", "", Doors!C40)</f>
        <v/>
      </c>
      <c r="D29" s="809" t="str">
        <f>IF(Doors!D40="", "", Doors!D40)</f>
        <v/>
      </c>
      <c r="E29" s="809" t="str">
        <f>IF(Doors!E40="", "", Doors!E40)</f>
        <v/>
      </c>
      <c r="F29" s="809" t="str">
        <f>IF(Doors!F40="", "", TEXT(Doors!F40,"#0.0")&amp;" "&amp;Doors!G40)</f>
        <v/>
      </c>
      <c r="G29" s="809" t="str">
        <f>IF(Doors!H40="", "", TEXT(Doors!H40,"#0.0")&amp;" "&amp;Doors!I40)</f>
        <v/>
      </c>
      <c r="H29" s="820">
        <f>IF(Doors!J40="", "", Doors!J40)</f>
        <v>0</v>
      </c>
      <c r="I29" s="809" t="str">
        <f>IF(Doors!K40="", "", Doors!K40)</f>
        <v/>
      </c>
      <c r="J29" s="811" t="str">
        <f>IF(Doors!L40="", "", Doors!L40)</f>
        <v/>
      </c>
      <c r="K29" s="811" t="str">
        <f>IF(Doors!M40="", "", Doors!M40)</f>
        <v/>
      </c>
      <c r="L29" s="809" t="str">
        <f>IF(Doors!O40="", "", Doors!O40)</f>
        <v/>
      </c>
      <c r="M29" s="401"/>
    </row>
    <row r="30" spans="2:13" s="812" customFormat="1" ht="18" customHeight="1" x14ac:dyDescent="0.25">
      <c r="B30" s="809">
        <v>21</v>
      </c>
      <c r="C30" s="809" t="str">
        <f>IF(Doors!C41="", "", Doors!C41)</f>
        <v/>
      </c>
      <c r="D30" s="809" t="str">
        <f>IF(Doors!D41="", "", Doors!D41)</f>
        <v/>
      </c>
      <c r="E30" s="809" t="str">
        <f>IF(Doors!E41="", "", Doors!E41)</f>
        <v/>
      </c>
      <c r="F30" s="809" t="str">
        <f>IF(Doors!F41="", "", TEXT(Doors!F41,"#0.0")&amp;" "&amp;Doors!G41)</f>
        <v/>
      </c>
      <c r="G30" s="809" t="str">
        <f>IF(Doors!H41="", "", TEXT(Doors!H41,"#0.0")&amp;" "&amp;Doors!I41)</f>
        <v/>
      </c>
      <c r="H30" s="820">
        <f>IF(Doors!J41="", "", Doors!J41)</f>
        <v>0</v>
      </c>
      <c r="I30" s="809" t="str">
        <f>IF(Doors!K41="", "", Doors!K41)</f>
        <v/>
      </c>
      <c r="J30" s="811" t="str">
        <f>IF(Doors!L41="", "", Doors!L41)</f>
        <v/>
      </c>
      <c r="K30" s="811" t="str">
        <f>IF(Doors!M41="", "", Doors!M41)</f>
        <v/>
      </c>
      <c r="L30" s="809" t="str">
        <f>IF(Doors!O41="", "", Doors!O41)</f>
        <v/>
      </c>
      <c r="M30" s="401"/>
    </row>
    <row r="31" spans="2:13" s="812" customFormat="1" ht="18" customHeight="1" x14ac:dyDescent="0.25">
      <c r="B31" s="809">
        <v>22</v>
      </c>
      <c r="C31" s="809" t="str">
        <f>IF(Doors!C42="", "", Doors!C42)</f>
        <v/>
      </c>
      <c r="D31" s="809" t="str">
        <f>IF(Doors!D42="", "", Doors!D42)</f>
        <v/>
      </c>
      <c r="E31" s="809" t="str">
        <f>IF(Doors!E42="", "", Doors!E42)</f>
        <v/>
      </c>
      <c r="F31" s="809" t="str">
        <f>IF(Doors!F42="", "", TEXT(Doors!F42,"#0.0")&amp;" "&amp;Doors!G42)</f>
        <v/>
      </c>
      <c r="G31" s="809" t="str">
        <f>IF(Doors!H42="", "", TEXT(Doors!H42,"#0.0")&amp;" "&amp;Doors!I42)</f>
        <v/>
      </c>
      <c r="H31" s="820">
        <f>IF(Doors!J42="", "", Doors!J42)</f>
        <v>0</v>
      </c>
      <c r="I31" s="809" t="str">
        <f>IF(Doors!K42="", "", Doors!K42)</f>
        <v/>
      </c>
      <c r="J31" s="811" t="str">
        <f>IF(Doors!L42="", "", Doors!L42)</f>
        <v/>
      </c>
      <c r="K31" s="811" t="str">
        <f>IF(Doors!M42="", "", Doors!M42)</f>
        <v/>
      </c>
      <c r="L31" s="809" t="str">
        <f>IF(Doors!O42="", "", Doors!O42)</f>
        <v/>
      </c>
      <c r="M31" s="401"/>
    </row>
    <row r="32" spans="2:13" s="812" customFormat="1" ht="18" customHeight="1" x14ac:dyDescent="0.25">
      <c r="B32" s="809">
        <v>23</v>
      </c>
      <c r="C32" s="809" t="str">
        <f>IF(Doors!C43="", "", Doors!C43)</f>
        <v/>
      </c>
      <c r="D32" s="809" t="str">
        <f>IF(Doors!D43="", "", Doors!D43)</f>
        <v/>
      </c>
      <c r="E32" s="809" t="str">
        <f>IF(Doors!E43="", "", Doors!E43)</f>
        <v/>
      </c>
      <c r="F32" s="809" t="str">
        <f>IF(Doors!F43="", "", TEXT(Doors!F43,"#0.0")&amp;" "&amp;Doors!G43)</f>
        <v/>
      </c>
      <c r="G32" s="809" t="str">
        <f>IF(Doors!H43="", "", TEXT(Doors!H43,"#0.0")&amp;" "&amp;Doors!I43)</f>
        <v/>
      </c>
      <c r="H32" s="820">
        <f>IF(Doors!J43="", "", Doors!J43)</f>
        <v>0</v>
      </c>
      <c r="I32" s="809" t="str">
        <f>IF(Doors!K43="", "", Doors!K43)</f>
        <v/>
      </c>
      <c r="J32" s="811" t="str">
        <f>IF(Doors!L43="", "", Doors!L43)</f>
        <v/>
      </c>
      <c r="K32" s="811" t="str">
        <f>IF(Doors!M43="", "", Doors!M43)</f>
        <v/>
      </c>
      <c r="L32" s="809" t="str">
        <f>IF(Doors!O43="", "", Doors!O43)</f>
        <v/>
      </c>
      <c r="M32" s="401"/>
    </row>
    <row r="33" spans="2:13" s="812" customFormat="1" ht="18" customHeight="1" x14ac:dyDescent="0.25">
      <c r="B33" s="809">
        <v>24</v>
      </c>
      <c r="C33" s="809" t="str">
        <f>IF(Doors!C44="", "", Doors!C44)</f>
        <v/>
      </c>
      <c r="D33" s="809" t="str">
        <f>IF(Doors!D44="", "", Doors!D44)</f>
        <v/>
      </c>
      <c r="E33" s="809" t="str">
        <f>IF(Doors!E44="", "", Doors!E44)</f>
        <v/>
      </c>
      <c r="F33" s="809" t="str">
        <f>IF(Doors!F44="", "", TEXT(Doors!F44,"#0.0")&amp;" "&amp;Doors!G44)</f>
        <v/>
      </c>
      <c r="G33" s="809" t="str">
        <f>IF(Doors!H44="", "", TEXT(Doors!H44,"#0.0")&amp;" "&amp;Doors!I44)</f>
        <v/>
      </c>
      <c r="H33" s="820">
        <f>IF(Doors!J44="", "", Doors!J44)</f>
        <v>0</v>
      </c>
      <c r="I33" s="809" t="str">
        <f>IF(Doors!K44="", "", Doors!K44)</f>
        <v/>
      </c>
      <c r="J33" s="811" t="str">
        <f>IF(Doors!L44="", "", Doors!L44)</f>
        <v/>
      </c>
      <c r="K33" s="811" t="str">
        <f>IF(Doors!M44="", "", Doors!M44)</f>
        <v/>
      </c>
      <c r="L33" s="809" t="str">
        <f>IF(Doors!O44="", "", Doors!O44)</f>
        <v/>
      </c>
      <c r="M33" s="401"/>
    </row>
    <row r="34" spans="2:13" s="812" customFormat="1" ht="18" customHeight="1" x14ac:dyDescent="0.25">
      <c r="B34" s="809">
        <v>25</v>
      </c>
      <c r="C34" s="809" t="str">
        <f>IF(Doors!C45="", "", Doors!C45)</f>
        <v/>
      </c>
      <c r="D34" s="809" t="str">
        <f>IF(Doors!D45="", "", Doors!D45)</f>
        <v/>
      </c>
      <c r="E34" s="809" t="str">
        <f>IF(Doors!E45="", "", Doors!E45)</f>
        <v/>
      </c>
      <c r="F34" s="809" t="str">
        <f>IF(Doors!F45="", "", TEXT(Doors!F45,"#0.0")&amp;" "&amp;Doors!G45)</f>
        <v/>
      </c>
      <c r="G34" s="809" t="str">
        <f>IF(Doors!H45="", "", TEXT(Doors!H45,"#0.0")&amp;" "&amp;Doors!I45)</f>
        <v/>
      </c>
      <c r="H34" s="820">
        <f>IF(Doors!J45="", "", Doors!J45)</f>
        <v>0</v>
      </c>
      <c r="I34" s="809" t="str">
        <f>IF(Doors!K45="", "", Doors!K45)</f>
        <v/>
      </c>
      <c r="J34" s="811" t="str">
        <f>IF(Doors!L45="", "", Doors!L45)</f>
        <v/>
      </c>
      <c r="K34" s="811" t="str">
        <f>IF(Doors!M45="", "", Doors!M45)</f>
        <v/>
      </c>
      <c r="L34" s="809" t="str">
        <f>IF(Doors!O45="", "", Doors!O45)</f>
        <v/>
      </c>
      <c r="M34" s="401"/>
    </row>
    <row r="35" spans="2:13" s="812" customFormat="1" ht="18" customHeight="1" x14ac:dyDescent="0.25">
      <c r="B35" s="809">
        <v>26</v>
      </c>
      <c r="C35" s="809" t="str">
        <f>IF(Doors!C46="", "", Doors!C46)</f>
        <v/>
      </c>
      <c r="D35" s="809" t="str">
        <f>IF(Doors!D46="", "", Doors!D46)</f>
        <v/>
      </c>
      <c r="E35" s="809" t="str">
        <f>IF(Doors!E46="", "", Doors!E46)</f>
        <v/>
      </c>
      <c r="F35" s="809" t="str">
        <f>IF(Doors!F46="", "", TEXT(Doors!F46,"#0.0")&amp;" "&amp;Doors!G46)</f>
        <v/>
      </c>
      <c r="G35" s="809" t="str">
        <f>IF(Doors!H46="", "", TEXT(Doors!H46,"#0.0")&amp;" "&amp;Doors!I46)</f>
        <v/>
      </c>
      <c r="H35" s="820">
        <f>IF(Doors!J46="", "", Doors!J46)</f>
        <v>0</v>
      </c>
      <c r="I35" s="809" t="str">
        <f>IF(Doors!K46="", "", Doors!K46)</f>
        <v/>
      </c>
      <c r="J35" s="811" t="str">
        <f>IF(Doors!L46="", "", Doors!L46)</f>
        <v/>
      </c>
      <c r="K35" s="811" t="str">
        <f>IF(Doors!M46="", "", Doors!M46)</f>
        <v/>
      </c>
      <c r="L35" s="809" t="str">
        <f>IF(Doors!O46="", "", Doors!O46)</f>
        <v/>
      </c>
      <c r="M35" s="401"/>
    </row>
    <row r="36" spans="2:13" s="812" customFormat="1" ht="18" customHeight="1" x14ac:dyDescent="0.25">
      <c r="B36" s="809">
        <v>27</v>
      </c>
      <c r="C36" s="809" t="str">
        <f>IF(Doors!C47="", "", Doors!C47)</f>
        <v/>
      </c>
      <c r="D36" s="809" t="str">
        <f>IF(Doors!D47="", "", Doors!D47)</f>
        <v/>
      </c>
      <c r="E36" s="809" t="str">
        <f>IF(Doors!E47="", "", Doors!E47)</f>
        <v/>
      </c>
      <c r="F36" s="809" t="str">
        <f>IF(Doors!F47="", "", TEXT(Doors!F47,"#0.0")&amp;" "&amp;Doors!G47)</f>
        <v/>
      </c>
      <c r="G36" s="809" t="str">
        <f>IF(Doors!H47="", "", TEXT(Doors!H47,"#0.0")&amp;" "&amp;Doors!I47)</f>
        <v/>
      </c>
      <c r="H36" s="820">
        <f>IF(Doors!J47="", "", Doors!J47)</f>
        <v>0</v>
      </c>
      <c r="I36" s="809" t="str">
        <f>IF(Doors!K47="", "", Doors!K47)</f>
        <v/>
      </c>
      <c r="J36" s="811" t="str">
        <f>IF(Doors!L47="", "", Doors!L47)</f>
        <v/>
      </c>
      <c r="K36" s="811" t="str">
        <f>IF(Doors!M47="", "", Doors!M47)</f>
        <v/>
      </c>
      <c r="L36" s="809" t="str">
        <f>IF(Doors!O47="", "", Doors!O47)</f>
        <v/>
      </c>
      <c r="M36" s="401"/>
    </row>
    <row r="37" spans="2:13" s="812" customFormat="1" ht="18" customHeight="1" x14ac:dyDescent="0.25">
      <c r="B37" s="809">
        <v>28</v>
      </c>
      <c r="C37" s="809" t="str">
        <f>IF(Doors!C48="", "", Doors!C48)</f>
        <v/>
      </c>
      <c r="D37" s="809" t="str">
        <f>IF(Doors!D48="", "", Doors!D48)</f>
        <v/>
      </c>
      <c r="E37" s="809" t="str">
        <f>IF(Doors!E48="", "", Doors!E48)</f>
        <v/>
      </c>
      <c r="F37" s="809" t="str">
        <f>IF(Doors!F48="", "", TEXT(Doors!F48,"#0.0")&amp;" "&amp;Doors!G48)</f>
        <v/>
      </c>
      <c r="G37" s="809" t="str">
        <f>IF(Doors!H48="", "", TEXT(Doors!H48,"#0.0")&amp;" "&amp;Doors!I48)</f>
        <v/>
      </c>
      <c r="H37" s="820">
        <f>IF(Doors!J48="", "", Doors!J48)</f>
        <v>0</v>
      </c>
      <c r="I37" s="809" t="str">
        <f>IF(Doors!K48="", "", Doors!K48)</f>
        <v/>
      </c>
      <c r="J37" s="811" t="str">
        <f>IF(Doors!L48="", "", Doors!L48)</f>
        <v/>
      </c>
      <c r="K37" s="811" t="str">
        <f>IF(Doors!M48="", "", Doors!M48)</f>
        <v/>
      </c>
      <c r="L37" s="809" t="str">
        <f>IF(Doors!O48="", "", Doors!O48)</f>
        <v/>
      </c>
      <c r="M37" s="401"/>
    </row>
    <row r="38" spans="2:13" s="812" customFormat="1" ht="18" customHeight="1" x14ac:dyDescent="0.25">
      <c r="B38" s="809">
        <v>29</v>
      </c>
      <c r="C38" s="809" t="str">
        <f>IF(Doors!C49="", "", Doors!C49)</f>
        <v/>
      </c>
      <c r="D38" s="809" t="str">
        <f>IF(Doors!D49="", "", Doors!D49)</f>
        <v/>
      </c>
      <c r="E38" s="809" t="str">
        <f>IF(Doors!E49="", "", Doors!E49)</f>
        <v/>
      </c>
      <c r="F38" s="809" t="str">
        <f>IF(Doors!F49="", "", TEXT(Doors!F49,"#0.0")&amp;" "&amp;Doors!G49)</f>
        <v/>
      </c>
      <c r="G38" s="809" t="str">
        <f>IF(Doors!H49="", "", TEXT(Doors!H49,"#0.0")&amp;" "&amp;Doors!I49)</f>
        <v/>
      </c>
      <c r="H38" s="820">
        <f>IF(Doors!J49="", "", Doors!J49)</f>
        <v>0</v>
      </c>
      <c r="I38" s="809" t="str">
        <f>IF(Doors!K49="", "", Doors!K49)</f>
        <v/>
      </c>
      <c r="J38" s="811" t="str">
        <f>IF(Doors!L49="", "", Doors!L49)</f>
        <v/>
      </c>
      <c r="K38" s="811" t="str">
        <f>IF(Doors!M49="", "", Doors!M49)</f>
        <v/>
      </c>
      <c r="L38" s="809" t="str">
        <f>IF(Doors!O49="", "", Doors!O49)</f>
        <v/>
      </c>
      <c r="M38" s="401"/>
    </row>
    <row r="39" spans="2:13" s="812" customFormat="1" ht="18" customHeight="1" x14ac:dyDescent="0.25">
      <c r="B39" s="809">
        <v>30</v>
      </c>
      <c r="C39" s="809" t="str">
        <f>IF(Doors!C50="", "", Doors!C50)</f>
        <v/>
      </c>
      <c r="D39" s="809" t="str">
        <f>IF(Doors!D50="", "", Doors!D50)</f>
        <v/>
      </c>
      <c r="E39" s="809" t="str">
        <f>IF(Doors!E50="", "", Doors!E50)</f>
        <v/>
      </c>
      <c r="F39" s="809" t="str">
        <f>IF(Doors!F50="", "", TEXT(Doors!F50,"#0.0")&amp;" "&amp;Doors!G50)</f>
        <v/>
      </c>
      <c r="G39" s="809" t="str">
        <f>IF(Doors!H50="", "", TEXT(Doors!H50,"#0.0")&amp;" "&amp;Doors!I50)</f>
        <v/>
      </c>
      <c r="H39" s="820">
        <f>IF(Doors!J50="", "", Doors!J50)</f>
        <v>0</v>
      </c>
      <c r="I39" s="809" t="str">
        <f>IF(Doors!K50="", "", Doors!K50)</f>
        <v/>
      </c>
      <c r="J39" s="811" t="str">
        <f>IF(Doors!L50="", "", Doors!L50)</f>
        <v/>
      </c>
      <c r="K39" s="811" t="str">
        <f>IF(Doors!M50="", "", Doors!M50)</f>
        <v/>
      </c>
      <c r="L39" s="809" t="str">
        <f>IF(Doors!O50="", "", Doors!O50)</f>
        <v/>
      </c>
      <c r="M39" s="401"/>
    </row>
    <row r="40" spans="2:13" s="812" customFormat="1" ht="18" customHeight="1" x14ac:dyDescent="0.25">
      <c r="B40" s="809">
        <v>31</v>
      </c>
      <c r="C40" s="809" t="str">
        <f>IF(Doors!C51="", "", Doors!C51)</f>
        <v/>
      </c>
      <c r="D40" s="809" t="str">
        <f>IF(Doors!D51="", "", Doors!D51)</f>
        <v/>
      </c>
      <c r="E40" s="809" t="str">
        <f>IF(Doors!E51="", "", Doors!E51)</f>
        <v/>
      </c>
      <c r="F40" s="809" t="str">
        <f>IF(Doors!F51="", "", TEXT(Doors!F51,"#0.0")&amp;" "&amp;Doors!G51)</f>
        <v/>
      </c>
      <c r="G40" s="809" t="str">
        <f>IF(Doors!H51="", "", TEXT(Doors!H51,"#0.0")&amp;" "&amp;Doors!I51)</f>
        <v/>
      </c>
      <c r="H40" s="820">
        <f>IF(Doors!J51="", "", Doors!J51)</f>
        <v>0</v>
      </c>
      <c r="I40" s="809" t="str">
        <f>IF(Doors!K51="", "", Doors!K51)</f>
        <v/>
      </c>
      <c r="J40" s="811" t="str">
        <f>IF(Doors!L51="", "", Doors!L51)</f>
        <v/>
      </c>
      <c r="K40" s="811" t="str">
        <f>IF(Doors!M51="", "", Doors!M51)</f>
        <v/>
      </c>
      <c r="L40" s="809" t="str">
        <f>IF(Doors!O51="", "", Doors!O51)</f>
        <v/>
      </c>
      <c r="M40" s="401"/>
    </row>
    <row r="41" spans="2:13" s="812" customFormat="1" ht="18" customHeight="1" x14ac:dyDescent="0.25">
      <c r="B41" s="809">
        <v>32</v>
      </c>
      <c r="C41" s="809" t="str">
        <f>IF(Doors!C52="", "", Doors!C52)</f>
        <v/>
      </c>
      <c r="D41" s="809" t="str">
        <f>IF(Doors!D52="", "", Doors!D52)</f>
        <v/>
      </c>
      <c r="E41" s="809" t="str">
        <f>IF(Doors!E52="", "", Doors!E52)</f>
        <v/>
      </c>
      <c r="F41" s="809" t="str">
        <f>IF(Doors!F52="", "", TEXT(Doors!F52,"#0.0")&amp;" "&amp;Doors!G52)</f>
        <v/>
      </c>
      <c r="G41" s="809" t="str">
        <f>IF(Doors!H52="", "", TEXT(Doors!H52,"#0.0")&amp;" "&amp;Doors!I52)</f>
        <v/>
      </c>
      <c r="H41" s="820">
        <f>IF(Doors!J52="", "", Doors!J52)</f>
        <v>0</v>
      </c>
      <c r="I41" s="809" t="str">
        <f>IF(Doors!K52="", "", Doors!K52)</f>
        <v/>
      </c>
      <c r="J41" s="811" t="str">
        <f>IF(Doors!L52="", "", Doors!L52)</f>
        <v/>
      </c>
      <c r="K41" s="811" t="str">
        <f>IF(Doors!M52="", "", Doors!M52)</f>
        <v/>
      </c>
      <c r="L41" s="809" t="str">
        <f>IF(Doors!O52="", "", Doors!O52)</f>
        <v/>
      </c>
      <c r="M41" s="401"/>
    </row>
    <row r="42" spans="2:13" s="812" customFormat="1" ht="18" customHeight="1" x14ac:dyDescent="0.25">
      <c r="B42" s="809">
        <v>33</v>
      </c>
      <c r="C42" s="809" t="str">
        <f>IF(Doors!C53="", "", Doors!C53)</f>
        <v/>
      </c>
      <c r="D42" s="809" t="str">
        <f>IF(Doors!D53="", "", Doors!D53)</f>
        <v/>
      </c>
      <c r="E42" s="809" t="str">
        <f>IF(Doors!E53="", "", Doors!E53)</f>
        <v/>
      </c>
      <c r="F42" s="809" t="str">
        <f>IF(Doors!F53="", "", TEXT(Doors!F53,"#0.0")&amp;" "&amp;Doors!G53)</f>
        <v/>
      </c>
      <c r="G42" s="809" t="str">
        <f>IF(Doors!H53="", "", TEXT(Doors!H53,"#0.0")&amp;" "&amp;Doors!I53)</f>
        <v/>
      </c>
      <c r="H42" s="820">
        <f>IF(Doors!J53="", "", Doors!J53)</f>
        <v>0</v>
      </c>
      <c r="I42" s="809" t="str">
        <f>IF(Doors!K53="", "", Doors!K53)</f>
        <v/>
      </c>
      <c r="J42" s="811" t="str">
        <f>IF(Doors!L53="", "", Doors!L53)</f>
        <v/>
      </c>
      <c r="K42" s="811" t="str">
        <f>IF(Doors!M53="", "", Doors!M53)</f>
        <v/>
      </c>
      <c r="L42" s="809" t="str">
        <f>IF(Doors!O53="", "", Doors!O53)</f>
        <v/>
      </c>
      <c r="M42" s="401"/>
    </row>
    <row r="43" spans="2:13" s="812" customFormat="1" ht="18" customHeight="1" x14ac:dyDescent="0.25">
      <c r="B43" s="809">
        <v>34</v>
      </c>
      <c r="C43" s="809" t="str">
        <f>IF(Doors!C54="", "", Doors!C54)</f>
        <v/>
      </c>
      <c r="D43" s="809" t="str">
        <f>IF(Doors!D54="", "", Doors!D54)</f>
        <v/>
      </c>
      <c r="E43" s="809" t="str">
        <f>IF(Doors!E54="", "", Doors!E54)</f>
        <v/>
      </c>
      <c r="F43" s="809" t="str">
        <f>IF(Doors!F54="", "", TEXT(Doors!F54,"#0.0")&amp;" "&amp;Doors!G54)</f>
        <v/>
      </c>
      <c r="G43" s="809" t="str">
        <f>IF(Doors!H54="", "", TEXT(Doors!H54,"#0.0")&amp;" "&amp;Doors!I54)</f>
        <v/>
      </c>
      <c r="H43" s="820">
        <f>IF(Doors!J54="", "", Doors!J54)</f>
        <v>0</v>
      </c>
      <c r="I43" s="809" t="str">
        <f>IF(Doors!K54="", "", Doors!K54)</f>
        <v/>
      </c>
      <c r="J43" s="811" t="str">
        <f>IF(Doors!L54="", "", Doors!L54)</f>
        <v/>
      </c>
      <c r="K43" s="811" t="str">
        <f>IF(Doors!M54="", "", Doors!M54)</f>
        <v/>
      </c>
      <c r="L43" s="809" t="str">
        <f>IF(Doors!O54="", "", Doors!O54)</f>
        <v/>
      </c>
      <c r="M43" s="401"/>
    </row>
    <row r="44" spans="2:13" s="812" customFormat="1" ht="18" customHeight="1" x14ac:dyDescent="0.25">
      <c r="B44" s="809">
        <v>35</v>
      </c>
      <c r="C44" s="809" t="str">
        <f>IF(Doors!C55="", "", Doors!C55)</f>
        <v/>
      </c>
      <c r="D44" s="809" t="str">
        <f>IF(Doors!D55="", "", Doors!D55)</f>
        <v/>
      </c>
      <c r="E44" s="809" t="str">
        <f>IF(Doors!E55="", "", Doors!E55)</f>
        <v/>
      </c>
      <c r="F44" s="809" t="str">
        <f>IF(Doors!F55="", "", TEXT(Doors!F55,"#0.0")&amp;" "&amp;Doors!G55)</f>
        <v/>
      </c>
      <c r="G44" s="809" t="str">
        <f>IF(Doors!H55="", "", TEXT(Doors!H55,"#0.0")&amp;" "&amp;Doors!I55)</f>
        <v/>
      </c>
      <c r="H44" s="820">
        <f>IF(Doors!J55="", "", Doors!J55)</f>
        <v>0</v>
      </c>
      <c r="I44" s="809" t="str">
        <f>IF(Doors!K55="", "", Doors!K55)</f>
        <v/>
      </c>
      <c r="J44" s="811" t="str">
        <f>IF(Doors!L55="", "", Doors!L55)</f>
        <v/>
      </c>
      <c r="K44" s="811" t="str">
        <f>IF(Doors!M55="", "", Doors!M55)</f>
        <v/>
      </c>
      <c r="L44" s="809" t="str">
        <f>IF(Doors!O55="", "", Doors!O55)</f>
        <v/>
      </c>
      <c r="M44" s="401"/>
    </row>
    <row r="45" spans="2:13" s="812" customFormat="1" ht="18" customHeight="1" x14ac:dyDescent="0.25">
      <c r="B45" s="809">
        <v>36</v>
      </c>
      <c r="C45" s="809" t="str">
        <f>IF(Doors!C56="", "", Doors!C56)</f>
        <v/>
      </c>
      <c r="D45" s="809" t="str">
        <f>IF(Doors!D56="", "", Doors!D56)</f>
        <v/>
      </c>
      <c r="E45" s="809" t="str">
        <f>IF(Doors!E56="", "", Doors!E56)</f>
        <v/>
      </c>
      <c r="F45" s="809" t="str">
        <f>IF(Doors!F56="", "", TEXT(Doors!F56,"#0.0")&amp;" "&amp;Doors!G56)</f>
        <v/>
      </c>
      <c r="G45" s="809" t="str">
        <f>IF(Doors!H56="", "", TEXT(Doors!H56,"#0.0")&amp;" "&amp;Doors!I56)</f>
        <v/>
      </c>
      <c r="H45" s="820">
        <f>IF(Doors!J56="", "", Doors!J56)</f>
        <v>0</v>
      </c>
      <c r="I45" s="809" t="str">
        <f>IF(Doors!K56="", "", Doors!K56)</f>
        <v/>
      </c>
      <c r="J45" s="811" t="str">
        <f>IF(Doors!L56="", "", Doors!L56)</f>
        <v/>
      </c>
      <c r="K45" s="811" t="str">
        <f>IF(Doors!M56="", "", Doors!M56)</f>
        <v/>
      </c>
      <c r="L45" s="809" t="str">
        <f>IF(Doors!O56="", "", Doors!O56)</f>
        <v/>
      </c>
      <c r="M45" s="401"/>
    </row>
    <row r="46" spans="2:13" s="812" customFormat="1" ht="18" customHeight="1" x14ac:dyDescent="0.25">
      <c r="B46" s="809">
        <v>37</v>
      </c>
      <c r="C46" s="809" t="str">
        <f>IF(Doors!C57="", "", Doors!C57)</f>
        <v/>
      </c>
      <c r="D46" s="809" t="str">
        <f>IF(Doors!D57="", "", Doors!D57)</f>
        <v/>
      </c>
      <c r="E46" s="809" t="str">
        <f>IF(Doors!E57="", "", Doors!E57)</f>
        <v/>
      </c>
      <c r="F46" s="809" t="str">
        <f>IF(Doors!F57="", "", TEXT(Doors!F57,"#0.0")&amp;" "&amp;Doors!G57)</f>
        <v/>
      </c>
      <c r="G46" s="809" t="str">
        <f>IF(Doors!H57="", "", TEXT(Doors!H57,"#0.0")&amp;" "&amp;Doors!I57)</f>
        <v/>
      </c>
      <c r="H46" s="820">
        <f>IF(Doors!J57="", "", Doors!J57)</f>
        <v>0</v>
      </c>
      <c r="I46" s="809" t="str">
        <f>IF(Doors!K57="", "", Doors!K57)</f>
        <v/>
      </c>
      <c r="J46" s="811" t="str">
        <f>IF(Doors!L57="", "", Doors!L57)</f>
        <v/>
      </c>
      <c r="K46" s="811" t="str">
        <f>IF(Doors!M57="", "", Doors!M57)</f>
        <v/>
      </c>
      <c r="L46" s="809" t="str">
        <f>IF(Doors!O57="", "", Doors!O57)</f>
        <v/>
      </c>
      <c r="M46" s="401"/>
    </row>
    <row r="47" spans="2:13" s="812" customFormat="1" ht="18" customHeight="1" x14ac:dyDescent="0.25">
      <c r="B47" s="809">
        <v>38</v>
      </c>
      <c r="C47" s="809" t="str">
        <f>IF(Doors!C58="", "", Doors!C58)</f>
        <v/>
      </c>
      <c r="D47" s="809" t="str">
        <f>IF(Doors!D58="", "", Doors!D58)</f>
        <v/>
      </c>
      <c r="E47" s="809" t="str">
        <f>IF(Doors!E58="", "", Doors!E58)</f>
        <v/>
      </c>
      <c r="F47" s="809" t="str">
        <f>IF(Doors!F58="", "", TEXT(Doors!F58,"#0.0")&amp;" "&amp;Doors!G58)</f>
        <v/>
      </c>
      <c r="G47" s="809" t="str">
        <f>IF(Doors!H58="", "", TEXT(Doors!H58,"#0.0")&amp;" "&amp;Doors!I58)</f>
        <v/>
      </c>
      <c r="H47" s="820">
        <f>IF(Doors!J58="", "", Doors!J58)</f>
        <v>0</v>
      </c>
      <c r="I47" s="809" t="str">
        <f>IF(Doors!K58="", "", Doors!K58)</f>
        <v/>
      </c>
      <c r="J47" s="811" t="str">
        <f>IF(Doors!L58="", "", Doors!L58)</f>
        <v/>
      </c>
      <c r="K47" s="811" t="str">
        <f>IF(Doors!M58="", "", Doors!M58)</f>
        <v/>
      </c>
      <c r="L47" s="809" t="str">
        <f>IF(Doors!O58="", "", Doors!O58)</f>
        <v/>
      </c>
      <c r="M47" s="401"/>
    </row>
    <row r="48" spans="2:13" s="812" customFormat="1" ht="18" customHeight="1" x14ac:dyDescent="0.25">
      <c r="B48" s="809">
        <v>39</v>
      </c>
      <c r="C48" s="809" t="str">
        <f>IF(Doors!C59="", "", Doors!C59)</f>
        <v/>
      </c>
      <c r="D48" s="809" t="str">
        <f>IF(Doors!D59="", "", Doors!D59)</f>
        <v/>
      </c>
      <c r="E48" s="809" t="str">
        <f>IF(Doors!E59="", "", Doors!E59)</f>
        <v/>
      </c>
      <c r="F48" s="809" t="str">
        <f>IF(Doors!F59="", "", TEXT(Doors!F59,"#0.0")&amp;" "&amp;Doors!G59)</f>
        <v/>
      </c>
      <c r="G48" s="809" t="str">
        <f>IF(Doors!H59="", "", TEXT(Doors!H59,"#0.0")&amp;" "&amp;Doors!I59)</f>
        <v/>
      </c>
      <c r="H48" s="820">
        <f>IF(Doors!J59="", "", Doors!J59)</f>
        <v>0</v>
      </c>
      <c r="I48" s="809" t="str">
        <f>IF(Doors!K59="", "", Doors!K59)</f>
        <v/>
      </c>
      <c r="J48" s="811" t="str">
        <f>IF(Doors!L59="", "", Doors!L59)</f>
        <v/>
      </c>
      <c r="K48" s="811" t="str">
        <f>IF(Doors!M59="", "", Doors!M59)</f>
        <v/>
      </c>
      <c r="L48" s="809" t="str">
        <f>IF(Doors!O59="", "", Doors!O59)</f>
        <v/>
      </c>
      <c r="M48" s="401"/>
    </row>
    <row r="49" spans="2:13" s="812" customFormat="1" ht="18" customHeight="1" x14ac:dyDescent="0.25">
      <c r="B49" s="809">
        <v>40</v>
      </c>
      <c r="C49" s="809" t="str">
        <f>IF(Doors!C60="", "", Doors!C60)</f>
        <v/>
      </c>
      <c r="D49" s="809" t="str">
        <f>IF(Doors!D60="", "", Doors!D60)</f>
        <v/>
      </c>
      <c r="E49" s="809" t="str">
        <f>IF(Doors!E60="", "", Doors!E60)</f>
        <v/>
      </c>
      <c r="F49" s="809" t="str">
        <f>IF(Doors!F60="", "", TEXT(Doors!F60,"#0.0")&amp;" "&amp;Doors!G60)</f>
        <v/>
      </c>
      <c r="G49" s="809" t="str">
        <f>IF(Doors!H60="", "", TEXT(Doors!H60,"#0.0")&amp;" "&amp;Doors!I60)</f>
        <v/>
      </c>
      <c r="H49" s="820">
        <f>IF(Doors!J60="", "", Doors!J60)</f>
        <v>0</v>
      </c>
      <c r="I49" s="809" t="str">
        <f>IF(Doors!K60="", "", Doors!K60)</f>
        <v/>
      </c>
      <c r="J49" s="811" t="str">
        <f>IF(Doors!L60="", "", Doors!L60)</f>
        <v/>
      </c>
      <c r="K49" s="811" t="str">
        <f>IF(Doors!M60="", "", Doors!M60)</f>
        <v/>
      </c>
      <c r="L49" s="809" t="str">
        <f>IF(Doors!O60="", "", Doors!O60)</f>
        <v/>
      </c>
      <c r="M49" s="401"/>
    </row>
    <row r="50" spans="2:13" s="812" customFormat="1" ht="18" customHeight="1" x14ac:dyDescent="0.25">
      <c r="B50" s="809">
        <v>41</v>
      </c>
      <c r="C50" s="809" t="str">
        <f>IF(Doors!C61="", "", Doors!C61)</f>
        <v/>
      </c>
      <c r="D50" s="809" t="str">
        <f>IF(Doors!D61="", "", Doors!D61)</f>
        <v/>
      </c>
      <c r="E50" s="809" t="str">
        <f>IF(Doors!E61="", "", Doors!E61)</f>
        <v/>
      </c>
      <c r="F50" s="809" t="str">
        <f>IF(Doors!F61="", "", TEXT(Doors!F61,"#0.0")&amp;" "&amp;Doors!G61)</f>
        <v/>
      </c>
      <c r="G50" s="809" t="str">
        <f>IF(Doors!H61="", "", TEXT(Doors!H61,"#0.0")&amp;" "&amp;Doors!I61)</f>
        <v/>
      </c>
      <c r="H50" s="820">
        <f>IF(Doors!J61="", "", Doors!J61)</f>
        <v>0</v>
      </c>
      <c r="I50" s="809" t="str">
        <f>IF(Doors!K61="", "", Doors!K61)</f>
        <v/>
      </c>
      <c r="J50" s="811" t="str">
        <f>IF(Doors!L61="", "", Doors!L61)</f>
        <v/>
      </c>
      <c r="K50" s="811" t="str">
        <f>IF(Doors!M61="", "", Doors!M61)</f>
        <v/>
      </c>
      <c r="L50" s="809" t="str">
        <f>IF(Doors!O61="", "", Doors!O61)</f>
        <v/>
      </c>
      <c r="M50" s="401"/>
    </row>
    <row r="51" spans="2:13" s="812" customFormat="1" ht="18" customHeight="1" x14ac:dyDescent="0.25">
      <c r="B51" s="809">
        <v>42</v>
      </c>
      <c r="C51" s="809" t="str">
        <f>IF(Doors!C62="", "", Doors!C62)</f>
        <v/>
      </c>
      <c r="D51" s="809" t="str">
        <f>IF(Doors!D62="", "", Doors!D62)</f>
        <v/>
      </c>
      <c r="E51" s="809" t="str">
        <f>IF(Doors!E62="", "", Doors!E62)</f>
        <v/>
      </c>
      <c r="F51" s="809" t="str">
        <f>IF(Doors!F62="", "", TEXT(Doors!F62,"#0.0")&amp;" "&amp;Doors!G62)</f>
        <v/>
      </c>
      <c r="G51" s="809" t="str">
        <f>IF(Doors!H62="", "", TEXT(Doors!H62,"#0.0")&amp;" "&amp;Doors!I62)</f>
        <v/>
      </c>
      <c r="H51" s="820">
        <f>IF(Doors!J62="", "", Doors!J62)</f>
        <v>0</v>
      </c>
      <c r="I51" s="809" t="str">
        <f>IF(Doors!K62="", "", Doors!K62)</f>
        <v/>
      </c>
      <c r="J51" s="811" t="str">
        <f>IF(Doors!L62="", "", Doors!L62)</f>
        <v/>
      </c>
      <c r="K51" s="811" t="str">
        <f>IF(Doors!M62="", "", Doors!M62)</f>
        <v/>
      </c>
      <c r="L51" s="809" t="str">
        <f>IF(Doors!O62="", "", Doors!O62)</f>
        <v/>
      </c>
      <c r="M51" s="401"/>
    </row>
    <row r="52" spans="2:13" s="812" customFormat="1" ht="18" customHeight="1" x14ac:dyDescent="0.25">
      <c r="B52" s="809">
        <v>43</v>
      </c>
      <c r="C52" s="809" t="str">
        <f>IF(Doors!C63="", "", Doors!C63)</f>
        <v/>
      </c>
      <c r="D52" s="809" t="str">
        <f>IF(Doors!D63="", "", Doors!D63)</f>
        <v/>
      </c>
      <c r="E52" s="809" t="str">
        <f>IF(Doors!E63="", "", Doors!E63)</f>
        <v/>
      </c>
      <c r="F52" s="809" t="str">
        <f>IF(Doors!F63="", "", TEXT(Doors!F63,"#0.0")&amp;" "&amp;Doors!G63)</f>
        <v/>
      </c>
      <c r="G52" s="809" t="str">
        <f>IF(Doors!H63="", "", TEXT(Doors!H63,"#0.0")&amp;" "&amp;Doors!I63)</f>
        <v/>
      </c>
      <c r="H52" s="820">
        <f>IF(Doors!J63="", "", Doors!J63)</f>
        <v>0</v>
      </c>
      <c r="I52" s="809" t="str">
        <f>IF(Doors!K63="", "", Doors!K63)</f>
        <v/>
      </c>
      <c r="J52" s="811" t="str">
        <f>IF(Doors!L63="", "", Doors!L63)</f>
        <v/>
      </c>
      <c r="K52" s="811" t="str">
        <f>IF(Doors!M63="", "", Doors!M63)</f>
        <v/>
      </c>
      <c r="L52" s="809" t="str">
        <f>IF(Doors!O63="", "", Doors!O63)</f>
        <v/>
      </c>
      <c r="M52" s="401"/>
    </row>
    <row r="53" spans="2:13" s="812" customFormat="1" ht="18" customHeight="1" x14ac:dyDescent="0.25">
      <c r="B53" s="809">
        <v>44</v>
      </c>
      <c r="C53" s="809" t="str">
        <f>IF(Doors!C64="", "", Doors!C64)</f>
        <v/>
      </c>
      <c r="D53" s="809" t="str">
        <f>IF(Doors!D64="", "", Doors!D64)</f>
        <v/>
      </c>
      <c r="E53" s="809" t="str">
        <f>IF(Doors!E64="", "", Doors!E64)</f>
        <v/>
      </c>
      <c r="F53" s="809" t="str">
        <f>IF(Doors!F64="", "", TEXT(Doors!F64,"#0.0")&amp;" "&amp;Doors!G64)</f>
        <v/>
      </c>
      <c r="G53" s="809" t="str">
        <f>IF(Doors!H64="", "", TEXT(Doors!H64,"#0.0")&amp;" "&amp;Doors!I64)</f>
        <v/>
      </c>
      <c r="H53" s="820">
        <f>IF(Doors!J64="", "", Doors!J64)</f>
        <v>0</v>
      </c>
      <c r="I53" s="809" t="str">
        <f>IF(Doors!K64="", "", Doors!K64)</f>
        <v/>
      </c>
      <c r="J53" s="811" t="str">
        <f>IF(Doors!L64="", "", Doors!L64)</f>
        <v/>
      </c>
      <c r="K53" s="811" t="str">
        <f>IF(Doors!M64="", "", Doors!M64)</f>
        <v/>
      </c>
      <c r="L53" s="809" t="str">
        <f>IF(Doors!O64="", "", Doors!O64)</f>
        <v/>
      </c>
      <c r="M53" s="401"/>
    </row>
    <row r="54" spans="2:13" s="812" customFormat="1" ht="18" customHeight="1" x14ac:dyDescent="0.25">
      <c r="B54" s="809">
        <v>45</v>
      </c>
      <c r="C54" s="809" t="str">
        <f>IF(Doors!C65="", "", Doors!C65)</f>
        <v/>
      </c>
      <c r="D54" s="809" t="str">
        <f>IF(Doors!D65="", "", Doors!D65)</f>
        <v/>
      </c>
      <c r="E54" s="809" t="str">
        <f>IF(Doors!E65="", "", Doors!E65)</f>
        <v/>
      </c>
      <c r="F54" s="809" t="str">
        <f>IF(Doors!F65="", "", TEXT(Doors!F65,"#0.0")&amp;" "&amp;Doors!G65)</f>
        <v/>
      </c>
      <c r="G54" s="809" t="str">
        <f>IF(Doors!H65="", "", TEXT(Doors!H65,"#0.0")&amp;" "&amp;Doors!I65)</f>
        <v/>
      </c>
      <c r="H54" s="820">
        <f>IF(Doors!J65="", "", Doors!J65)</f>
        <v>0</v>
      </c>
      <c r="I54" s="809" t="str">
        <f>IF(Doors!K65="", "", Doors!K65)</f>
        <v/>
      </c>
      <c r="J54" s="811" t="str">
        <f>IF(Doors!L65="", "", Doors!L65)</f>
        <v/>
      </c>
      <c r="K54" s="811" t="str">
        <f>IF(Doors!M65="", "", Doors!M65)</f>
        <v/>
      </c>
      <c r="L54" s="809" t="str">
        <f>IF(Doors!O65="", "", Doors!O65)</f>
        <v/>
      </c>
      <c r="M54" s="401"/>
    </row>
    <row r="55" spans="2:13" s="812" customFormat="1" ht="18" customHeight="1" x14ac:dyDescent="0.25">
      <c r="B55" s="809">
        <v>46</v>
      </c>
      <c r="C55" s="809" t="str">
        <f>IF(Doors!C66="", "", Doors!C66)</f>
        <v/>
      </c>
      <c r="D55" s="809" t="str">
        <f>IF(Doors!D66="", "", Doors!D66)</f>
        <v/>
      </c>
      <c r="E55" s="809" t="str">
        <f>IF(Doors!E66="", "", Doors!E66)</f>
        <v/>
      </c>
      <c r="F55" s="809" t="str">
        <f>IF(Doors!F66="", "", TEXT(Doors!F66,"#0.0")&amp;" "&amp;Doors!G66)</f>
        <v/>
      </c>
      <c r="G55" s="809" t="str">
        <f>IF(Doors!H66="", "", TEXT(Doors!H66,"#0.0")&amp;" "&amp;Doors!I66)</f>
        <v/>
      </c>
      <c r="H55" s="820">
        <f>IF(Doors!J66="", "", Doors!J66)</f>
        <v>0</v>
      </c>
      <c r="I55" s="809" t="str">
        <f>IF(Doors!K66="", "", Doors!K66)</f>
        <v/>
      </c>
      <c r="J55" s="811" t="str">
        <f>IF(Doors!L66="", "", Doors!L66)</f>
        <v/>
      </c>
      <c r="K55" s="811" t="str">
        <f>IF(Doors!M66="", "", Doors!M66)</f>
        <v/>
      </c>
      <c r="L55" s="809" t="str">
        <f>IF(Doors!O66="", "", Doors!O66)</f>
        <v/>
      </c>
      <c r="M55" s="401"/>
    </row>
    <row r="56" spans="2:13" s="812" customFormat="1" ht="18" customHeight="1" x14ac:dyDescent="0.25">
      <c r="B56" s="809">
        <v>47</v>
      </c>
      <c r="C56" s="809" t="str">
        <f>IF(Doors!C67="", "", Doors!C67)</f>
        <v/>
      </c>
      <c r="D56" s="809" t="str">
        <f>IF(Doors!D67="", "", Doors!D67)</f>
        <v/>
      </c>
      <c r="E56" s="809" t="str">
        <f>IF(Doors!E67="", "", Doors!E67)</f>
        <v/>
      </c>
      <c r="F56" s="809" t="str">
        <f>IF(Doors!F67="", "", TEXT(Doors!F67,"#0.0")&amp;" "&amp;Doors!G67)</f>
        <v/>
      </c>
      <c r="G56" s="809" t="str">
        <f>IF(Doors!H67="", "", TEXT(Doors!H67,"#0.0")&amp;" "&amp;Doors!I67)</f>
        <v/>
      </c>
      <c r="H56" s="820">
        <f>IF(Doors!J67="", "", Doors!J67)</f>
        <v>0</v>
      </c>
      <c r="I56" s="809" t="str">
        <f>IF(Doors!K67="", "", Doors!K67)</f>
        <v/>
      </c>
      <c r="J56" s="811" t="str">
        <f>IF(Doors!L67="", "", Doors!L67)</f>
        <v/>
      </c>
      <c r="K56" s="811" t="str">
        <f>IF(Doors!M67="", "", Doors!M67)</f>
        <v/>
      </c>
      <c r="L56" s="809" t="str">
        <f>IF(Doors!O67="", "", Doors!O67)</f>
        <v/>
      </c>
      <c r="M56" s="401"/>
    </row>
    <row r="57" spans="2:13" s="812" customFormat="1" ht="18" customHeight="1" x14ac:dyDescent="0.25">
      <c r="B57" s="809">
        <v>48</v>
      </c>
      <c r="C57" s="809" t="str">
        <f>IF(Doors!C68="", "", Doors!C68)</f>
        <v/>
      </c>
      <c r="D57" s="809" t="str">
        <f>IF(Doors!D68="", "", Doors!D68)</f>
        <v/>
      </c>
      <c r="E57" s="809" t="str">
        <f>IF(Doors!E68="", "", Doors!E68)</f>
        <v/>
      </c>
      <c r="F57" s="809" t="str">
        <f>IF(Doors!F68="", "", TEXT(Doors!F68,"#0.0")&amp;" "&amp;Doors!G68)</f>
        <v/>
      </c>
      <c r="G57" s="809" t="str">
        <f>IF(Doors!H68="", "", TEXT(Doors!H68,"#0.0")&amp;" "&amp;Doors!I68)</f>
        <v/>
      </c>
      <c r="H57" s="820">
        <f>IF(Doors!J68="", "", Doors!J68)</f>
        <v>0</v>
      </c>
      <c r="I57" s="809" t="str">
        <f>IF(Doors!K68="", "", Doors!K68)</f>
        <v/>
      </c>
      <c r="J57" s="811" t="str">
        <f>IF(Doors!L68="", "", Doors!L68)</f>
        <v/>
      </c>
      <c r="K57" s="811" t="str">
        <f>IF(Doors!M68="", "", Doors!M68)</f>
        <v/>
      </c>
      <c r="L57" s="809" t="str">
        <f>IF(Doors!O68="", "", Doors!O68)</f>
        <v/>
      </c>
      <c r="M57" s="401"/>
    </row>
    <row r="58" spans="2:13" s="812" customFormat="1" ht="18" customHeight="1" x14ac:dyDescent="0.25">
      <c r="B58" s="809">
        <v>49</v>
      </c>
      <c r="C58" s="809" t="str">
        <f>IF(Doors!C69="", "", Doors!C69)</f>
        <v/>
      </c>
      <c r="D58" s="809" t="str">
        <f>IF(Doors!D69="", "", Doors!D69)</f>
        <v/>
      </c>
      <c r="E58" s="809" t="str">
        <f>IF(Doors!E69="", "", Doors!E69)</f>
        <v/>
      </c>
      <c r="F58" s="809" t="str">
        <f>IF(Doors!F69="", "", TEXT(Doors!F69,"#0.0")&amp;" "&amp;Doors!G69)</f>
        <v/>
      </c>
      <c r="G58" s="809" t="str">
        <f>IF(Doors!H69="", "", TEXT(Doors!H69,"#0.0")&amp;" "&amp;Doors!I69)</f>
        <v/>
      </c>
      <c r="H58" s="820">
        <f>IF(Doors!J69="", "", Doors!J69)</f>
        <v>0</v>
      </c>
      <c r="I58" s="809" t="str">
        <f>IF(Doors!K69="", "", Doors!K69)</f>
        <v/>
      </c>
      <c r="J58" s="811" t="str">
        <f>IF(Doors!L69="", "", Doors!L69)</f>
        <v/>
      </c>
      <c r="K58" s="811" t="str">
        <f>IF(Doors!M69="", "", Doors!M69)</f>
        <v/>
      </c>
      <c r="L58" s="809" t="str">
        <f>IF(Doors!O69="", "", Doors!O69)</f>
        <v/>
      </c>
      <c r="M58" s="401"/>
    </row>
    <row r="59" spans="2:13" s="812" customFormat="1" ht="18.75" customHeight="1" x14ac:dyDescent="0.25">
      <c r="B59" s="809">
        <v>50</v>
      </c>
      <c r="C59" s="809" t="str">
        <f>IF(Doors!C70="", "", Doors!C70)</f>
        <v/>
      </c>
      <c r="D59" s="809" t="str">
        <f>IF(Doors!D70="", "", Doors!D70)</f>
        <v/>
      </c>
      <c r="E59" s="809" t="str">
        <f>IF(Doors!E70="", "", Doors!E70)</f>
        <v/>
      </c>
      <c r="F59" s="809" t="str">
        <f>IF(Doors!F70="", "", TEXT(Doors!F70,"#0.0")&amp;" "&amp;Doors!G70)</f>
        <v/>
      </c>
      <c r="G59" s="809" t="str">
        <f>IF(Doors!H70="", "", TEXT(Doors!H70,"#0.0")&amp;" "&amp;Doors!I70)</f>
        <v/>
      </c>
      <c r="H59" s="820">
        <f>IF(Doors!J70="", "", Doors!J70)</f>
        <v>0</v>
      </c>
      <c r="I59" s="809" t="str">
        <f>IF(Doors!K70="", "", Doors!K70)</f>
        <v/>
      </c>
      <c r="J59" s="811" t="str">
        <f>IF(Doors!L70="", "", Doors!L70)</f>
        <v/>
      </c>
      <c r="K59" s="811" t="str">
        <f>IF(Doors!M70="", "", Doors!M70)</f>
        <v/>
      </c>
      <c r="L59" s="809" t="str">
        <f>IF(Doors!O70="", "", Doors!O70)</f>
        <v/>
      </c>
      <c r="M59" s="401"/>
    </row>
    <row r="60" spans="2:13" s="814" customFormat="1" ht="18.75" customHeight="1" x14ac:dyDescent="0.2">
      <c r="B60" s="813"/>
      <c r="C60" s="813"/>
      <c r="D60" s="813"/>
      <c r="E60" s="813"/>
      <c r="F60" s="813"/>
      <c r="G60" s="813"/>
      <c r="H60" s="813"/>
      <c r="I60" s="813"/>
      <c r="J60" s="813"/>
      <c r="K60" s="813"/>
      <c r="L60" s="813"/>
      <c r="M60" s="813"/>
    </row>
  </sheetData>
  <sheetProtection algorithmName="SHA-512" hashValue="SHR42ClpkVVsd1IU8quDGqvPwMxPbuFYZP2e6ro9YGO0FFAhmbMfa0pty5TZGAJy7qzP5zEjbVkQMpLNXzSPlA==" saltValue="V7zWS3T2m2ocMYJb+TqgHQ==" spinCount="100000" sheet="1" formatColumns="0" formatRows="0" insertRows="0" deleteRows="0"/>
  <mergeCells count="6">
    <mergeCell ref="C7:D7"/>
    <mergeCell ref="C1:L1"/>
    <mergeCell ref="E2:L2"/>
    <mergeCell ref="F3:L3"/>
    <mergeCell ref="C5:D5"/>
    <mergeCell ref="C6:D6"/>
  </mergeCells>
  <conditionalFormatting sqref="L6">
    <cfRule type="expression" dxfId="3" priority="4">
      <formula>ISBLANK($L$6)</formula>
    </cfRule>
  </conditionalFormatting>
  <conditionalFormatting sqref="L7">
    <cfRule type="expression" dxfId="2" priority="3">
      <formula>ISBLANK($L$7)</formula>
    </cfRule>
  </conditionalFormatting>
  <pageMargins left="0.7" right="0.7" top="0.75" bottom="0.75" header="0.3" footer="0.3"/>
  <pageSetup scale="61" orientation="portrait" r:id="rId1"/>
  <headerFooter>
    <oddFooter>&amp;LMINIMUM REQUIREMENTS DOCUMENT&amp;RDOOR REPLACEMENT  MRD - APPENDIX</oddFooter>
  </headerFooter>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6D69-0C12-440A-B6C7-0E13B61685ED}">
  <dimension ref="C1:J74"/>
  <sheetViews>
    <sheetView zoomScale="120" zoomScaleNormal="120" workbookViewId="0">
      <selection activeCell="Q17" sqref="Q17"/>
    </sheetView>
  </sheetViews>
  <sheetFormatPr defaultColWidth="9.140625" defaultRowHeight="15" x14ac:dyDescent="0.25"/>
  <cols>
    <col min="1" max="1" width="2.85546875" style="163" customWidth="1"/>
    <col min="2" max="2" width="1.28515625" style="163" customWidth="1"/>
    <col min="3" max="3" width="15.85546875" style="163" customWidth="1"/>
    <col min="4" max="4" width="12.5703125" style="163" customWidth="1"/>
    <col min="5" max="5" width="18.42578125" style="163" customWidth="1"/>
    <col min="6" max="9" width="18" style="163" customWidth="1"/>
    <col min="10" max="10" width="1.28515625" style="163" customWidth="1"/>
    <col min="11" max="16384" width="9.140625" style="163"/>
  </cols>
  <sheetData>
    <row r="1" spans="3:10" ht="15.75" x14ac:dyDescent="0.25">
      <c r="C1" s="1044" t="s">
        <v>48</v>
      </c>
      <c r="D1" s="1044"/>
      <c r="E1" s="1044"/>
      <c r="F1" s="1044"/>
      <c r="G1" s="1044"/>
      <c r="H1" s="1044"/>
      <c r="I1" s="1044"/>
    </row>
    <row r="2" spans="3:10" ht="27.75" customHeight="1" x14ac:dyDescent="0.25">
      <c r="C2" s="147"/>
      <c r="D2" s="779"/>
      <c r="E2" s="1070" t="str">
        <f>IFERROR(IF('Air Curtains'!$O$15=0, "", IF('Air Curtains'!$O$15="LCI", "New York - Electric and Gas Large Commercial and Industrial Program", "New York - Electric and Gas Small Business Program")),"")</f>
        <v>New York - Electric and Gas Small Business Program</v>
      </c>
      <c r="F2" s="1070"/>
      <c r="G2" s="1070"/>
      <c r="H2" s="1070"/>
      <c r="I2" s="1071"/>
      <c r="J2" s="789"/>
    </row>
    <row r="3" spans="3:10" ht="27.75" customHeight="1" x14ac:dyDescent="0.35">
      <c r="C3" s="148"/>
      <c r="D3" s="780"/>
      <c r="E3" s="802"/>
      <c r="F3" s="1072" t="s">
        <v>644</v>
      </c>
      <c r="G3" s="1072"/>
      <c r="H3" s="1072"/>
      <c r="I3" s="1073"/>
      <c r="J3" s="815"/>
    </row>
    <row r="4" spans="3:10" ht="5.25" customHeight="1" x14ac:dyDescent="0.25">
      <c r="C4" s="99"/>
      <c r="D4" s="99"/>
      <c r="E4" s="99"/>
      <c r="F4" s="99"/>
      <c r="G4" s="99"/>
      <c r="H4" s="99"/>
      <c r="I4" s="99"/>
    </row>
    <row r="5" spans="3:10" x14ac:dyDescent="0.25">
      <c r="C5" s="775" t="s">
        <v>645</v>
      </c>
      <c r="D5" s="781" t="str">
        <f>IF('App Cust Info'!$B$12="", "", 'App Cust Info'!$B$12)</f>
        <v/>
      </c>
      <c r="E5" s="777"/>
      <c r="F5" s="777"/>
      <c r="G5" s="777"/>
      <c r="H5" s="775" t="s">
        <v>646</v>
      </c>
      <c r="I5" s="782" t="s">
        <v>680</v>
      </c>
    </row>
    <row r="6" spans="3:10" x14ac:dyDescent="0.25">
      <c r="C6" s="775" t="s">
        <v>134</v>
      </c>
      <c r="D6" s="776" t="str">
        <f>IF($D$5="", "", 'App Cust Info'!$B$18&amp;", "&amp;'App Cust Info'!$F$18&amp;", "&amp;'App Cust Info'!$I$18&amp;" "&amp;'App Cust Info'!$K$18)</f>
        <v/>
      </c>
      <c r="E6" s="777"/>
      <c r="F6" s="777"/>
      <c r="G6" s="777"/>
      <c r="H6" s="775" t="s">
        <v>647</v>
      </c>
      <c r="I6" s="757"/>
    </row>
    <row r="7" spans="3:10" x14ac:dyDescent="0.25">
      <c r="C7" s="775" t="s">
        <v>648</v>
      </c>
      <c r="D7" s="776" t="str">
        <f>IF($D$5="", "", "Air Curtains")</f>
        <v/>
      </c>
      <c r="E7" s="777"/>
      <c r="F7" s="777"/>
      <c r="G7" s="777"/>
      <c r="H7" s="775" t="s">
        <v>649</v>
      </c>
      <c r="I7" s="757"/>
    </row>
    <row r="8" spans="3:10" ht="6" customHeight="1" x14ac:dyDescent="0.25">
      <c r="C8" s="99"/>
      <c r="D8" s="99"/>
      <c r="E8" s="99"/>
      <c r="F8" s="99"/>
      <c r="G8" s="99"/>
      <c r="H8" s="99"/>
      <c r="I8" s="99"/>
    </row>
    <row r="9" spans="3:10" ht="15" customHeight="1" x14ac:dyDescent="0.25">
      <c r="C9" s="1059" t="s">
        <v>650</v>
      </c>
      <c r="D9" s="1059"/>
      <c r="E9" s="1059"/>
      <c r="F9" s="1059"/>
      <c r="G9" s="1059"/>
      <c r="H9" s="1059"/>
      <c r="I9" s="1059"/>
      <c r="J9" s="790"/>
    </row>
    <row r="10" spans="3:10" x14ac:dyDescent="0.25">
      <c r="C10" s="1059"/>
      <c r="D10" s="1059"/>
      <c r="E10" s="1059"/>
      <c r="F10" s="1059"/>
      <c r="G10" s="1059"/>
      <c r="H10" s="1059"/>
      <c r="I10" s="1059"/>
      <c r="J10" s="790"/>
    </row>
    <row r="11" spans="3:10" x14ac:dyDescent="0.25">
      <c r="C11" s="1059"/>
      <c r="D11" s="1059"/>
      <c r="E11" s="1059"/>
      <c r="F11" s="1059"/>
      <c r="G11" s="1059"/>
      <c r="H11" s="1059"/>
      <c r="I11" s="1059"/>
      <c r="J11" s="790"/>
    </row>
    <row r="12" spans="3:10" ht="6.75" customHeight="1" x14ac:dyDescent="0.25"/>
    <row r="13" spans="3:10" ht="27.75" customHeight="1" x14ac:dyDescent="0.25">
      <c r="C13" s="758" t="s">
        <v>651</v>
      </c>
      <c r="D13" s="1052" t="s">
        <v>652</v>
      </c>
      <c r="E13" s="1066"/>
      <c r="F13" s="1066"/>
      <c r="G13" s="1066"/>
      <c r="H13" s="1066"/>
      <c r="I13" s="1067"/>
      <c r="J13" s="792"/>
    </row>
    <row r="14" spans="3:10" ht="27.75" customHeight="1" x14ac:dyDescent="0.25">
      <c r="C14" s="761"/>
      <c r="D14" s="1064" t="str">
        <f>IF($D$5="", "",'Air Curtains'!$B$6)</f>
        <v/>
      </c>
      <c r="E14" s="1064"/>
      <c r="F14" s="793" t="str">
        <f>IF($D$5="", "",'Air Curtains'!$C$6)</f>
        <v/>
      </c>
      <c r="G14" s="763"/>
      <c r="H14" s="763"/>
      <c r="I14" s="764"/>
      <c r="J14" s="767"/>
    </row>
    <row r="15" spans="3:10" ht="27.75" customHeight="1" x14ac:dyDescent="0.25">
      <c r="C15" s="761"/>
      <c r="D15" s="1064" t="str">
        <f>IF($D$5="", "",'Air Curtains'!$B$7)</f>
        <v/>
      </c>
      <c r="E15" s="1064"/>
      <c r="F15" s="793" t="str">
        <f>IF($D$5="", "",'Air Curtains'!$C$7)</f>
        <v/>
      </c>
      <c r="G15" s="763"/>
      <c r="H15" s="763"/>
      <c r="I15" s="764"/>
      <c r="J15" s="767"/>
    </row>
    <row r="16" spans="3:10" ht="27.75" customHeight="1" x14ac:dyDescent="0.25">
      <c r="C16" s="761"/>
      <c r="D16" s="1064" t="str">
        <f>IF($D$5="", "",'Air Curtains'!$B$8)</f>
        <v/>
      </c>
      <c r="E16" s="1064"/>
      <c r="F16" s="793" t="str">
        <f>IF($D$5="", "",'Air Curtains'!$C$8)</f>
        <v/>
      </c>
      <c r="G16" s="763"/>
      <c r="H16" s="763"/>
      <c r="I16" s="764"/>
      <c r="J16" s="767"/>
    </row>
    <row r="17" spans="3:10" ht="27.75" customHeight="1" x14ac:dyDescent="0.25">
      <c r="C17" s="761"/>
      <c r="D17" s="1064" t="str">
        <f>IF($D$5="", "",'Air Curtains'!$B$9)</f>
        <v/>
      </c>
      <c r="E17" s="1064"/>
      <c r="F17" s="829" t="str">
        <f>IF($D$5="", "",'Air Curtains'!$C$9)</f>
        <v/>
      </c>
      <c r="G17" s="763"/>
      <c r="H17" s="763"/>
      <c r="I17" s="764"/>
      <c r="J17" s="767"/>
    </row>
    <row r="18" spans="3:10" ht="27.75" customHeight="1" x14ac:dyDescent="0.25">
      <c r="C18" s="761"/>
      <c r="D18" s="1064" t="str">
        <f>IF($D$5="", "",'Air Curtains'!$B$10)</f>
        <v/>
      </c>
      <c r="E18" s="1064"/>
      <c r="F18" s="829" t="str">
        <f>IF($D$5="", "",'Air Curtains'!$C$10)</f>
        <v/>
      </c>
      <c r="G18" s="763"/>
      <c r="H18" s="763"/>
      <c r="I18" s="764"/>
      <c r="J18" s="767"/>
    </row>
    <row r="19" spans="3:10" ht="27.75" customHeight="1" x14ac:dyDescent="0.25">
      <c r="C19" s="761"/>
      <c r="D19" s="1064" t="str">
        <f>IF($D$5="", "",'Air Curtains'!$B$11)</f>
        <v/>
      </c>
      <c r="E19" s="1064"/>
      <c r="F19" s="793" t="str">
        <f>IF($D$5="", "",'Air Curtains'!$C$11)</f>
        <v/>
      </c>
      <c r="G19" s="763"/>
      <c r="H19" s="763"/>
      <c r="I19" s="764"/>
      <c r="J19" s="767"/>
    </row>
    <row r="20" spans="3:10" ht="27.75" customHeight="1" x14ac:dyDescent="0.25">
      <c r="C20" s="761"/>
      <c r="D20" s="1064" t="str">
        <f>IF($D$5="", "",'Air Curtains'!$B$12)</f>
        <v/>
      </c>
      <c r="E20" s="1064"/>
      <c r="F20" s="830" t="str">
        <f>IF($D$5="", "",'Air Curtains'!$C$12)</f>
        <v/>
      </c>
      <c r="G20" s="763"/>
      <c r="H20" s="763"/>
      <c r="I20" s="764"/>
      <c r="J20" s="767"/>
    </row>
    <row r="21" spans="3:10" ht="27.75" customHeight="1" x14ac:dyDescent="0.25">
      <c r="C21" s="761"/>
      <c r="D21" s="1064" t="str">
        <f>IF($D$5="", "",'Air Curtains'!$B$13)</f>
        <v/>
      </c>
      <c r="E21" s="1064"/>
      <c r="F21" s="831" t="str">
        <f>IF($D$5="", "",'Air Curtains'!$C$13)</f>
        <v/>
      </c>
      <c r="G21" s="763"/>
      <c r="H21" s="763"/>
      <c r="I21" s="764"/>
      <c r="J21" s="767"/>
    </row>
    <row r="22" spans="3:10" ht="27.75" customHeight="1" x14ac:dyDescent="0.25">
      <c r="C22" s="761"/>
      <c r="D22" s="1064" t="str">
        <f>IF($D$5="", "",'Air Curtains'!$B$14)</f>
        <v/>
      </c>
      <c r="E22" s="1064"/>
      <c r="F22" s="831" t="str">
        <f>IF($D$5="", "",'Air Curtains'!$C$14)</f>
        <v/>
      </c>
      <c r="G22" s="763"/>
      <c r="H22" s="763"/>
      <c r="I22" s="764"/>
      <c r="J22" s="767"/>
    </row>
    <row r="23" spans="3:10" ht="27.75" customHeight="1" x14ac:dyDescent="0.25">
      <c r="C23" s="761"/>
      <c r="D23" s="1064" t="str">
        <f>IF($D$5="", "",'Air Curtains'!$B$15)</f>
        <v/>
      </c>
      <c r="E23" s="1064"/>
      <c r="F23" s="817" t="str">
        <f>IF($D$5="", "",'Air Curtains'!$C$15)</f>
        <v/>
      </c>
      <c r="G23" s="763"/>
      <c r="H23" s="763"/>
      <c r="I23" s="764"/>
      <c r="J23" s="767"/>
    </row>
    <row r="24" spans="3:10" ht="27.75" customHeight="1" x14ac:dyDescent="0.25">
      <c r="C24" s="761"/>
      <c r="D24" s="1064" t="str">
        <f>IF($D$5="", "",'Air Curtains'!$B$16)</f>
        <v/>
      </c>
      <c r="E24" s="1064"/>
      <c r="F24" s="795" t="str">
        <f>IF($D$5="", "",'Air Curtains'!$C$16)</f>
        <v/>
      </c>
      <c r="G24" s="763"/>
      <c r="H24" s="763"/>
      <c r="I24" s="764"/>
      <c r="J24" s="767"/>
    </row>
    <row r="25" spans="3:10" ht="27.75" customHeight="1" x14ac:dyDescent="0.25">
      <c r="C25" s="761"/>
      <c r="D25" s="1064" t="str">
        <f>IF($D$5="", "",'Air Curtains'!$B$17)</f>
        <v/>
      </c>
      <c r="E25" s="1064"/>
      <c r="F25" s="795" t="str">
        <f>IF($D$5="", "",'Air Curtains'!$C$17)</f>
        <v/>
      </c>
      <c r="G25" s="763"/>
      <c r="H25" s="763"/>
      <c r="I25" s="764"/>
      <c r="J25" s="767"/>
    </row>
    <row r="26" spans="3:10" ht="27.75" customHeight="1" x14ac:dyDescent="0.25">
      <c r="C26" s="758" t="s">
        <v>651</v>
      </c>
      <c r="D26" s="1038" t="s">
        <v>654</v>
      </c>
      <c r="E26" s="1039"/>
      <c r="F26" s="1039"/>
      <c r="G26" s="1039"/>
      <c r="H26" s="1039"/>
      <c r="I26" s="1040"/>
      <c r="J26" s="767"/>
    </row>
    <row r="27" spans="3:10" x14ac:dyDescent="0.25">
      <c r="C27" s="150"/>
      <c r="D27" s="1061" t="s">
        <v>655</v>
      </c>
      <c r="E27" s="1062"/>
      <c r="F27" s="1062"/>
      <c r="G27" s="1062"/>
      <c r="H27" s="1062"/>
      <c r="I27" s="1063"/>
      <c r="J27" s="798"/>
    </row>
    <row r="28" spans="3:10" ht="27.75" customHeight="1" x14ac:dyDescent="0.25">
      <c r="C28" s="758" t="s">
        <v>651</v>
      </c>
      <c r="D28" s="1038" t="s">
        <v>656</v>
      </c>
      <c r="E28" s="1039"/>
      <c r="F28" s="1039"/>
      <c r="G28" s="1039"/>
      <c r="H28" s="1039"/>
      <c r="I28" s="1040"/>
      <c r="J28" s="767"/>
    </row>
    <row r="29" spans="3:10" x14ac:dyDescent="0.25">
      <c r="C29" s="150"/>
      <c r="D29" s="1041" t="s">
        <v>657</v>
      </c>
      <c r="E29" s="1042"/>
      <c r="F29" s="1042"/>
      <c r="G29" s="1042"/>
      <c r="H29" s="1042"/>
      <c r="I29" s="1043"/>
      <c r="J29" s="799"/>
    </row>
    <row r="30" spans="3:10" ht="51.75" customHeight="1" x14ac:dyDescent="0.25">
      <c r="C30" s="758" t="s">
        <v>651</v>
      </c>
      <c r="D30" s="1038" t="s">
        <v>658</v>
      </c>
      <c r="E30" s="1039"/>
      <c r="F30" s="1039"/>
      <c r="G30" s="1039"/>
      <c r="H30" s="1039"/>
      <c r="I30" s="1040"/>
      <c r="J30" s="767"/>
    </row>
    <row r="31" spans="3:10" x14ac:dyDescent="0.25">
      <c r="C31" s="150"/>
      <c r="D31" s="1041" t="s">
        <v>659</v>
      </c>
      <c r="E31" s="1042"/>
      <c r="F31" s="1042"/>
      <c r="G31" s="1042"/>
      <c r="H31" s="1042"/>
      <c r="I31" s="1043"/>
      <c r="J31" s="799"/>
    </row>
    <row r="32" spans="3:10" ht="33.75" customHeight="1" x14ac:dyDescent="0.25">
      <c r="C32" s="758" t="s">
        <v>651</v>
      </c>
      <c r="D32" s="1065" t="s">
        <v>660</v>
      </c>
      <c r="E32" s="1066"/>
      <c r="F32" s="1066"/>
      <c r="G32" s="1066"/>
      <c r="H32" s="1066"/>
      <c r="I32" s="1067"/>
      <c r="J32" s="767"/>
    </row>
    <row r="33" spans="3:10" ht="95.25" customHeight="1" x14ac:dyDescent="0.25">
      <c r="C33" s="150"/>
      <c r="D33" s="1052" t="s">
        <v>661</v>
      </c>
      <c r="E33" s="1053"/>
      <c r="F33" s="1053"/>
      <c r="G33" s="1053"/>
      <c r="H33" s="1053"/>
      <c r="I33" s="1054"/>
      <c r="J33" s="800"/>
    </row>
    <row r="35" spans="3:10" ht="22.5" customHeight="1" x14ac:dyDescent="0.4">
      <c r="C35" s="1068"/>
      <c r="D35" s="1069"/>
      <c r="E35" s="399">
        <f ca="1">TODAY()</f>
        <v>46212</v>
      </c>
    </row>
    <row r="36" spans="3:10" ht="24.75" customHeight="1" x14ac:dyDescent="0.25">
      <c r="C36" s="1045" t="s">
        <v>662</v>
      </c>
      <c r="D36" s="1045"/>
      <c r="E36" s="765" t="s">
        <v>70</v>
      </c>
    </row>
    <row r="38" spans="3:10" x14ac:dyDescent="0.25">
      <c r="C38" s="1074" t="s">
        <v>679</v>
      </c>
      <c r="D38" s="1074"/>
      <c r="E38" s="1074"/>
      <c r="F38" s="1074"/>
      <c r="G38" s="1074"/>
      <c r="H38" s="1074"/>
      <c r="I38" s="1074"/>
      <c r="J38" s="819"/>
    </row>
    <row r="39" spans="3:10" ht="18" customHeight="1" x14ac:dyDescent="0.25">
      <c r="C39" s="1050" t="s">
        <v>664</v>
      </c>
      <c r="D39" s="1050"/>
      <c r="E39" s="1050"/>
      <c r="F39" s="1050"/>
      <c r="G39" s="1050"/>
      <c r="H39" s="1050"/>
      <c r="I39" s="1050"/>
      <c r="J39" s="767"/>
    </row>
    <row r="40" spans="3:10" x14ac:dyDescent="0.25">
      <c r="C40" s="1050"/>
      <c r="D40" s="1050"/>
      <c r="E40" s="1050"/>
      <c r="F40" s="1050"/>
      <c r="G40" s="1050"/>
      <c r="H40" s="1050"/>
      <c r="I40" s="1050"/>
      <c r="J40" s="767"/>
    </row>
    <row r="41" spans="3:10" x14ac:dyDescent="0.25">
      <c r="C41" s="1050"/>
      <c r="D41" s="1050"/>
      <c r="E41" s="1050"/>
      <c r="F41" s="1050"/>
      <c r="G41" s="1050"/>
      <c r="H41" s="1050"/>
      <c r="I41" s="1050"/>
      <c r="J41" s="767"/>
    </row>
    <row r="42" spans="3:10" x14ac:dyDescent="0.25">
      <c r="C42" s="768"/>
      <c r="D42" s="768"/>
      <c r="E42" s="768"/>
      <c r="F42" s="768"/>
      <c r="G42" s="768"/>
      <c r="H42" s="768"/>
      <c r="I42" s="768"/>
      <c r="J42" s="768"/>
    </row>
    <row r="43" spans="3:10" x14ac:dyDescent="0.25">
      <c r="C43" s="151"/>
      <c r="D43" s="152"/>
      <c r="E43" s="153" t="s">
        <v>665</v>
      </c>
      <c r="F43" s="154" t="b">
        <v>0</v>
      </c>
      <c r="G43" s="400" t="s">
        <v>666</v>
      </c>
      <c r="H43" s="154" t="b">
        <v>0</v>
      </c>
      <c r="I43" s="155"/>
    </row>
    <row r="45" spans="3:10" ht="15" customHeight="1" x14ac:dyDescent="0.25">
      <c r="C45" s="769" t="s">
        <v>667</v>
      </c>
      <c r="D45" s="770"/>
      <c r="E45" s="770"/>
      <c r="F45" s="770"/>
      <c r="G45" s="770"/>
      <c r="H45" s="770"/>
      <c r="I45" s="771"/>
      <c r="J45" s="801"/>
    </row>
    <row r="46" spans="3:10" x14ac:dyDescent="0.25">
      <c r="C46" s="156" t="s">
        <v>668</v>
      </c>
      <c r="D46" s="157" t="b">
        <v>0</v>
      </c>
      <c r="E46" s="158" t="s">
        <v>669</v>
      </c>
      <c r="F46" s="157" t="b">
        <v>0</v>
      </c>
      <c r="G46" s="166"/>
      <c r="H46" s="166"/>
      <c r="I46" s="167"/>
    </row>
    <row r="47" spans="3:10" ht="10.5" customHeight="1" x14ac:dyDescent="0.25"/>
    <row r="48" spans="3:10" x14ac:dyDescent="0.25">
      <c r="C48" s="772" t="s">
        <v>670</v>
      </c>
    </row>
    <row r="49" spans="3:9" ht="6.75" customHeight="1" x14ac:dyDescent="0.25">
      <c r="C49" s="772"/>
    </row>
    <row r="50" spans="3:9" x14ac:dyDescent="0.25">
      <c r="C50" s="773" t="s">
        <v>671</v>
      </c>
      <c r="D50" s="160"/>
      <c r="E50" s="160"/>
      <c r="F50" s="160"/>
      <c r="G50" s="160"/>
      <c r="H50" s="160"/>
      <c r="I50" s="161"/>
    </row>
    <row r="51" spans="3:9" x14ac:dyDescent="0.25">
      <c r="C51" s="156" t="s">
        <v>668</v>
      </c>
      <c r="D51" s="157" t="b">
        <v>0</v>
      </c>
      <c r="E51" s="158" t="s">
        <v>669</v>
      </c>
      <c r="F51" s="157" t="b">
        <v>0</v>
      </c>
      <c r="G51" s="166"/>
      <c r="H51" s="166"/>
      <c r="I51" s="167"/>
    </row>
    <row r="53" spans="3:9" ht="24" customHeight="1" x14ac:dyDescent="0.25">
      <c r="C53" s="1047"/>
      <c r="D53" s="1048"/>
      <c r="E53" s="150"/>
      <c r="F53" s="1047"/>
      <c r="G53" s="1051"/>
      <c r="H53" s="150"/>
    </row>
    <row r="54" spans="3:9" x14ac:dyDescent="0.25">
      <c r="C54" s="1045" t="s">
        <v>672</v>
      </c>
      <c r="D54" s="1045"/>
      <c r="E54" s="765" t="s">
        <v>70</v>
      </c>
      <c r="F54" s="1046" t="s">
        <v>673</v>
      </c>
      <c r="G54" s="1046"/>
      <c r="H54" s="765" t="s">
        <v>70</v>
      </c>
    </row>
    <row r="56" spans="3:9" x14ac:dyDescent="0.25">
      <c r="C56" s="774" t="s">
        <v>674</v>
      </c>
    </row>
    <row r="57" spans="3:9" x14ac:dyDescent="0.25">
      <c r="C57" s="159"/>
      <c r="D57" s="160"/>
      <c r="E57" s="160"/>
      <c r="F57" s="160"/>
      <c r="G57" s="160"/>
      <c r="H57" s="160"/>
      <c r="I57" s="161"/>
    </row>
    <row r="58" spans="3:9" x14ac:dyDescent="0.25">
      <c r="C58" s="162"/>
      <c r="I58" s="164"/>
    </row>
    <row r="59" spans="3:9" x14ac:dyDescent="0.25">
      <c r="C59" s="162"/>
      <c r="I59" s="164"/>
    </row>
    <row r="60" spans="3:9" x14ac:dyDescent="0.25">
      <c r="C60" s="162"/>
      <c r="I60" s="164"/>
    </row>
    <row r="61" spans="3:9" x14ac:dyDescent="0.25">
      <c r="C61" s="162"/>
      <c r="I61" s="164"/>
    </row>
    <row r="62" spans="3:9" x14ac:dyDescent="0.25">
      <c r="C62" s="162"/>
      <c r="I62" s="164"/>
    </row>
    <row r="63" spans="3:9" x14ac:dyDescent="0.25">
      <c r="C63" s="162"/>
      <c r="I63" s="164"/>
    </row>
    <row r="64" spans="3:9" x14ac:dyDescent="0.25">
      <c r="C64" s="162"/>
      <c r="I64" s="164"/>
    </row>
    <row r="65" spans="3:9" x14ac:dyDescent="0.25">
      <c r="C65" s="162"/>
      <c r="I65" s="164"/>
    </row>
    <row r="66" spans="3:9" x14ac:dyDescent="0.25">
      <c r="C66" s="162"/>
      <c r="I66" s="164"/>
    </row>
    <row r="67" spans="3:9" x14ac:dyDescent="0.25">
      <c r="C67" s="162"/>
      <c r="I67" s="164"/>
    </row>
    <row r="68" spans="3:9" x14ac:dyDescent="0.25">
      <c r="C68" s="162"/>
      <c r="I68" s="164"/>
    </row>
    <row r="69" spans="3:9" x14ac:dyDescent="0.25">
      <c r="C69" s="162"/>
      <c r="I69" s="164"/>
    </row>
    <row r="70" spans="3:9" x14ac:dyDescent="0.25">
      <c r="C70" s="162"/>
      <c r="I70" s="164"/>
    </row>
    <row r="71" spans="3:9" x14ac:dyDescent="0.25">
      <c r="C71" s="162"/>
      <c r="I71" s="164"/>
    </row>
    <row r="72" spans="3:9" x14ac:dyDescent="0.25">
      <c r="C72" s="162"/>
      <c r="I72" s="164"/>
    </row>
    <row r="73" spans="3:9" x14ac:dyDescent="0.25">
      <c r="C73" s="162"/>
      <c r="I73" s="164"/>
    </row>
    <row r="74" spans="3:9" x14ac:dyDescent="0.25">
      <c r="C74" s="165"/>
      <c r="D74" s="166"/>
      <c r="E74" s="166"/>
      <c r="F74" s="166"/>
      <c r="G74" s="166"/>
      <c r="H74" s="166"/>
      <c r="I74" s="167"/>
    </row>
  </sheetData>
  <sheetProtection algorithmName="SHA-512" hashValue="drZyLkYhzzlEaMMAfvUzyQb06+4Z4vV4WGpZxvXC/C3RL8jQoiwG+gquGDDY5TGtfZKBY3GQ3hnTVA/Ni1K1sA==" saltValue="YlMYBakawoaJZgjLuPsQsA==" spinCount="100000" sheet="1" objects="1" scenarios="1"/>
  <mergeCells count="33">
    <mergeCell ref="C1:I1"/>
    <mergeCell ref="D20:E20"/>
    <mergeCell ref="D15:E15"/>
    <mergeCell ref="D16:E16"/>
    <mergeCell ref="D17:E17"/>
    <mergeCell ref="D18:E18"/>
    <mergeCell ref="D19:E19"/>
    <mergeCell ref="E2:I2"/>
    <mergeCell ref="F3:I3"/>
    <mergeCell ref="C9:I11"/>
    <mergeCell ref="D13:I13"/>
    <mergeCell ref="D14:E14"/>
    <mergeCell ref="D31:I31"/>
    <mergeCell ref="D21:E21"/>
    <mergeCell ref="D22:E22"/>
    <mergeCell ref="D23:E23"/>
    <mergeCell ref="D24:E24"/>
    <mergeCell ref="D25:E25"/>
    <mergeCell ref="D26:I26"/>
    <mergeCell ref="D27:I27"/>
    <mergeCell ref="D28:I28"/>
    <mergeCell ref="D29:I29"/>
    <mergeCell ref="D30:I30"/>
    <mergeCell ref="C53:D53"/>
    <mergeCell ref="F53:G53"/>
    <mergeCell ref="C54:D54"/>
    <mergeCell ref="F54:G54"/>
    <mergeCell ref="D32:I32"/>
    <mergeCell ref="D33:I33"/>
    <mergeCell ref="C35:D35"/>
    <mergeCell ref="C36:D36"/>
    <mergeCell ref="C38:I38"/>
    <mergeCell ref="C39:I41"/>
  </mergeCells>
  <conditionalFormatting sqref="I6">
    <cfRule type="expression" dxfId="1" priority="4">
      <formula>ISBLANK($I$6)</formula>
    </cfRule>
  </conditionalFormatting>
  <conditionalFormatting sqref="I7">
    <cfRule type="expression" dxfId="0" priority="3">
      <formula>ISBLANK($I$7)</formula>
    </cfRule>
  </conditionalFormatting>
  <pageMargins left="0.25" right="0.25" top="0.75" bottom="0.75" header="0.3" footer="0.3"/>
  <pageSetup scale="81" orientation="portrait" r:id="rId1"/>
  <headerFooter>
    <oddFooter>&amp;R&amp;P</oddFooter>
  </headerFooter>
  <rowBreaks count="1" manualBreakCount="1">
    <brk id="34"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0353" r:id="rId4" name="Check Box 1">
              <controlPr locked="0" defaultSize="0" autoFill="0" autoLine="0" autoPict="0">
                <anchor moveWithCells="1">
                  <from>
                    <xdr:col>2</xdr:col>
                    <xdr:colOff>28575</xdr:colOff>
                    <xdr:row>25</xdr:row>
                    <xdr:rowOff>333375</xdr:rowOff>
                  </from>
                  <to>
                    <xdr:col>2</xdr:col>
                    <xdr:colOff>514350</xdr:colOff>
                    <xdr:row>27</xdr:row>
                    <xdr:rowOff>9525</xdr:rowOff>
                  </to>
                </anchor>
              </controlPr>
            </control>
          </mc:Choice>
        </mc:AlternateContent>
        <mc:AlternateContent xmlns:mc="http://schemas.openxmlformats.org/markup-compatibility/2006">
          <mc:Choice Requires="x14">
            <control shapeId="100354" r:id="rId5" name="Check Box 2">
              <controlPr locked="0" defaultSize="0" autoFill="0" autoLine="0" autoPict="0">
                <anchor moveWithCells="1">
                  <from>
                    <xdr:col>2</xdr:col>
                    <xdr:colOff>438150</xdr:colOff>
                    <xdr:row>25</xdr:row>
                    <xdr:rowOff>333375</xdr:rowOff>
                  </from>
                  <to>
                    <xdr:col>2</xdr:col>
                    <xdr:colOff>923925</xdr:colOff>
                    <xdr:row>27</xdr:row>
                    <xdr:rowOff>9525</xdr:rowOff>
                  </to>
                </anchor>
              </controlPr>
            </control>
          </mc:Choice>
        </mc:AlternateContent>
        <mc:AlternateContent xmlns:mc="http://schemas.openxmlformats.org/markup-compatibility/2006">
          <mc:Choice Requires="x14">
            <control shapeId="100355" r:id="rId6" name="Check Box 3">
              <controlPr locked="0" defaultSize="0" autoFill="0" autoLine="0" autoPict="0">
                <anchor moveWithCells="1">
                  <from>
                    <xdr:col>2</xdr:col>
                    <xdr:colOff>28575</xdr:colOff>
                    <xdr:row>27</xdr:row>
                    <xdr:rowOff>333375</xdr:rowOff>
                  </from>
                  <to>
                    <xdr:col>2</xdr:col>
                    <xdr:colOff>514350</xdr:colOff>
                    <xdr:row>29</xdr:row>
                    <xdr:rowOff>9525</xdr:rowOff>
                  </to>
                </anchor>
              </controlPr>
            </control>
          </mc:Choice>
        </mc:AlternateContent>
        <mc:AlternateContent xmlns:mc="http://schemas.openxmlformats.org/markup-compatibility/2006">
          <mc:Choice Requires="x14">
            <control shapeId="100356" r:id="rId7" name="Check Box 4">
              <controlPr locked="0" defaultSize="0" autoFill="0" autoLine="0" autoPict="0">
                <anchor moveWithCells="1">
                  <from>
                    <xdr:col>2</xdr:col>
                    <xdr:colOff>438150</xdr:colOff>
                    <xdr:row>27</xdr:row>
                    <xdr:rowOff>333375</xdr:rowOff>
                  </from>
                  <to>
                    <xdr:col>2</xdr:col>
                    <xdr:colOff>923925</xdr:colOff>
                    <xdr:row>29</xdr:row>
                    <xdr:rowOff>9525</xdr:rowOff>
                  </to>
                </anchor>
              </controlPr>
            </control>
          </mc:Choice>
        </mc:AlternateContent>
        <mc:AlternateContent xmlns:mc="http://schemas.openxmlformats.org/markup-compatibility/2006">
          <mc:Choice Requires="x14">
            <control shapeId="100357" r:id="rId8" name="Check Box 5">
              <controlPr locked="0" defaultSize="0" autoFill="0" autoLine="0" autoPict="0">
                <anchor moveWithCells="1">
                  <from>
                    <xdr:col>2</xdr:col>
                    <xdr:colOff>47625</xdr:colOff>
                    <xdr:row>29</xdr:row>
                    <xdr:rowOff>638175</xdr:rowOff>
                  </from>
                  <to>
                    <xdr:col>2</xdr:col>
                    <xdr:colOff>533400</xdr:colOff>
                    <xdr:row>31</xdr:row>
                    <xdr:rowOff>9525</xdr:rowOff>
                  </to>
                </anchor>
              </controlPr>
            </control>
          </mc:Choice>
        </mc:AlternateContent>
        <mc:AlternateContent xmlns:mc="http://schemas.openxmlformats.org/markup-compatibility/2006">
          <mc:Choice Requires="x14">
            <control shapeId="100358" r:id="rId9" name="Check Box 6">
              <controlPr locked="0" defaultSize="0" autoFill="0" autoLine="0" autoPict="0">
                <anchor moveWithCells="1">
                  <from>
                    <xdr:col>2</xdr:col>
                    <xdr:colOff>428625</xdr:colOff>
                    <xdr:row>29</xdr:row>
                    <xdr:rowOff>647700</xdr:rowOff>
                  </from>
                  <to>
                    <xdr:col>2</xdr:col>
                    <xdr:colOff>914400</xdr:colOff>
                    <xdr:row>31</xdr:row>
                    <xdr:rowOff>9525</xdr:rowOff>
                  </to>
                </anchor>
              </controlPr>
            </control>
          </mc:Choice>
        </mc:AlternateContent>
        <mc:AlternateContent xmlns:mc="http://schemas.openxmlformats.org/markup-compatibility/2006">
          <mc:Choice Requires="x14">
            <control shapeId="100359" r:id="rId10" name="Check Box 7">
              <controlPr locked="0" defaultSize="0" autoFill="0" autoLine="0" autoPict="0">
                <anchor moveWithCells="1">
                  <from>
                    <xdr:col>2</xdr:col>
                    <xdr:colOff>66675</xdr:colOff>
                    <xdr:row>32</xdr:row>
                    <xdr:rowOff>180975</xdr:rowOff>
                  </from>
                  <to>
                    <xdr:col>2</xdr:col>
                    <xdr:colOff>552450</xdr:colOff>
                    <xdr:row>32</xdr:row>
                    <xdr:rowOff>400050</xdr:rowOff>
                  </to>
                </anchor>
              </controlPr>
            </control>
          </mc:Choice>
        </mc:AlternateContent>
        <mc:AlternateContent xmlns:mc="http://schemas.openxmlformats.org/markup-compatibility/2006">
          <mc:Choice Requires="x14">
            <control shapeId="100360" r:id="rId11" name="Check Box 8">
              <controlPr locked="0" defaultSize="0" autoFill="0" autoLine="0" autoPict="0">
                <anchor moveWithCells="1">
                  <from>
                    <xdr:col>2</xdr:col>
                    <xdr:colOff>428625</xdr:colOff>
                    <xdr:row>32</xdr:row>
                    <xdr:rowOff>180975</xdr:rowOff>
                  </from>
                  <to>
                    <xdr:col>2</xdr:col>
                    <xdr:colOff>914400</xdr:colOff>
                    <xdr:row>32</xdr:row>
                    <xdr:rowOff>400050</xdr:rowOff>
                  </to>
                </anchor>
              </controlPr>
            </control>
          </mc:Choice>
        </mc:AlternateContent>
        <mc:AlternateContent xmlns:mc="http://schemas.openxmlformats.org/markup-compatibility/2006">
          <mc:Choice Requires="x14">
            <control shapeId="100361" r:id="rId12" name="Check Box 9">
              <controlPr locked="0" defaultSize="0" autoFill="0" autoLine="0" autoPict="0">
                <anchor moveWithCells="1">
                  <from>
                    <xdr:col>2</xdr:col>
                    <xdr:colOff>438150</xdr:colOff>
                    <xdr:row>32</xdr:row>
                    <xdr:rowOff>504825</xdr:rowOff>
                  </from>
                  <to>
                    <xdr:col>2</xdr:col>
                    <xdr:colOff>923925</xdr:colOff>
                    <xdr:row>32</xdr:row>
                    <xdr:rowOff>723900</xdr:rowOff>
                  </to>
                </anchor>
              </controlPr>
            </control>
          </mc:Choice>
        </mc:AlternateContent>
        <mc:AlternateContent xmlns:mc="http://schemas.openxmlformats.org/markup-compatibility/2006">
          <mc:Choice Requires="x14">
            <control shapeId="100362" r:id="rId13" name="Check Box 10">
              <controlPr locked="0" defaultSize="0" autoFill="0" autoLine="0" autoPict="0">
                <anchor moveWithCells="1">
                  <from>
                    <xdr:col>2</xdr:col>
                    <xdr:colOff>428625</xdr:colOff>
                    <xdr:row>32</xdr:row>
                    <xdr:rowOff>790575</xdr:rowOff>
                  </from>
                  <to>
                    <xdr:col>2</xdr:col>
                    <xdr:colOff>914400</xdr:colOff>
                    <xdr:row>32</xdr:row>
                    <xdr:rowOff>1009650</xdr:rowOff>
                  </to>
                </anchor>
              </controlPr>
            </control>
          </mc:Choice>
        </mc:AlternateContent>
        <mc:AlternateContent xmlns:mc="http://schemas.openxmlformats.org/markup-compatibility/2006">
          <mc:Choice Requires="x14">
            <control shapeId="100363" r:id="rId14" name="Check Box 11">
              <controlPr locked="0" defaultSize="0" autoFill="0" autoLine="0" autoPict="0">
                <anchor moveWithCells="1">
                  <from>
                    <xdr:col>2</xdr:col>
                    <xdr:colOff>76200</xdr:colOff>
                    <xdr:row>32</xdr:row>
                    <xdr:rowOff>504825</xdr:rowOff>
                  </from>
                  <to>
                    <xdr:col>2</xdr:col>
                    <xdr:colOff>561975</xdr:colOff>
                    <xdr:row>32</xdr:row>
                    <xdr:rowOff>723900</xdr:rowOff>
                  </to>
                </anchor>
              </controlPr>
            </control>
          </mc:Choice>
        </mc:AlternateContent>
        <mc:AlternateContent xmlns:mc="http://schemas.openxmlformats.org/markup-compatibility/2006">
          <mc:Choice Requires="x14">
            <control shapeId="100364" r:id="rId15" name="Check Box 12">
              <controlPr locked="0" defaultSize="0" autoFill="0" autoLine="0" autoPict="0">
                <anchor moveWithCells="1">
                  <from>
                    <xdr:col>2</xdr:col>
                    <xdr:colOff>66675</xdr:colOff>
                    <xdr:row>32</xdr:row>
                    <xdr:rowOff>800100</xdr:rowOff>
                  </from>
                  <to>
                    <xdr:col>2</xdr:col>
                    <xdr:colOff>552450</xdr:colOff>
                    <xdr:row>32</xdr:row>
                    <xdr:rowOff>1019175</xdr:rowOff>
                  </to>
                </anchor>
              </controlPr>
            </control>
          </mc:Choice>
        </mc:AlternateContent>
        <mc:AlternateContent xmlns:mc="http://schemas.openxmlformats.org/markup-compatibility/2006">
          <mc:Choice Requires="x14">
            <control shapeId="100365" r:id="rId16" name="Check Box 13">
              <controlPr locked="0" defaultSize="0" autoFill="0" autoLine="0" autoPict="0">
                <anchor moveWithCells="1">
                  <from>
                    <xdr:col>2</xdr:col>
                    <xdr:colOff>57150</xdr:colOff>
                    <xdr:row>13</xdr:row>
                    <xdr:rowOff>0</xdr:rowOff>
                  </from>
                  <to>
                    <xdr:col>2</xdr:col>
                    <xdr:colOff>542925</xdr:colOff>
                    <xdr:row>13</xdr:row>
                    <xdr:rowOff>219075</xdr:rowOff>
                  </to>
                </anchor>
              </controlPr>
            </control>
          </mc:Choice>
        </mc:AlternateContent>
        <mc:AlternateContent xmlns:mc="http://schemas.openxmlformats.org/markup-compatibility/2006">
          <mc:Choice Requires="x14">
            <control shapeId="100366" r:id="rId17" name="Check Box 14">
              <controlPr locked="0" defaultSize="0" autoFill="0" autoLine="0" autoPict="0">
                <anchor moveWithCells="1">
                  <from>
                    <xdr:col>2</xdr:col>
                    <xdr:colOff>400050</xdr:colOff>
                    <xdr:row>13</xdr:row>
                    <xdr:rowOff>0</xdr:rowOff>
                  </from>
                  <to>
                    <xdr:col>2</xdr:col>
                    <xdr:colOff>885825</xdr:colOff>
                    <xdr:row>13</xdr:row>
                    <xdr:rowOff>219075</xdr:rowOff>
                  </to>
                </anchor>
              </controlPr>
            </control>
          </mc:Choice>
        </mc:AlternateContent>
        <mc:AlternateContent xmlns:mc="http://schemas.openxmlformats.org/markup-compatibility/2006">
          <mc:Choice Requires="x14">
            <control shapeId="100367" r:id="rId18" name="Check Box 15">
              <controlPr locked="0" defaultSize="0" autoFill="0" autoLine="0" autoPict="0">
                <anchor moveWithCells="1">
                  <from>
                    <xdr:col>2</xdr:col>
                    <xdr:colOff>57150</xdr:colOff>
                    <xdr:row>19</xdr:row>
                    <xdr:rowOff>0</xdr:rowOff>
                  </from>
                  <to>
                    <xdr:col>2</xdr:col>
                    <xdr:colOff>542925</xdr:colOff>
                    <xdr:row>19</xdr:row>
                    <xdr:rowOff>219075</xdr:rowOff>
                  </to>
                </anchor>
              </controlPr>
            </control>
          </mc:Choice>
        </mc:AlternateContent>
        <mc:AlternateContent xmlns:mc="http://schemas.openxmlformats.org/markup-compatibility/2006">
          <mc:Choice Requires="x14">
            <control shapeId="100368" r:id="rId19" name="Check Box 16">
              <controlPr locked="0" defaultSize="0" autoFill="0" autoLine="0" autoPict="0">
                <anchor moveWithCells="1">
                  <from>
                    <xdr:col>2</xdr:col>
                    <xdr:colOff>400050</xdr:colOff>
                    <xdr:row>19</xdr:row>
                    <xdr:rowOff>0</xdr:rowOff>
                  </from>
                  <to>
                    <xdr:col>2</xdr:col>
                    <xdr:colOff>885825</xdr:colOff>
                    <xdr:row>19</xdr:row>
                    <xdr:rowOff>219075</xdr:rowOff>
                  </to>
                </anchor>
              </controlPr>
            </control>
          </mc:Choice>
        </mc:AlternateContent>
        <mc:AlternateContent xmlns:mc="http://schemas.openxmlformats.org/markup-compatibility/2006">
          <mc:Choice Requires="x14">
            <control shapeId="100369" r:id="rId20" name="Check Box 17">
              <controlPr locked="0" defaultSize="0" autoFill="0" autoLine="0" autoPict="0">
                <anchor moveWithCells="1">
                  <from>
                    <xdr:col>2</xdr:col>
                    <xdr:colOff>57150</xdr:colOff>
                    <xdr:row>20</xdr:row>
                    <xdr:rowOff>0</xdr:rowOff>
                  </from>
                  <to>
                    <xdr:col>2</xdr:col>
                    <xdr:colOff>542925</xdr:colOff>
                    <xdr:row>20</xdr:row>
                    <xdr:rowOff>219075</xdr:rowOff>
                  </to>
                </anchor>
              </controlPr>
            </control>
          </mc:Choice>
        </mc:AlternateContent>
        <mc:AlternateContent xmlns:mc="http://schemas.openxmlformats.org/markup-compatibility/2006">
          <mc:Choice Requires="x14">
            <control shapeId="100370" r:id="rId21" name="Check Box 18">
              <controlPr locked="0" defaultSize="0" autoFill="0" autoLine="0" autoPict="0">
                <anchor moveWithCells="1">
                  <from>
                    <xdr:col>2</xdr:col>
                    <xdr:colOff>400050</xdr:colOff>
                    <xdr:row>20</xdr:row>
                    <xdr:rowOff>0</xdr:rowOff>
                  </from>
                  <to>
                    <xdr:col>2</xdr:col>
                    <xdr:colOff>885825</xdr:colOff>
                    <xdr:row>20</xdr:row>
                    <xdr:rowOff>219075</xdr:rowOff>
                  </to>
                </anchor>
              </controlPr>
            </control>
          </mc:Choice>
        </mc:AlternateContent>
        <mc:AlternateContent xmlns:mc="http://schemas.openxmlformats.org/markup-compatibility/2006">
          <mc:Choice Requires="x14">
            <control shapeId="100371" r:id="rId22" name="Check Box 19">
              <controlPr locked="0" defaultSize="0" autoFill="0" autoLine="0" autoPict="0">
                <anchor moveWithCells="1">
                  <from>
                    <xdr:col>2</xdr:col>
                    <xdr:colOff>57150</xdr:colOff>
                    <xdr:row>21</xdr:row>
                    <xdr:rowOff>0</xdr:rowOff>
                  </from>
                  <to>
                    <xdr:col>2</xdr:col>
                    <xdr:colOff>542925</xdr:colOff>
                    <xdr:row>21</xdr:row>
                    <xdr:rowOff>219075</xdr:rowOff>
                  </to>
                </anchor>
              </controlPr>
            </control>
          </mc:Choice>
        </mc:AlternateContent>
        <mc:AlternateContent xmlns:mc="http://schemas.openxmlformats.org/markup-compatibility/2006">
          <mc:Choice Requires="x14">
            <control shapeId="100372" r:id="rId23" name="Check Box 20">
              <controlPr locked="0" defaultSize="0" autoFill="0" autoLine="0" autoPict="0">
                <anchor moveWithCells="1">
                  <from>
                    <xdr:col>2</xdr:col>
                    <xdr:colOff>400050</xdr:colOff>
                    <xdr:row>21</xdr:row>
                    <xdr:rowOff>0</xdr:rowOff>
                  </from>
                  <to>
                    <xdr:col>2</xdr:col>
                    <xdr:colOff>885825</xdr:colOff>
                    <xdr:row>21</xdr:row>
                    <xdr:rowOff>219075</xdr:rowOff>
                  </to>
                </anchor>
              </controlPr>
            </control>
          </mc:Choice>
        </mc:AlternateContent>
        <mc:AlternateContent xmlns:mc="http://schemas.openxmlformats.org/markup-compatibility/2006">
          <mc:Choice Requires="x14">
            <control shapeId="100373" r:id="rId24" name="Check Box 21">
              <controlPr locked="0" defaultSize="0" autoFill="0" autoLine="0" autoPict="0">
                <anchor moveWithCells="1">
                  <from>
                    <xdr:col>2</xdr:col>
                    <xdr:colOff>57150</xdr:colOff>
                    <xdr:row>22</xdr:row>
                    <xdr:rowOff>0</xdr:rowOff>
                  </from>
                  <to>
                    <xdr:col>2</xdr:col>
                    <xdr:colOff>542925</xdr:colOff>
                    <xdr:row>22</xdr:row>
                    <xdr:rowOff>219075</xdr:rowOff>
                  </to>
                </anchor>
              </controlPr>
            </control>
          </mc:Choice>
        </mc:AlternateContent>
        <mc:AlternateContent xmlns:mc="http://schemas.openxmlformats.org/markup-compatibility/2006">
          <mc:Choice Requires="x14">
            <control shapeId="100374" r:id="rId25" name="Check Box 22">
              <controlPr locked="0" defaultSize="0" autoFill="0" autoLine="0" autoPict="0">
                <anchor moveWithCells="1">
                  <from>
                    <xdr:col>2</xdr:col>
                    <xdr:colOff>400050</xdr:colOff>
                    <xdr:row>22</xdr:row>
                    <xdr:rowOff>0</xdr:rowOff>
                  </from>
                  <to>
                    <xdr:col>2</xdr:col>
                    <xdr:colOff>885825</xdr:colOff>
                    <xdr:row>22</xdr:row>
                    <xdr:rowOff>219075</xdr:rowOff>
                  </to>
                </anchor>
              </controlPr>
            </control>
          </mc:Choice>
        </mc:AlternateContent>
        <mc:AlternateContent xmlns:mc="http://schemas.openxmlformats.org/markup-compatibility/2006">
          <mc:Choice Requires="x14">
            <control shapeId="100377" r:id="rId26" name="Check Box 25">
              <controlPr locked="0" defaultSize="0" autoFill="0" autoLine="0" autoPict="0">
                <anchor moveWithCells="1">
                  <from>
                    <xdr:col>2</xdr:col>
                    <xdr:colOff>57150</xdr:colOff>
                    <xdr:row>24</xdr:row>
                    <xdr:rowOff>0</xdr:rowOff>
                  </from>
                  <to>
                    <xdr:col>2</xdr:col>
                    <xdr:colOff>542925</xdr:colOff>
                    <xdr:row>24</xdr:row>
                    <xdr:rowOff>219075</xdr:rowOff>
                  </to>
                </anchor>
              </controlPr>
            </control>
          </mc:Choice>
        </mc:AlternateContent>
        <mc:AlternateContent xmlns:mc="http://schemas.openxmlformats.org/markup-compatibility/2006">
          <mc:Choice Requires="x14">
            <control shapeId="100378" r:id="rId27" name="Check Box 26">
              <controlPr locked="0" defaultSize="0" autoFill="0" autoLine="0" autoPict="0">
                <anchor moveWithCells="1">
                  <from>
                    <xdr:col>2</xdr:col>
                    <xdr:colOff>400050</xdr:colOff>
                    <xdr:row>24</xdr:row>
                    <xdr:rowOff>0</xdr:rowOff>
                  </from>
                  <to>
                    <xdr:col>2</xdr:col>
                    <xdr:colOff>885825</xdr:colOff>
                    <xdr:row>24</xdr:row>
                    <xdr:rowOff>219075</xdr:rowOff>
                  </to>
                </anchor>
              </controlPr>
            </control>
          </mc:Choice>
        </mc:AlternateContent>
        <mc:AlternateContent xmlns:mc="http://schemas.openxmlformats.org/markup-compatibility/2006">
          <mc:Choice Requires="x14">
            <control shapeId="100379" r:id="rId28" name="Check Box 27">
              <controlPr locked="0" defaultSize="0" autoFill="0" autoLine="0" autoPict="0">
                <anchor moveWithCells="1">
                  <from>
                    <xdr:col>2</xdr:col>
                    <xdr:colOff>57150</xdr:colOff>
                    <xdr:row>23</xdr:row>
                    <xdr:rowOff>0</xdr:rowOff>
                  </from>
                  <to>
                    <xdr:col>2</xdr:col>
                    <xdr:colOff>542925</xdr:colOff>
                    <xdr:row>23</xdr:row>
                    <xdr:rowOff>219075</xdr:rowOff>
                  </to>
                </anchor>
              </controlPr>
            </control>
          </mc:Choice>
        </mc:AlternateContent>
        <mc:AlternateContent xmlns:mc="http://schemas.openxmlformats.org/markup-compatibility/2006">
          <mc:Choice Requires="x14">
            <control shapeId="100380" r:id="rId29" name="Check Box 28">
              <controlPr locked="0" defaultSize="0" autoFill="0" autoLine="0" autoPict="0">
                <anchor moveWithCells="1">
                  <from>
                    <xdr:col>2</xdr:col>
                    <xdr:colOff>400050</xdr:colOff>
                    <xdr:row>23</xdr:row>
                    <xdr:rowOff>0</xdr:rowOff>
                  </from>
                  <to>
                    <xdr:col>2</xdr:col>
                    <xdr:colOff>885825</xdr:colOff>
                    <xdr:row>23</xdr:row>
                    <xdr:rowOff>219075</xdr:rowOff>
                  </to>
                </anchor>
              </controlPr>
            </control>
          </mc:Choice>
        </mc:AlternateContent>
        <mc:AlternateContent xmlns:mc="http://schemas.openxmlformats.org/markup-compatibility/2006">
          <mc:Choice Requires="x14">
            <control shapeId="100381" r:id="rId30" name="Check Box 29">
              <controlPr locked="0" defaultSize="0" autoFill="0" autoLine="0" autoPict="0">
                <anchor moveWithCells="1">
                  <from>
                    <xdr:col>2</xdr:col>
                    <xdr:colOff>57150</xdr:colOff>
                    <xdr:row>14</xdr:row>
                    <xdr:rowOff>0</xdr:rowOff>
                  </from>
                  <to>
                    <xdr:col>2</xdr:col>
                    <xdr:colOff>542925</xdr:colOff>
                    <xdr:row>14</xdr:row>
                    <xdr:rowOff>219075</xdr:rowOff>
                  </to>
                </anchor>
              </controlPr>
            </control>
          </mc:Choice>
        </mc:AlternateContent>
        <mc:AlternateContent xmlns:mc="http://schemas.openxmlformats.org/markup-compatibility/2006">
          <mc:Choice Requires="x14">
            <control shapeId="100382" r:id="rId31" name="Check Box 30">
              <controlPr locked="0" defaultSize="0" autoFill="0" autoLine="0" autoPict="0">
                <anchor moveWithCells="1">
                  <from>
                    <xdr:col>2</xdr:col>
                    <xdr:colOff>400050</xdr:colOff>
                    <xdr:row>14</xdr:row>
                    <xdr:rowOff>0</xdr:rowOff>
                  </from>
                  <to>
                    <xdr:col>2</xdr:col>
                    <xdr:colOff>885825</xdr:colOff>
                    <xdr:row>14</xdr:row>
                    <xdr:rowOff>219075</xdr:rowOff>
                  </to>
                </anchor>
              </controlPr>
            </control>
          </mc:Choice>
        </mc:AlternateContent>
        <mc:AlternateContent xmlns:mc="http://schemas.openxmlformats.org/markup-compatibility/2006">
          <mc:Choice Requires="x14">
            <control shapeId="100383" r:id="rId32" name="Check Box 31">
              <controlPr locked="0" defaultSize="0" autoFill="0" autoLine="0" autoPict="0">
                <anchor moveWithCells="1">
                  <from>
                    <xdr:col>2</xdr:col>
                    <xdr:colOff>57150</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100384" r:id="rId33" name="Check Box 32">
              <controlPr locked="0" defaultSize="0" autoFill="0" autoLine="0" autoPict="0">
                <anchor moveWithCells="1">
                  <from>
                    <xdr:col>2</xdr:col>
                    <xdr:colOff>400050</xdr:colOff>
                    <xdr:row>15</xdr:row>
                    <xdr:rowOff>0</xdr:rowOff>
                  </from>
                  <to>
                    <xdr:col>2</xdr:col>
                    <xdr:colOff>885825</xdr:colOff>
                    <xdr:row>15</xdr:row>
                    <xdr:rowOff>219075</xdr:rowOff>
                  </to>
                </anchor>
              </controlPr>
            </control>
          </mc:Choice>
        </mc:AlternateContent>
        <mc:AlternateContent xmlns:mc="http://schemas.openxmlformats.org/markup-compatibility/2006">
          <mc:Choice Requires="x14">
            <control shapeId="100385" r:id="rId34" name="Check Box 33">
              <controlPr locked="0" defaultSize="0" autoFill="0" autoLine="0" autoPict="0">
                <anchor moveWithCells="1">
                  <from>
                    <xdr:col>2</xdr:col>
                    <xdr:colOff>57150</xdr:colOff>
                    <xdr:row>16</xdr:row>
                    <xdr:rowOff>0</xdr:rowOff>
                  </from>
                  <to>
                    <xdr:col>2</xdr:col>
                    <xdr:colOff>542925</xdr:colOff>
                    <xdr:row>16</xdr:row>
                    <xdr:rowOff>219075</xdr:rowOff>
                  </to>
                </anchor>
              </controlPr>
            </control>
          </mc:Choice>
        </mc:AlternateContent>
        <mc:AlternateContent xmlns:mc="http://schemas.openxmlformats.org/markup-compatibility/2006">
          <mc:Choice Requires="x14">
            <control shapeId="100386" r:id="rId35" name="Check Box 34">
              <controlPr locked="0" defaultSize="0" autoFill="0" autoLine="0" autoPict="0">
                <anchor moveWithCells="1">
                  <from>
                    <xdr:col>2</xdr:col>
                    <xdr:colOff>400050</xdr:colOff>
                    <xdr:row>16</xdr:row>
                    <xdr:rowOff>0</xdr:rowOff>
                  </from>
                  <to>
                    <xdr:col>2</xdr:col>
                    <xdr:colOff>885825</xdr:colOff>
                    <xdr:row>16</xdr:row>
                    <xdr:rowOff>219075</xdr:rowOff>
                  </to>
                </anchor>
              </controlPr>
            </control>
          </mc:Choice>
        </mc:AlternateContent>
        <mc:AlternateContent xmlns:mc="http://schemas.openxmlformats.org/markup-compatibility/2006">
          <mc:Choice Requires="x14">
            <control shapeId="100387" r:id="rId36" name="Check Box 35">
              <controlPr locked="0" defaultSize="0" autoFill="0" autoLine="0" autoPict="0">
                <anchor moveWithCells="1">
                  <from>
                    <xdr:col>2</xdr:col>
                    <xdr:colOff>57150</xdr:colOff>
                    <xdr:row>17</xdr:row>
                    <xdr:rowOff>0</xdr:rowOff>
                  </from>
                  <to>
                    <xdr:col>2</xdr:col>
                    <xdr:colOff>542925</xdr:colOff>
                    <xdr:row>17</xdr:row>
                    <xdr:rowOff>219075</xdr:rowOff>
                  </to>
                </anchor>
              </controlPr>
            </control>
          </mc:Choice>
        </mc:AlternateContent>
        <mc:AlternateContent xmlns:mc="http://schemas.openxmlformats.org/markup-compatibility/2006">
          <mc:Choice Requires="x14">
            <control shapeId="100388" r:id="rId37" name="Check Box 36">
              <controlPr locked="0" defaultSize="0" autoFill="0" autoLine="0" autoPict="0">
                <anchor moveWithCells="1">
                  <from>
                    <xdr:col>2</xdr:col>
                    <xdr:colOff>400050</xdr:colOff>
                    <xdr:row>17</xdr:row>
                    <xdr:rowOff>0</xdr:rowOff>
                  </from>
                  <to>
                    <xdr:col>2</xdr:col>
                    <xdr:colOff>885825</xdr:colOff>
                    <xdr:row>17</xdr:row>
                    <xdr:rowOff>219075</xdr:rowOff>
                  </to>
                </anchor>
              </controlPr>
            </control>
          </mc:Choice>
        </mc:AlternateContent>
        <mc:AlternateContent xmlns:mc="http://schemas.openxmlformats.org/markup-compatibility/2006">
          <mc:Choice Requires="x14">
            <control shapeId="100389" r:id="rId38" name="Check Box 37">
              <controlPr locked="0" defaultSize="0" autoFill="0" autoLine="0" autoPict="0">
                <anchor moveWithCells="1">
                  <from>
                    <xdr:col>2</xdr:col>
                    <xdr:colOff>57150</xdr:colOff>
                    <xdr:row>18</xdr:row>
                    <xdr:rowOff>0</xdr:rowOff>
                  </from>
                  <to>
                    <xdr:col>2</xdr:col>
                    <xdr:colOff>542925</xdr:colOff>
                    <xdr:row>18</xdr:row>
                    <xdr:rowOff>219075</xdr:rowOff>
                  </to>
                </anchor>
              </controlPr>
            </control>
          </mc:Choice>
        </mc:AlternateContent>
        <mc:AlternateContent xmlns:mc="http://schemas.openxmlformats.org/markup-compatibility/2006">
          <mc:Choice Requires="x14">
            <control shapeId="100390" r:id="rId39" name="Check Box 38">
              <controlPr locked="0" defaultSize="0" autoFill="0" autoLine="0" autoPict="0">
                <anchor moveWithCells="1">
                  <from>
                    <xdr:col>2</xdr:col>
                    <xdr:colOff>400050</xdr:colOff>
                    <xdr:row>18</xdr:row>
                    <xdr:rowOff>0</xdr:rowOff>
                  </from>
                  <to>
                    <xdr:col>2</xdr:col>
                    <xdr:colOff>885825</xdr:colOff>
                    <xdr:row>18</xdr:row>
                    <xdr:rowOff>219075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44AD9-495D-4652-A206-60A33B8C7C52}">
  <sheetPr>
    <tabColor rgb="FFFFFF00"/>
  </sheetPr>
  <dimension ref="B2:J11"/>
  <sheetViews>
    <sheetView workbookViewId="0">
      <selection activeCell="P16" sqref="A16:P16"/>
    </sheetView>
  </sheetViews>
  <sheetFormatPr defaultColWidth="9.140625" defaultRowHeight="15" x14ac:dyDescent="0.25"/>
  <cols>
    <col min="1" max="1" width="6.28515625" style="1" customWidth="1"/>
    <col min="2" max="2" width="14.140625" style="1" customWidth="1"/>
    <col min="3" max="3" width="14" style="1" customWidth="1"/>
    <col min="4" max="4" width="12.140625" style="1" customWidth="1"/>
    <col min="5" max="5" width="14.5703125" style="1" customWidth="1"/>
    <col min="6" max="16384" width="9.140625" style="1"/>
  </cols>
  <sheetData>
    <row r="2" spans="2:10" x14ac:dyDescent="0.25">
      <c r="B2" s="1078" t="s">
        <v>683</v>
      </c>
      <c r="C2" s="1079"/>
      <c r="D2" s="1079"/>
      <c r="E2" s="1079"/>
      <c r="F2" s="1079"/>
      <c r="G2" s="1079"/>
      <c r="H2" s="1079"/>
      <c r="I2" s="1079"/>
      <c r="J2" s="1080"/>
    </row>
    <row r="3" spans="2:10" ht="15" customHeight="1" x14ac:dyDescent="0.25">
      <c r="B3" s="1009" t="s">
        <v>684</v>
      </c>
      <c r="C3" s="1009"/>
      <c r="D3" s="1081" t="s">
        <v>685</v>
      </c>
      <c r="E3" s="1083" t="s">
        <v>686</v>
      </c>
      <c r="F3" s="1085" t="s">
        <v>687</v>
      </c>
      <c r="G3" s="1086"/>
      <c r="H3" s="1086"/>
      <c r="I3" s="1086"/>
      <c r="J3" s="1087"/>
    </row>
    <row r="4" spans="2:10" ht="30" x14ac:dyDescent="0.25">
      <c r="B4" s="80" t="s">
        <v>688</v>
      </c>
      <c r="C4" s="80" t="s">
        <v>689</v>
      </c>
      <c r="D4" s="1082"/>
      <c r="E4" s="1084"/>
      <c r="F4" s="838" t="s">
        <v>690</v>
      </c>
      <c r="G4" s="839" t="s">
        <v>691</v>
      </c>
      <c r="H4" s="839" t="s">
        <v>692</v>
      </c>
      <c r="I4" s="839" t="s">
        <v>693</v>
      </c>
      <c r="J4" s="840" t="s">
        <v>694</v>
      </c>
    </row>
    <row r="5" spans="2:10" x14ac:dyDescent="0.25">
      <c r="B5" s="832">
        <v>351</v>
      </c>
      <c r="C5" s="833">
        <v>9.9999999999999997E+98</v>
      </c>
      <c r="D5" s="834" t="s">
        <v>695</v>
      </c>
      <c r="E5" s="835">
        <v>250</v>
      </c>
      <c r="F5" s="836">
        <v>4.5</v>
      </c>
      <c r="G5" s="837">
        <v>5</v>
      </c>
      <c r="H5" s="837">
        <v>5</v>
      </c>
      <c r="I5" s="837">
        <v>5</v>
      </c>
      <c r="J5" s="837">
        <v>5</v>
      </c>
    </row>
    <row r="6" spans="2:10" x14ac:dyDescent="0.25">
      <c r="B6" s="834">
        <v>251</v>
      </c>
      <c r="C6" s="834">
        <v>350</v>
      </c>
      <c r="D6" s="834" t="s">
        <v>696</v>
      </c>
      <c r="E6" s="835">
        <v>200</v>
      </c>
      <c r="F6" s="837">
        <v>3</v>
      </c>
      <c r="G6" s="837">
        <v>4</v>
      </c>
      <c r="H6" s="836">
        <v>4.5</v>
      </c>
      <c r="I6" s="836">
        <v>4.5</v>
      </c>
      <c r="J6" s="836">
        <v>4.5</v>
      </c>
    </row>
    <row r="7" spans="2:10" x14ac:dyDescent="0.25">
      <c r="B7" s="834">
        <v>201</v>
      </c>
      <c r="C7" s="834">
        <v>250</v>
      </c>
      <c r="D7" s="834" t="s">
        <v>697</v>
      </c>
      <c r="E7" s="835">
        <v>150</v>
      </c>
      <c r="F7" s="836">
        <v>2.5</v>
      </c>
      <c r="G7" s="836">
        <v>2.5</v>
      </c>
      <c r="H7" s="836">
        <v>2.5</v>
      </c>
      <c r="I7" s="836">
        <v>3</v>
      </c>
      <c r="J7" s="836">
        <v>3</v>
      </c>
    </row>
    <row r="8" spans="2:10" x14ac:dyDescent="0.25">
      <c r="B8" s="834">
        <v>141</v>
      </c>
      <c r="C8" s="834">
        <v>200</v>
      </c>
      <c r="D8" s="834" t="s">
        <v>698</v>
      </c>
      <c r="E8" s="835">
        <v>125</v>
      </c>
      <c r="F8" s="836">
        <v>1.5</v>
      </c>
      <c r="G8" s="836">
        <v>1.5</v>
      </c>
      <c r="H8" s="836">
        <v>2</v>
      </c>
      <c r="I8" s="836">
        <v>2</v>
      </c>
      <c r="J8" s="836">
        <v>2</v>
      </c>
    </row>
    <row r="9" spans="2:10" x14ac:dyDescent="0.25">
      <c r="B9" s="834">
        <v>105</v>
      </c>
      <c r="C9" s="834">
        <v>140</v>
      </c>
      <c r="D9" s="834" t="s">
        <v>699</v>
      </c>
      <c r="E9" s="835">
        <v>100</v>
      </c>
      <c r="F9" s="836">
        <v>1</v>
      </c>
      <c r="G9" s="836">
        <v>1</v>
      </c>
      <c r="H9" s="836">
        <v>1.5</v>
      </c>
      <c r="I9" s="836">
        <v>1.5</v>
      </c>
      <c r="J9" s="836">
        <v>1.5</v>
      </c>
    </row>
    <row r="10" spans="2:10" x14ac:dyDescent="0.25">
      <c r="B10" s="834">
        <v>41</v>
      </c>
      <c r="C10" s="834">
        <v>104</v>
      </c>
      <c r="D10" s="834" t="s">
        <v>700</v>
      </c>
      <c r="E10" s="835">
        <v>75</v>
      </c>
      <c r="F10" s="836">
        <v>0.5</v>
      </c>
      <c r="G10" s="836">
        <v>0.5</v>
      </c>
      <c r="H10" s="836">
        <v>1</v>
      </c>
      <c r="I10" s="836">
        <v>1</v>
      </c>
      <c r="J10" s="836">
        <v>1</v>
      </c>
    </row>
    <row r="11" spans="2:10" x14ac:dyDescent="0.25">
      <c r="B11" s="834">
        <v>32</v>
      </c>
      <c r="C11" s="834">
        <v>40</v>
      </c>
      <c r="D11" s="834" t="s">
        <v>701</v>
      </c>
      <c r="E11" s="835">
        <v>50</v>
      </c>
      <c r="F11" s="836">
        <v>0.5</v>
      </c>
      <c r="G11" s="836">
        <v>1</v>
      </c>
      <c r="H11" s="836">
        <v>1</v>
      </c>
      <c r="I11" s="836">
        <v>1</v>
      </c>
      <c r="J11" s="836">
        <v>1.5</v>
      </c>
    </row>
  </sheetData>
  <sheetProtection algorithmName="SHA-512" hashValue="3pJnJ77MKM/4XFzQfHvFvwKMuU2vaWF8E93sKil+O2mlpmNbSji+H3k645BSg58Wx4zlNFMKCt9x3hW3UsqmBw==" saltValue="CnNryO/7ahzSm+QJ8FOV9A==" spinCount="100000" sheet="1" objects="1" scenarios="1"/>
  <mergeCells count="5">
    <mergeCell ref="B2:J2"/>
    <mergeCell ref="B3:C3"/>
    <mergeCell ref="D3:D4"/>
    <mergeCell ref="E3:E4"/>
    <mergeCell ref="F3:J3"/>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EFB8A-4FD5-4502-AC2E-160FF7F5295C}">
  <sheetPr>
    <tabColor rgb="FFFFFF00"/>
  </sheetPr>
  <dimension ref="B2:E9"/>
  <sheetViews>
    <sheetView zoomScaleNormal="100" workbookViewId="0">
      <selection activeCell="P16" sqref="A16:P16"/>
    </sheetView>
  </sheetViews>
  <sheetFormatPr defaultColWidth="9.140625" defaultRowHeight="15" x14ac:dyDescent="0.25"/>
  <cols>
    <col min="1" max="1" width="3.140625" style="102" customWidth="1"/>
    <col min="2" max="2" width="33.85546875" style="100" customWidth="1"/>
    <col min="3" max="5" width="19.5703125" style="101" customWidth="1"/>
    <col min="6" max="16384" width="9.140625" style="102"/>
  </cols>
  <sheetData>
    <row r="2" spans="2:5" ht="12.75" customHeight="1" x14ac:dyDescent="0.25">
      <c r="B2" s="101">
        <v>1</v>
      </c>
      <c r="C2" s="101">
        <v>2</v>
      </c>
      <c r="D2" s="101">
        <v>3</v>
      </c>
      <c r="E2" s="101">
        <v>4</v>
      </c>
    </row>
    <row r="3" spans="2:5" ht="18.75" x14ac:dyDescent="0.25">
      <c r="B3" s="103" t="s">
        <v>702</v>
      </c>
      <c r="C3" s="104">
        <v>4</v>
      </c>
      <c r="D3" s="104">
        <v>5</v>
      </c>
      <c r="E3" s="104">
        <v>6</v>
      </c>
    </row>
    <row r="4" spans="2:5" x14ac:dyDescent="0.25">
      <c r="B4" s="105" t="s">
        <v>373</v>
      </c>
      <c r="C4" s="428">
        <f>ROUND(1/0.03,1)</f>
        <v>33.299999999999997</v>
      </c>
      <c r="D4" s="428">
        <f>ROUND(1/0.03,1)</f>
        <v>33.299999999999997</v>
      </c>
      <c r="E4" s="428">
        <f>ROUND(1/0.029,1)</f>
        <v>34.5</v>
      </c>
    </row>
    <row r="5" spans="2:5" x14ac:dyDescent="0.25">
      <c r="B5" s="105" t="s">
        <v>377</v>
      </c>
      <c r="C5" s="428">
        <f>ROUND(1/0.035,1)</f>
        <v>28.6</v>
      </c>
      <c r="D5" s="428">
        <f>ROUND(1/0.035,1)</f>
        <v>28.6</v>
      </c>
      <c r="E5" s="429">
        <f>ROUND(1/0.029,1)</f>
        <v>34.5</v>
      </c>
    </row>
    <row r="6" spans="2:5" x14ac:dyDescent="0.25">
      <c r="B6" s="105" t="s">
        <v>379</v>
      </c>
      <c r="C6" s="428">
        <f>ROUND(1/0.02,1)</f>
        <v>50</v>
      </c>
      <c r="D6" s="428">
        <f>ROUND(1/0.02,1)</f>
        <v>50</v>
      </c>
      <c r="E6" s="430">
        <f>ROUND(1/0.019,1)</f>
        <v>52.6</v>
      </c>
    </row>
    <row r="9" spans="2:5" x14ac:dyDescent="0.25">
      <c r="B9" s="100" t="s">
        <v>703</v>
      </c>
    </row>
  </sheetData>
  <sheetProtection algorithmName="SHA-512" hashValue="4bP85Afw2Cuq2Sp4MNW8WHyLoyHH3oUyGWoOt3YiHiJXduLnPsAt394AgiV005nnXlVcVrvSyBnwE+cLy92RjQ==" saltValue="gXaxJCIT3bHnqu7pS7a0sA=="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9AFB7-BBC1-463A-87EA-237963AE8B8C}">
  <sheetPr>
    <tabColor rgb="FFFFFF00"/>
  </sheetPr>
  <dimension ref="B2:E27"/>
  <sheetViews>
    <sheetView zoomScaleNormal="100" workbookViewId="0">
      <selection activeCell="P16" sqref="A16:P16"/>
    </sheetView>
  </sheetViews>
  <sheetFormatPr defaultColWidth="9.140625" defaultRowHeight="15" x14ac:dyDescent="0.25"/>
  <cols>
    <col min="1" max="1" width="3.140625" style="102" customWidth="1"/>
    <col min="2" max="2" width="38.28515625" style="100" customWidth="1"/>
    <col min="3" max="5" width="24.28515625" style="101" customWidth="1"/>
    <col min="6" max="9" width="9.140625" style="102"/>
    <col min="10" max="10" width="27.28515625" style="102" customWidth="1"/>
    <col min="11" max="11" width="22" style="102" customWidth="1"/>
    <col min="12" max="12" width="23.42578125" style="102" customWidth="1"/>
    <col min="13" max="13" width="29.140625" style="102" customWidth="1"/>
    <col min="14" max="14" width="22.5703125" style="102" customWidth="1"/>
    <col min="15" max="16384" width="9.140625" style="102"/>
  </cols>
  <sheetData>
    <row r="2" spans="2:5" x14ac:dyDescent="0.25">
      <c r="B2" s="101">
        <v>1</v>
      </c>
      <c r="C2" s="101">
        <v>2</v>
      </c>
      <c r="D2" s="101">
        <v>3</v>
      </c>
      <c r="E2" s="101">
        <v>4</v>
      </c>
    </row>
    <row r="3" spans="2:5" ht="18.75" x14ac:dyDescent="0.25">
      <c r="B3" s="109" t="s">
        <v>702</v>
      </c>
      <c r="C3" s="106">
        <v>4</v>
      </c>
      <c r="D3" s="108">
        <v>5</v>
      </c>
      <c r="E3" s="108">
        <v>6</v>
      </c>
    </row>
    <row r="4" spans="2:5" x14ac:dyDescent="0.25">
      <c r="B4" s="107" t="s">
        <v>419</v>
      </c>
      <c r="C4" s="429">
        <f>ROUND(1/0.09,1)</f>
        <v>11.1</v>
      </c>
      <c r="D4" s="429">
        <f>ROUND(1/0.08,1)</f>
        <v>12.5</v>
      </c>
      <c r="E4" s="429">
        <f>ROUND(1/0.071,1)</f>
        <v>14.1</v>
      </c>
    </row>
    <row r="5" spans="2:5" x14ac:dyDescent="0.25">
      <c r="B5" s="107" t="s">
        <v>421</v>
      </c>
      <c r="C5" s="431">
        <f>ROUND(1/0.048,1)</f>
        <v>20.8</v>
      </c>
      <c r="D5" s="431">
        <f>ROUND(1/0.048,1)</f>
        <v>20.8</v>
      </c>
      <c r="E5" s="431">
        <f>ROUND(1/0.048,1)</f>
        <v>20.8</v>
      </c>
    </row>
    <row r="6" spans="2:5" x14ac:dyDescent="0.25">
      <c r="B6" s="138" t="s">
        <v>422</v>
      </c>
      <c r="C6" s="432">
        <f>ROUND(1/0.061,1)</f>
        <v>16.399999999999999</v>
      </c>
      <c r="D6" s="432">
        <f>ROUND(1/0.052,1)</f>
        <v>19.2</v>
      </c>
      <c r="E6" s="432">
        <f>ROUND(1/0.047,1)</f>
        <v>21.3</v>
      </c>
    </row>
    <row r="7" spans="2:5" x14ac:dyDescent="0.25">
      <c r="B7" s="105" t="s">
        <v>424</v>
      </c>
      <c r="C7" s="433">
        <f>ROUND(1/0.061,1)</f>
        <v>16.399999999999999</v>
      </c>
      <c r="D7" s="433">
        <f>ROUND(1/0.048,1)</f>
        <v>20.8</v>
      </c>
      <c r="E7" s="433">
        <f>ROUND(1/0.048,1)</f>
        <v>20.8</v>
      </c>
    </row>
    <row r="8" spans="2:5" x14ac:dyDescent="0.25">
      <c r="B8" s="105" t="s">
        <v>425</v>
      </c>
      <c r="C8" s="433">
        <f>ROUND(1/0.119,1)</f>
        <v>8.4</v>
      </c>
      <c r="D8" s="433">
        <f>ROUND(1/0.119,1)</f>
        <v>8.4</v>
      </c>
      <c r="E8" s="433">
        <f>ROUND(1/0.092,1)</f>
        <v>10.9</v>
      </c>
    </row>
    <row r="10" spans="2:5" hidden="1" x14ac:dyDescent="0.25">
      <c r="B10" s="100" t="s">
        <v>397</v>
      </c>
      <c r="C10" s="101">
        <v>4</v>
      </c>
      <c r="D10" s="101">
        <v>5</v>
      </c>
      <c r="E10" s="101">
        <v>6</v>
      </c>
    </row>
    <row r="11" spans="2:5" hidden="1" x14ac:dyDescent="0.25">
      <c r="B11" s="100" t="s">
        <v>704</v>
      </c>
      <c r="C11" s="101">
        <f>13*(1-0.25)+4.5</f>
        <v>14.25</v>
      </c>
      <c r="D11" s="101">
        <f>11*(1-0.25)+10</f>
        <v>18.25</v>
      </c>
      <c r="E11" s="101">
        <f>11*(1-0.25)+10</f>
        <v>18.25</v>
      </c>
    </row>
    <row r="12" spans="2:5" hidden="1" x14ac:dyDescent="0.25">
      <c r="B12" s="100" t="s">
        <v>704</v>
      </c>
      <c r="C12" s="101">
        <f>19*(1-0.25)+1.5</f>
        <v>15.75</v>
      </c>
      <c r="D12" s="101">
        <f>19*(1-0.25)+5</f>
        <v>19.25</v>
      </c>
      <c r="E12" s="101">
        <f>19*(1-0.25)+5</f>
        <v>19.25</v>
      </c>
    </row>
    <row r="13" spans="2:5" hidden="1" x14ac:dyDescent="0.25">
      <c r="B13" s="100" t="s">
        <v>704</v>
      </c>
      <c r="D13" s="101">
        <f>21*(1-0.25)+4</f>
        <v>19.75</v>
      </c>
      <c r="E13" s="101">
        <f>21*(1-0.25)+4</f>
        <v>19.75</v>
      </c>
    </row>
    <row r="14" spans="2:5" hidden="1" x14ac:dyDescent="0.25"/>
    <row r="15" spans="2:5" hidden="1" x14ac:dyDescent="0.25">
      <c r="B15" s="100" t="s">
        <v>397</v>
      </c>
      <c r="C15" s="101">
        <v>4</v>
      </c>
      <c r="D15" s="101">
        <v>5</v>
      </c>
      <c r="E15" s="101">
        <v>6</v>
      </c>
    </row>
    <row r="16" spans="2:5" hidden="1" x14ac:dyDescent="0.25">
      <c r="B16" s="100" t="s">
        <v>705</v>
      </c>
      <c r="C16" s="101" t="s">
        <v>706</v>
      </c>
      <c r="D16" s="101" t="s">
        <v>706</v>
      </c>
      <c r="E16" s="101" t="s">
        <v>707</v>
      </c>
    </row>
    <row r="17" spans="2:5" hidden="1" x14ac:dyDescent="0.25">
      <c r="B17" s="100" t="s">
        <v>421</v>
      </c>
      <c r="C17" s="101" t="s">
        <v>708</v>
      </c>
      <c r="D17" s="101" t="s">
        <v>708</v>
      </c>
      <c r="E17" s="101" t="s">
        <v>708</v>
      </c>
    </row>
    <row r="18" spans="2:5" ht="15" hidden="1" customHeight="1" x14ac:dyDescent="0.25">
      <c r="B18" s="139" t="s">
        <v>704</v>
      </c>
      <c r="C18" s="140" t="s">
        <v>709</v>
      </c>
      <c r="D18" s="141" t="s">
        <v>710</v>
      </c>
      <c r="E18" s="141" t="s">
        <v>710</v>
      </c>
    </row>
    <row r="19" spans="2:5" hidden="1" x14ac:dyDescent="0.25">
      <c r="B19" s="139" t="s">
        <v>704</v>
      </c>
      <c r="C19" s="141" t="s">
        <v>711</v>
      </c>
      <c r="D19" s="141" t="s">
        <v>712</v>
      </c>
      <c r="E19" s="141" t="s">
        <v>712</v>
      </c>
    </row>
    <row r="20" spans="2:5" hidden="1" x14ac:dyDescent="0.25">
      <c r="B20" s="139" t="s">
        <v>704</v>
      </c>
      <c r="C20" s="141"/>
      <c r="D20" s="141" t="s">
        <v>713</v>
      </c>
      <c r="E20" s="141" t="s">
        <v>713</v>
      </c>
    </row>
    <row r="21" spans="2:5" hidden="1" x14ac:dyDescent="0.25">
      <c r="B21" s="100" t="s">
        <v>714</v>
      </c>
      <c r="C21" s="101" t="s">
        <v>715</v>
      </c>
      <c r="D21" s="101" t="s">
        <v>715</v>
      </c>
      <c r="E21" s="101" t="s">
        <v>716</v>
      </c>
    </row>
    <row r="22" spans="2:5" hidden="1" x14ac:dyDescent="0.25"/>
    <row r="23" spans="2:5" hidden="1" x14ac:dyDescent="0.25"/>
    <row r="24" spans="2:5" ht="14.25" customHeight="1" x14ac:dyDescent="0.25"/>
    <row r="27" spans="2:5" x14ac:dyDescent="0.25">
      <c r="B27" s="100" t="s">
        <v>703</v>
      </c>
    </row>
  </sheetData>
  <sheetProtection algorithmName="SHA-512" hashValue="Vq94S66HMpk2Mrd9uac1F+SQfpJg3VLOH8ZKnuCYCLIrKEz8aWV3lnOufWId5dAGtOIdh7Qugf8SDv4ntYMZvQ==" saltValue="wDmFbOJ+OCkZT/jHVuxB/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1D84-60E2-492B-8185-79F30F71789F}">
  <sheetPr>
    <tabColor rgb="FF00B050"/>
    <pageSetUpPr fitToPage="1"/>
  </sheetPr>
  <dimension ref="A1:O44"/>
  <sheetViews>
    <sheetView zoomScale="120" zoomScaleNormal="120" workbookViewId="0">
      <selection activeCell="I11" sqref="I11"/>
    </sheetView>
  </sheetViews>
  <sheetFormatPr defaultColWidth="9.140625" defaultRowHeight="12.75" x14ac:dyDescent="0.2"/>
  <cols>
    <col min="1" max="1" width="2.28515625" style="17" customWidth="1"/>
    <col min="2" max="2" width="115.28515625" style="17" customWidth="1"/>
    <col min="3" max="3" width="4.42578125" style="17" customWidth="1"/>
    <col min="4" max="4" width="2.85546875" style="17" customWidth="1"/>
    <col min="5" max="5" width="2.42578125" style="17" customWidth="1"/>
    <col min="6" max="16384" width="9.140625" style="17"/>
  </cols>
  <sheetData>
    <row r="1" spans="1:15" ht="12" customHeight="1" thickBot="1" x14ac:dyDescent="0.25">
      <c r="A1" s="12"/>
      <c r="B1" s="12"/>
      <c r="C1" s="12"/>
      <c r="D1" s="12"/>
      <c r="E1" s="12"/>
    </row>
    <row r="2" spans="1:15" ht="24" customHeight="1" x14ac:dyDescent="0.2">
      <c r="A2" s="12"/>
      <c r="B2" s="841"/>
      <c r="C2" s="842"/>
      <c r="D2" s="843"/>
      <c r="E2" s="12"/>
    </row>
    <row r="3" spans="1:15" ht="23.25" x14ac:dyDescent="0.35">
      <c r="A3" s="12"/>
      <c r="B3" s="13" t="s">
        <v>71</v>
      </c>
      <c r="C3" s="844"/>
      <c r="D3" s="845"/>
      <c r="E3" s="12"/>
    </row>
    <row r="4" spans="1:15" ht="24" thickBot="1" x14ac:dyDescent="0.4">
      <c r="A4" s="12"/>
      <c r="B4" s="846" t="s">
        <v>72</v>
      </c>
      <c r="C4" s="847"/>
      <c r="D4" s="848"/>
      <c r="E4" s="12"/>
    </row>
    <row r="5" spans="1:15" ht="7.5" customHeight="1" x14ac:dyDescent="0.2">
      <c r="A5" s="12"/>
      <c r="E5" s="12"/>
    </row>
    <row r="6" spans="1:15" x14ac:dyDescent="0.2">
      <c r="A6" s="12"/>
      <c r="B6" s="849" t="s">
        <v>73</v>
      </c>
      <c r="E6" s="12"/>
    </row>
    <row r="7" spans="1:15" ht="48" customHeight="1" x14ac:dyDescent="0.2">
      <c r="A7" s="12"/>
      <c r="B7" s="952" t="s">
        <v>74</v>
      </c>
      <c r="C7" s="953"/>
      <c r="D7" s="953"/>
      <c r="E7" s="12"/>
      <c r="L7" s="850"/>
      <c r="M7" s="850"/>
      <c r="N7" s="850"/>
      <c r="O7" s="850"/>
    </row>
    <row r="8" spans="1:15" ht="69" customHeight="1" x14ac:dyDescent="0.2">
      <c r="A8" s="12"/>
      <c r="B8" s="952" t="s">
        <v>75</v>
      </c>
      <c r="C8" s="952"/>
      <c r="D8" s="952"/>
      <c r="E8" s="12"/>
      <c r="L8" s="850"/>
      <c r="M8" s="850"/>
      <c r="N8" s="850"/>
      <c r="O8" s="850"/>
    </row>
    <row r="9" spans="1:15" ht="59.25" customHeight="1" x14ac:dyDescent="0.2">
      <c r="A9" s="12"/>
      <c r="B9" s="951" t="s">
        <v>76</v>
      </c>
      <c r="C9" s="951"/>
      <c r="D9" s="951"/>
      <c r="E9" s="12"/>
      <c r="L9" s="850"/>
      <c r="M9" s="850"/>
      <c r="N9" s="850"/>
      <c r="O9" s="850"/>
    </row>
    <row r="10" spans="1:15" ht="48" customHeight="1" x14ac:dyDescent="0.2">
      <c r="A10" s="12"/>
      <c r="B10" s="951" t="s">
        <v>77</v>
      </c>
      <c r="C10" s="951"/>
      <c r="D10" s="951"/>
      <c r="E10" s="12"/>
      <c r="L10" s="850"/>
      <c r="M10" s="850"/>
      <c r="N10" s="850"/>
      <c r="O10" s="850"/>
    </row>
    <row r="11" spans="1:15" ht="41.25" customHeight="1" x14ac:dyDescent="0.25">
      <c r="A11" s="12"/>
      <c r="B11" s="950" t="s">
        <v>78</v>
      </c>
      <c r="C11" s="951"/>
      <c r="D11" s="951"/>
      <c r="E11" s="12"/>
      <c r="F11" s="850"/>
      <c r="G11" s="851"/>
      <c r="H11" s="850"/>
      <c r="I11" s="850"/>
      <c r="J11" s="850"/>
      <c r="K11" s="850"/>
      <c r="L11" s="850"/>
      <c r="M11" s="850"/>
      <c r="N11" s="850"/>
      <c r="O11" s="850"/>
    </row>
    <row r="12" spans="1:15" ht="46.5" customHeight="1" x14ac:dyDescent="0.25">
      <c r="A12" s="12"/>
      <c r="B12" s="953" t="s">
        <v>79</v>
      </c>
      <c r="C12" s="953"/>
      <c r="D12" s="953"/>
      <c r="E12" s="12"/>
      <c r="F12" s="850"/>
      <c r="G12" s="851"/>
      <c r="H12" s="850"/>
      <c r="I12" s="850"/>
      <c r="J12" s="850"/>
      <c r="K12" s="850"/>
      <c r="L12" s="850"/>
      <c r="M12" s="850"/>
      <c r="N12" s="850"/>
      <c r="O12" s="850"/>
    </row>
    <row r="13" spans="1:15" ht="24.75" customHeight="1" x14ac:dyDescent="0.25">
      <c r="A13" s="12"/>
      <c r="B13" s="953" t="s">
        <v>80</v>
      </c>
      <c r="C13" s="953"/>
      <c r="D13" s="953"/>
      <c r="E13" s="12"/>
      <c r="F13" s="850"/>
      <c r="G13" s="851"/>
      <c r="H13" s="850"/>
      <c r="I13" s="850"/>
      <c r="J13" s="850"/>
      <c r="K13" s="850"/>
      <c r="L13" s="850"/>
      <c r="M13" s="850"/>
      <c r="N13" s="850"/>
      <c r="O13" s="850"/>
    </row>
    <row r="14" spans="1:15" ht="35.25" customHeight="1" x14ac:dyDescent="0.25">
      <c r="A14" s="12"/>
      <c r="B14" s="953" t="s">
        <v>81</v>
      </c>
      <c r="C14" s="953"/>
      <c r="D14" s="953"/>
      <c r="E14" s="12"/>
      <c r="F14" s="850"/>
      <c r="G14" s="851"/>
      <c r="H14" s="850"/>
      <c r="I14" s="850"/>
      <c r="J14" s="850"/>
      <c r="K14" s="850"/>
      <c r="L14" s="850"/>
      <c r="M14" s="850"/>
      <c r="N14" s="850"/>
      <c r="O14" s="850"/>
    </row>
    <row r="15" spans="1:15" ht="35.25" customHeight="1" x14ac:dyDescent="0.25">
      <c r="A15" s="12"/>
      <c r="B15" s="953" t="s">
        <v>82</v>
      </c>
      <c r="C15" s="953"/>
      <c r="D15" s="953"/>
      <c r="E15" s="12"/>
      <c r="F15" s="850"/>
      <c r="G15" s="851"/>
      <c r="H15" s="850"/>
      <c r="I15" s="850"/>
      <c r="J15" s="850"/>
      <c r="K15" s="850"/>
      <c r="L15" s="850"/>
      <c r="M15" s="850"/>
      <c r="N15" s="850"/>
      <c r="O15" s="850"/>
    </row>
    <row r="16" spans="1:15" ht="24" customHeight="1" x14ac:dyDescent="0.25">
      <c r="A16" s="12"/>
      <c r="B16" s="951" t="s">
        <v>83</v>
      </c>
      <c r="C16" s="951"/>
      <c r="D16" s="951"/>
      <c r="E16" s="12"/>
      <c r="F16" s="850"/>
      <c r="G16" s="851"/>
      <c r="H16" s="850"/>
      <c r="I16" s="850"/>
      <c r="J16" s="850"/>
      <c r="K16" s="850"/>
      <c r="L16" s="850"/>
      <c r="M16" s="850"/>
      <c r="N16" s="850"/>
      <c r="O16" s="850"/>
    </row>
    <row r="17" spans="1:15" ht="84" customHeight="1" x14ac:dyDescent="0.25">
      <c r="A17" s="12"/>
      <c r="B17" s="950" t="s">
        <v>84</v>
      </c>
      <c r="C17" s="951"/>
      <c r="D17" s="951"/>
      <c r="E17" s="12"/>
      <c r="F17" s="850"/>
      <c r="G17" s="851"/>
      <c r="H17" s="850"/>
      <c r="I17" s="850"/>
      <c r="J17" s="850"/>
      <c r="K17" s="850"/>
      <c r="L17" s="850"/>
      <c r="M17" s="850"/>
      <c r="N17" s="850"/>
      <c r="O17" s="850"/>
    </row>
    <row r="18" spans="1:15" ht="46.5" customHeight="1" x14ac:dyDescent="0.25">
      <c r="A18" s="12"/>
      <c r="B18" s="950" t="s">
        <v>85</v>
      </c>
      <c r="C18" s="951"/>
      <c r="D18" s="951"/>
      <c r="E18" s="12"/>
      <c r="F18" s="850"/>
      <c r="G18" s="851"/>
      <c r="H18" s="850"/>
      <c r="I18" s="850"/>
      <c r="J18" s="850"/>
      <c r="K18" s="850"/>
      <c r="L18" s="850"/>
      <c r="M18" s="850"/>
      <c r="N18" s="850"/>
      <c r="O18" s="850"/>
    </row>
    <row r="19" spans="1:15" ht="27.75" customHeight="1" x14ac:dyDescent="0.25">
      <c r="A19" s="12"/>
      <c r="B19" s="953" t="s">
        <v>86</v>
      </c>
      <c r="C19" s="953"/>
      <c r="D19" s="953"/>
      <c r="E19" s="12"/>
      <c r="F19" s="850"/>
      <c r="G19" s="851"/>
      <c r="H19" s="850"/>
      <c r="I19" s="850"/>
      <c r="J19" s="850"/>
      <c r="K19" s="850"/>
      <c r="L19" s="850"/>
      <c r="M19" s="850"/>
      <c r="N19" s="850"/>
      <c r="O19" s="850"/>
    </row>
    <row r="20" spans="1:15" ht="45.75" customHeight="1" x14ac:dyDescent="0.25">
      <c r="A20" s="12"/>
      <c r="B20" s="951" t="s">
        <v>87</v>
      </c>
      <c r="C20" s="951"/>
      <c r="D20" s="951"/>
      <c r="E20" s="12"/>
      <c r="F20" s="850"/>
      <c r="G20" s="851"/>
      <c r="H20" s="850"/>
      <c r="I20" s="850"/>
      <c r="J20" s="850"/>
      <c r="K20" s="850"/>
      <c r="L20" s="850"/>
      <c r="M20" s="850"/>
      <c r="N20" s="850"/>
      <c r="O20" s="850"/>
    </row>
    <row r="21" spans="1:15" ht="25.5" customHeight="1" x14ac:dyDescent="0.25">
      <c r="A21" s="12"/>
      <c r="B21" s="950" t="s">
        <v>88</v>
      </c>
      <c r="C21" s="951"/>
      <c r="D21" s="951"/>
      <c r="E21" s="12"/>
      <c r="F21" s="850"/>
      <c r="G21" s="851"/>
      <c r="H21" s="850"/>
      <c r="I21" s="850"/>
      <c r="J21" s="850"/>
      <c r="K21" s="850"/>
      <c r="L21" s="850"/>
      <c r="M21" s="850"/>
      <c r="N21" s="850"/>
      <c r="O21" s="850"/>
    </row>
    <row r="22" spans="1:15" ht="25.5" customHeight="1" x14ac:dyDescent="0.25">
      <c r="A22" s="12"/>
      <c r="B22" s="952" t="s">
        <v>89</v>
      </c>
      <c r="C22" s="953"/>
      <c r="D22" s="953"/>
      <c r="E22" s="12"/>
      <c r="F22" s="850"/>
      <c r="G22" s="851"/>
      <c r="H22" s="850"/>
      <c r="I22" s="850"/>
      <c r="J22" s="850"/>
      <c r="K22" s="850"/>
      <c r="L22" s="850"/>
      <c r="M22" s="850"/>
      <c r="N22" s="850"/>
      <c r="O22" s="850"/>
    </row>
    <row r="23" spans="1:15" ht="62.25" customHeight="1" x14ac:dyDescent="0.25">
      <c r="A23" s="12"/>
      <c r="B23" s="952" t="s">
        <v>90</v>
      </c>
      <c r="C23" s="952"/>
      <c r="D23" s="952"/>
      <c r="E23" s="12"/>
      <c r="F23" s="850"/>
      <c r="G23" s="851"/>
      <c r="H23" s="850"/>
      <c r="I23" s="850"/>
      <c r="J23" s="850"/>
      <c r="K23" s="850"/>
      <c r="L23" s="850"/>
      <c r="M23" s="850"/>
      <c r="N23" s="850"/>
      <c r="O23" s="850"/>
    </row>
    <row r="24" spans="1:15" ht="46.5" customHeight="1" x14ac:dyDescent="0.25">
      <c r="A24" s="12"/>
      <c r="B24" s="952" t="s">
        <v>91</v>
      </c>
      <c r="C24" s="952"/>
      <c r="D24" s="952"/>
      <c r="E24" s="12"/>
      <c r="F24" s="850"/>
      <c r="G24" s="851"/>
      <c r="H24" s="850"/>
      <c r="I24" s="850"/>
      <c r="J24" s="850"/>
      <c r="K24" s="850"/>
      <c r="L24" s="850"/>
      <c r="M24" s="850"/>
      <c r="N24" s="850"/>
      <c r="O24" s="850"/>
    </row>
    <row r="25" spans="1:15" ht="35.25" customHeight="1" x14ac:dyDescent="0.25">
      <c r="A25" s="12"/>
      <c r="B25" s="952" t="s">
        <v>92</v>
      </c>
      <c r="C25" s="952"/>
      <c r="D25" s="952"/>
      <c r="E25" s="12"/>
      <c r="F25" s="850"/>
      <c r="G25" s="851"/>
      <c r="H25" s="850"/>
      <c r="I25" s="850"/>
      <c r="J25" s="850"/>
      <c r="K25" s="850"/>
      <c r="L25" s="850"/>
      <c r="M25" s="850"/>
      <c r="N25" s="850"/>
      <c r="O25" s="850"/>
    </row>
    <row r="26" spans="1:15" ht="12" customHeight="1" x14ac:dyDescent="0.25">
      <c r="A26" s="12"/>
      <c r="B26" s="12"/>
      <c r="C26" s="12"/>
      <c r="D26" s="12"/>
      <c r="E26" s="12"/>
      <c r="G26" s="851"/>
    </row>
    <row r="27" spans="1:15" ht="11.25" customHeight="1" x14ac:dyDescent="0.2"/>
    <row r="28" spans="1:15" ht="25.5" customHeight="1" x14ac:dyDescent="0.2"/>
    <row r="29" spans="1:15" ht="25.5" customHeight="1" x14ac:dyDescent="0.2"/>
    <row r="43" spans="2:2" x14ac:dyDescent="0.2">
      <c r="B43" s="852"/>
    </row>
    <row r="44" spans="2:2" x14ac:dyDescent="0.2">
      <c r="B44" s="852"/>
    </row>
  </sheetData>
  <sheetProtection algorithmName="SHA-512" hashValue="jUzefmUMUvtz3obJ9cHU26ze7thecWptxVAc4ea/I3hJJ7cCCWumesh64jL+SAhcX1idvTuFMekFMphTTJmBlA==" saltValue="sFrtIrLI54FKa7MFTWW0Yg==" spinCount="100000" sheet="1" objects="1" scenarios="1"/>
  <mergeCells count="19">
    <mergeCell ref="B25:D25"/>
    <mergeCell ref="B19:D19"/>
    <mergeCell ref="B20:D20"/>
    <mergeCell ref="B21:D21"/>
    <mergeCell ref="B22:D22"/>
    <mergeCell ref="B23:D23"/>
    <mergeCell ref="B24:D24"/>
    <mergeCell ref="B18:D18"/>
    <mergeCell ref="B7:D7"/>
    <mergeCell ref="B8:D8"/>
    <mergeCell ref="B9:D9"/>
    <mergeCell ref="B10:D10"/>
    <mergeCell ref="B11:D11"/>
    <mergeCell ref="B12:D12"/>
    <mergeCell ref="B13:D13"/>
    <mergeCell ref="B14:D14"/>
    <mergeCell ref="B15:D15"/>
    <mergeCell ref="B16:D16"/>
    <mergeCell ref="B17:D17"/>
  </mergeCells>
  <printOptions horizontalCentered="1"/>
  <pageMargins left="0.3" right="0.3" top="0.5" bottom="0.5" header="0.3" footer="0.3"/>
  <pageSetup scale="78" orientation="portrait" useFirstPageNumber="1" horizontalDpi="90" verticalDpi="90" r:id="rId1"/>
  <headerFooter>
    <oddFooter>&amp;LTERMS AND CONDITIONS</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E391-C008-451D-86AE-7BE3A0BE0D36}">
  <sheetPr>
    <tabColor rgb="FFFFFF00"/>
  </sheetPr>
  <dimension ref="B2:F6"/>
  <sheetViews>
    <sheetView zoomScaleNormal="100" workbookViewId="0">
      <selection activeCell="P16" sqref="A16:P16"/>
    </sheetView>
  </sheetViews>
  <sheetFormatPr defaultColWidth="9.140625" defaultRowHeight="15" x14ac:dyDescent="0.25"/>
  <cols>
    <col min="1" max="1" width="4.85546875" style="1" customWidth="1"/>
    <col min="2" max="2" width="12.7109375" style="1" bestFit="1" customWidth="1"/>
    <col min="3" max="3" width="19.5703125" style="1" bestFit="1" customWidth="1"/>
    <col min="4" max="4" width="23.140625" style="1" bestFit="1" customWidth="1"/>
    <col min="5" max="5" width="15.42578125" style="1" bestFit="1" customWidth="1"/>
    <col min="6" max="6" width="26.140625" style="1" bestFit="1" customWidth="1"/>
    <col min="7" max="16384" width="9.140625" style="1"/>
  </cols>
  <sheetData>
    <row r="2" spans="2:6" x14ac:dyDescent="0.25">
      <c r="B2" s="1004" t="s">
        <v>717</v>
      </c>
      <c r="C2" s="1005"/>
      <c r="D2" s="1005"/>
      <c r="E2" s="1005"/>
      <c r="F2" s="1006"/>
    </row>
    <row r="3" spans="2:6" x14ac:dyDescent="0.25">
      <c r="B3" s="73" t="s">
        <v>397</v>
      </c>
      <c r="C3" s="73" t="s">
        <v>429</v>
      </c>
      <c r="D3" s="73" t="s">
        <v>430</v>
      </c>
      <c r="E3" s="73" t="s">
        <v>718</v>
      </c>
      <c r="F3" s="73" t="s">
        <v>432</v>
      </c>
    </row>
    <row r="4" spans="2:6" x14ac:dyDescent="0.25">
      <c r="B4" s="145">
        <v>4</v>
      </c>
      <c r="C4" s="145">
        <v>0.31</v>
      </c>
      <c r="D4" s="145">
        <v>0.38</v>
      </c>
      <c r="E4" s="145">
        <v>0.34</v>
      </c>
      <c r="F4" s="145">
        <v>0.41</v>
      </c>
    </row>
    <row r="5" spans="2:6" x14ac:dyDescent="0.25">
      <c r="B5" s="145">
        <v>5</v>
      </c>
      <c r="C5" s="145">
        <v>0.31</v>
      </c>
      <c r="D5" s="145">
        <v>0.38</v>
      </c>
      <c r="E5" s="145">
        <v>0.34</v>
      </c>
      <c r="F5" s="145">
        <v>0.41</v>
      </c>
    </row>
    <row r="6" spans="2:6" x14ac:dyDescent="0.25">
      <c r="B6" s="145">
        <v>6</v>
      </c>
      <c r="C6" s="145">
        <v>0.26</v>
      </c>
      <c r="D6" s="145">
        <v>0.32</v>
      </c>
      <c r="E6" s="145">
        <v>0.38</v>
      </c>
      <c r="F6" s="145">
        <v>0.44</v>
      </c>
    </row>
  </sheetData>
  <sheetProtection algorithmName="SHA-512" hashValue="aXn1WVay3upS0HjAf+r8NlLU5W+NHKrLzr92sk5OANRhuUZkmU8gxUq/HcyUuYTSG69ITbggGDbxrSTUeaIKyg==" saltValue="i2kd4GIcRPs2S7Jkae56zw==" spinCount="100000" sheet="1" objects="1" scenarios="1"/>
  <mergeCells count="1">
    <mergeCell ref="B2:F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8084-1A6C-4E49-83D5-2243CEFF83CE}">
  <sheetPr>
    <tabColor rgb="FFFFFF00"/>
  </sheetPr>
  <dimension ref="B2:K18"/>
  <sheetViews>
    <sheetView zoomScaleNormal="100" workbookViewId="0">
      <selection activeCell="P16" sqref="A16:P16"/>
    </sheetView>
  </sheetViews>
  <sheetFormatPr defaultColWidth="9.140625" defaultRowHeight="15" x14ac:dyDescent="0.25"/>
  <cols>
    <col min="1" max="1" width="6" style="1" customWidth="1"/>
    <col min="2" max="2" width="30.85546875" style="204" customWidth="1"/>
    <col min="3" max="3" width="10.140625" style="63" customWidth="1"/>
    <col min="4" max="5" width="9.140625" style="63"/>
    <col min="6" max="6" width="10.85546875" style="63" customWidth="1"/>
    <col min="7" max="7" width="100.5703125" style="63" customWidth="1"/>
    <col min="8" max="8" width="12.7109375" style="63" customWidth="1"/>
    <col min="9" max="9" width="13.5703125" style="63" customWidth="1"/>
    <col min="10" max="10" width="14" style="1" customWidth="1"/>
    <col min="11" max="11" width="16.5703125" style="1" customWidth="1"/>
    <col min="12" max="13" width="9.140625" style="1" customWidth="1"/>
    <col min="14" max="16384" width="9.140625" style="1"/>
  </cols>
  <sheetData>
    <row r="2" spans="2:11" x14ac:dyDescent="0.25">
      <c r="B2" s="387" t="s">
        <v>719</v>
      </c>
      <c r="G2" s="388" t="s">
        <v>720</v>
      </c>
      <c r="J2" s="63"/>
      <c r="K2" s="63"/>
    </row>
    <row r="3" spans="2:11" x14ac:dyDescent="0.25">
      <c r="B3" s="87" t="s">
        <v>721</v>
      </c>
      <c r="C3" s="384"/>
      <c r="D3" s="384"/>
      <c r="E3" s="385"/>
      <c r="G3" s="87" t="s">
        <v>722</v>
      </c>
      <c r="H3" s="389"/>
      <c r="I3" s="390"/>
    </row>
    <row r="4" spans="2:11" x14ac:dyDescent="0.25">
      <c r="B4" s="260" t="s">
        <v>397</v>
      </c>
      <c r="C4" s="72">
        <v>4</v>
      </c>
      <c r="D4" s="72">
        <v>5</v>
      </c>
      <c r="E4" s="72">
        <v>6</v>
      </c>
      <c r="G4" s="391"/>
      <c r="H4" s="72" t="s">
        <v>723</v>
      </c>
      <c r="I4" s="383" t="s">
        <v>724</v>
      </c>
    </row>
    <row r="5" spans="2:11" x14ac:dyDescent="0.25">
      <c r="B5" s="300" t="s">
        <v>614</v>
      </c>
      <c r="C5" s="76">
        <v>0.31</v>
      </c>
      <c r="D5" s="76">
        <v>0.31</v>
      </c>
      <c r="E5" s="76">
        <v>0.31</v>
      </c>
      <c r="F5" s="393" t="s">
        <v>725</v>
      </c>
      <c r="G5" s="75" t="s">
        <v>726</v>
      </c>
      <c r="H5" s="69">
        <v>0.6</v>
      </c>
      <c r="I5" s="392">
        <f>1/H5</f>
        <v>1.6666666666666667</v>
      </c>
    </row>
    <row r="6" spans="2:11" x14ac:dyDescent="0.25">
      <c r="B6" s="300" t="s">
        <v>615</v>
      </c>
      <c r="C6" s="76">
        <v>0.37</v>
      </c>
      <c r="D6" s="76">
        <v>0.37</v>
      </c>
      <c r="E6" s="76">
        <v>0.37</v>
      </c>
      <c r="F6" s="393" t="s">
        <v>725</v>
      </c>
      <c r="G6" s="75" t="s">
        <v>726</v>
      </c>
      <c r="H6" s="69">
        <v>0.6</v>
      </c>
      <c r="I6" s="392">
        <f t="shared" ref="I6:I8" si="0">1/H6</f>
        <v>1.6666666666666667</v>
      </c>
    </row>
    <row r="7" spans="2:11" x14ac:dyDescent="0.25">
      <c r="B7" s="300" t="s">
        <v>616</v>
      </c>
      <c r="C7" s="76">
        <v>0.31</v>
      </c>
      <c r="D7" s="76">
        <v>0.31</v>
      </c>
      <c r="E7" s="76">
        <v>0.31</v>
      </c>
      <c r="F7" s="393" t="s">
        <v>725</v>
      </c>
      <c r="G7" s="75" t="s">
        <v>727</v>
      </c>
      <c r="H7" s="79">
        <f>AVERAGE(0.35,0.9)</f>
        <v>0.625</v>
      </c>
      <c r="I7" s="394">
        <f t="shared" si="0"/>
        <v>1.6</v>
      </c>
    </row>
    <row r="8" spans="2:11" x14ac:dyDescent="0.25">
      <c r="B8" s="386" t="s">
        <v>617</v>
      </c>
      <c r="C8" s="78">
        <v>0.63</v>
      </c>
      <c r="D8" s="98">
        <v>0.63</v>
      </c>
      <c r="E8" s="98">
        <v>0.63</v>
      </c>
      <c r="F8" s="393" t="s">
        <v>725</v>
      </c>
      <c r="G8" s="75" t="s">
        <v>728</v>
      </c>
      <c r="H8" s="69">
        <f>AVERAGE(0.8,0.65,0.55)</f>
        <v>0.66666666666666663</v>
      </c>
      <c r="I8" s="392">
        <f t="shared" si="0"/>
        <v>1.5</v>
      </c>
    </row>
    <row r="11" spans="2:11" x14ac:dyDescent="0.25">
      <c r="B11" s="1088" t="s">
        <v>729</v>
      </c>
      <c r="C11" s="1088"/>
      <c r="D11" s="1088"/>
      <c r="E11" s="1088"/>
      <c r="F11" s="1088"/>
    </row>
    <row r="12" spans="2:11" x14ac:dyDescent="0.25">
      <c r="B12" s="1017" t="s">
        <v>610</v>
      </c>
      <c r="C12" s="1017"/>
      <c r="D12" s="1017"/>
      <c r="E12" s="1017"/>
      <c r="F12" s="1017"/>
      <c r="G12" s="395"/>
    </row>
    <row r="13" spans="2:11" x14ac:dyDescent="0.25">
      <c r="B13" s="1018" t="s">
        <v>611</v>
      </c>
      <c r="C13" s="396" t="s">
        <v>130</v>
      </c>
      <c r="D13" s="1008" t="s">
        <v>612</v>
      </c>
      <c r="E13" s="1008"/>
      <c r="F13" s="1008"/>
      <c r="G13" s="395"/>
    </row>
    <row r="14" spans="2:11" x14ac:dyDescent="0.25">
      <c r="B14" s="1018"/>
      <c r="C14" s="73" t="s">
        <v>613</v>
      </c>
      <c r="D14" s="383">
        <v>4</v>
      </c>
      <c r="E14" s="72">
        <v>5</v>
      </c>
      <c r="F14" s="72">
        <v>6</v>
      </c>
      <c r="G14" s="395" t="s">
        <v>730</v>
      </c>
    </row>
    <row r="15" spans="2:11" x14ac:dyDescent="0.25">
      <c r="B15" s="300" t="s">
        <v>614</v>
      </c>
      <c r="C15" s="69">
        <v>0.6</v>
      </c>
      <c r="D15" s="76">
        <v>0.31</v>
      </c>
      <c r="E15" s="76">
        <v>0.31</v>
      </c>
      <c r="F15" s="76">
        <v>0.31</v>
      </c>
    </row>
    <row r="16" spans="2:11" x14ac:dyDescent="0.25">
      <c r="B16" s="300" t="s">
        <v>615</v>
      </c>
      <c r="C16" s="69">
        <v>0.6</v>
      </c>
      <c r="D16" s="76">
        <v>0.37</v>
      </c>
      <c r="E16" s="76">
        <v>0.37</v>
      </c>
      <c r="F16" s="76">
        <v>0.37</v>
      </c>
    </row>
    <row r="17" spans="2:6" x14ac:dyDescent="0.25">
      <c r="B17" s="300" t="s">
        <v>616</v>
      </c>
      <c r="C17" s="69">
        <v>0.63</v>
      </c>
      <c r="D17" s="76">
        <v>0.31</v>
      </c>
      <c r="E17" s="76">
        <v>0.31</v>
      </c>
      <c r="F17" s="76">
        <v>0.31</v>
      </c>
    </row>
    <row r="18" spans="2:6" x14ac:dyDescent="0.25">
      <c r="B18" s="386" t="s">
        <v>617</v>
      </c>
      <c r="C18" s="78">
        <v>0.67</v>
      </c>
      <c r="D18" s="78">
        <v>0.63</v>
      </c>
      <c r="E18" s="98">
        <v>0.63</v>
      </c>
      <c r="F18" s="98">
        <v>0.63</v>
      </c>
    </row>
  </sheetData>
  <sheetProtection algorithmName="SHA-512" hashValue="4ugRznbT6DqM71XRgzbnavX2eaES73YVh90JEWtgeaNTj5lABB+5zZsAg8z2bVGGhc+2ranOH/Tvbf598Jjhow==" saltValue="4+mmm/Pb4Qmdr0vTK838gQ==" spinCount="100000" sheet="1" objects="1" scenarios="1"/>
  <mergeCells count="4">
    <mergeCell ref="B13:B14"/>
    <mergeCell ref="D13:F13"/>
    <mergeCell ref="B12:F12"/>
    <mergeCell ref="B11:F1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AB809-9A0E-419A-8F36-AEC0D2050061}">
  <sheetPr>
    <tabColor rgb="FFFFC000"/>
  </sheetPr>
  <dimension ref="B1:K22"/>
  <sheetViews>
    <sheetView workbookViewId="0">
      <selection activeCell="P16" sqref="A16:P16"/>
    </sheetView>
  </sheetViews>
  <sheetFormatPr defaultColWidth="9.140625" defaultRowHeight="15" x14ac:dyDescent="0.25"/>
  <cols>
    <col min="1" max="1" width="6" style="1" customWidth="1"/>
    <col min="2" max="2" width="31.5703125" style="1" customWidth="1"/>
    <col min="3" max="3" width="15.5703125" style="1" customWidth="1"/>
    <col min="4" max="4" width="21.7109375" style="1" customWidth="1"/>
    <col min="5" max="5" width="16" style="1" bestFit="1" customWidth="1"/>
    <col min="6" max="6" width="11.7109375" style="1" customWidth="1"/>
    <col min="7" max="7" width="16.28515625" style="1" customWidth="1"/>
    <col min="8" max="16384" width="9.140625" style="1"/>
  </cols>
  <sheetData>
    <row r="1" spans="2:11" x14ac:dyDescent="0.25">
      <c r="B1" s="122"/>
    </row>
    <row r="2" spans="2:11" ht="15.75" thickBot="1" x14ac:dyDescent="0.3">
      <c r="B2" s="63">
        <v>1</v>
      </c>
      <c r="C2" s="63">
        <v>2</v>
      </c>
      <c r="D2" s="63">
        <v>3</v>
      </c>
      <c r="E2" s="63">
        <v>4</v>
      </c>
    </row>
    <row r="3" spans="2:11" ht="15.75" thickBot="1" x14ac:dyDescent="0.3">
      <c r="B3" s="520"/>
      <c r="C3" s="521" t="s">
        <v>731</v>
      </c>
      <c r="D3" s="521" t="s">
        <v>732</v>
      </c>
      <c r="E3" s="521" t="s">
        <v>733</v>
      </c>
    </row>
    <row r="4" spans="2:11" x14ac:dyDescent="0.25">
      <c r="B4" s="522" t="s">
        <v>734</v>
      </c>
      <c r="C4" s="523">
        <v>4</v>
      </c>
      <c r="D4" s="524">
        <v>0.7</v>
      </c>
      <c r="E4" s="525">
        <v>100000</v>
      </c>
      <c r="K4" s="504"/>
    </row>
    <row r="5" spans="2:11" x14ac:dyDescent="0.25">
      <c r="B5" s="526" t="s">
        <v>735</v>
      </c>
      <c r="C5" s="527">
        <v>5</v>
      </c>
      <c r="D5" s="528">
        <f>D4</f>
        <v>0.7</v>
      </c>
      <c r="E5" s="529">
        <f>E4</f>
        <v>100000</v>
      </c>
      <c r="K5" s="504"/>
    </row>
    <row r="6" spans="2:11" x14ac:dyDescent="0.25">
      <c r="B6" s="526" t="s">
        <v>736</v>
      </c>
      <c r="C6" s="527">
        <v>4</v>
      </c>
      <c r="D6" s="528">
        <f>D5</f>
        <v>0.7</v>
      </c>
      <c r="E6" s="529">
        <f>E4</f>
        <v>100000</v>
      </c>
      <c r="K6" s="504"/>
    </row>
    <row r="7" spans="2:11" ht="15.75" thickBot="1" x14ac:dyDescent="0.3">
      <c r="B7" s="530" t="s">
        <v>737</v>
      </c>
      <c r="C7" s="531">
        <v>5</v>
      </c>
      <c r="D7" s="532">
        <f>D6</f>
        <v>0.7</v>
      </c>
      <c r="E7" s="533">
        <f>E4</f>
        <v>100000</v>
      </c>
      <c r="K7" s="504"/>
    </row>
    <row r="8" spans="2:11" x14ac:dyDescent="0.25">
      <c r="B8" s="534" t="s">
        <v>738</v>
      </c>
      <c r="C8" s="535">
        <v>6</v>
      </c>
      <c r="D8" s="536">
        <v>0.7</v>
      </c>
      <c r="E8" s="537">
        <v>150000</v>
      </c>
      <c r="K8" s="504"/>
    </row>
    <row r="9" spans="2:11" x14ac:dyDescent="0.25">
      <c r="B9" s="538" t="s">
        <v>739</v>
      </c>
      <c r="C9" s="539">
        <v>6</v>
      </c>
      <c r="D9" s="540">
        <v>0.85</v>
      </c>
      <c r="E9" s="541">
        <f>E8</f>
        <v>150000</v>
      </c>
      <c r="K9" s="504"/>
    </row>
    <row r="10" spans="2:11" x14ac:dyDescent="0.25">
      <c r="B10" s="538" t="s">
        <v>740</v>
      </c>
      <c r="C10" s="539">
        <v>0</v>
      </c>
      <c r="D10" s="542">
        <v>0</v>
      </c>
      <c r="E10" s="541">
        <v>0</v>
      </c>
    </row>
    <row r="11" spans="2:11" ht="15.75" thickBot="1" x14ac:dyDescent="0.3">
      <c r="B11" s="543" t="s">
        <v>741</v>
      </c>
      <c r="C11" s="539">
        <v>0</v>
      </c>
      <c r="D11" s="544">
        <v>0</v>
      </c>
      <c r="E11" s="545">
        <v>0</v>
      </c>
    </row>
    <row r="12" spans="2:11" x14ac:dyDescent="0.25">
      <c r="B12" s="546" t="s">
        <v>742</v>
      </c>
      <c r="C12" s="547">
        <v>4.5</v>
      </c>
      <c r="D12" s="548">
        <v>0.85</v>
      </c>
      <c r="E12" s="549">
        <v>50000</v>
      </c>
      <c r="H12" s="204"/>
    </row>
    <row r="13" spans="2:11" x14ac:dyDescent="0.25">
      <c r="B13" s="538" t="s">
        <v>743</v>
      </c>
      <c r="C13" s="539">
        <v>5.5</v>
      </c>
      <c r="D13" s="540">
        <v>0.9</v>
      </c>
      <c r="E13" s="541">
        <f>E12</f>
        <v>50000</v>
      </c>
      <c r="H13" s="204"/>
    </row>
    <row r="14" spans="2:11" x14ac:dyDescent="0.25">
      <c r="B14" s="538" t="s">
        <v>744</v>
      </c>
      <c r="C14" s="539">
        <v>4.5</v>
      </c>
      <c r="D14" s="540">
        <v>0.7</v>
      </c>
      <c r="E14" s="541">
        <f>E12</f>
        <v>50000</v>
      </c>
      <c r="H14" s="204"/>
    </row>
    <row r="15" spans="2:11" ht="15.75" thickBot="1" x14ac:dyDescent="0.3">
      <c r="B15" s="543" t="s">
        <v>745</v>
      </c>
      <c r="C15" s="550">
        <v>5.5</v>
      </c>
      <c r="D15" s="551">
        <v>0.85</v>
      </c>
      <c r="E15" s="545">
        <f>E12</f>
        <v>50000</v>
      </c>
      <c r="H15" s="204"/>
    </row>
    <row r="16" spans="2:11" x14ac:dyDescent="0.25">
      <c r="B16" s="546" t="s">
        <v>746</v>
      </c>
      <c r="C16" s="547">
        <v>6</v>
      </c>
      <c r="D16" s="548">
        <v>0.7</v>
      </c>
      <c r="E16" s="549">
        <v>50000</v>
      </c>
      <c r="H16" s="204"/>
    </row>
    <row r="17" spans="2:8" x14ac:dyDescent="0.25">
      <c r="B17" s="538" t="s">
        <v>747</v>
      </c>
      <c r="C17" s="539">
        <v>7</v>
      </c>
      <c r="D17" s="540">
        <v>0.85</v>
      </c>
      <c r="E17" s="541">
        <f>E16</f>
        <v>50000</v>
      </c>
      <c r="H17" s="204"/>
    </row>
    <row r="18" spans="2:8" x14ac:dyDescent="0.25">
      <c r="B18" s="538" t="s">
        <v>748</v>
      </c>
      <c r="C18" s="539">
        <v>0</v>
      </c>
      <c r="D18" s="542">
        <v>0</v>
      </c>
      <c r="E18" s="541">
        <v>0</v>
      </c>
    </row>
    <row r="19" spans="2:8" ht="15.75" thickBot="1" x14ac:dyDescent="0.3">
      <c r="B19" s="543" t="s">
        <v>749</v>
      </c>
      <c r="C19" s="550">
        <v>0</v>
      </c>
      <c r="D19" s="544">
        <v>0</v>
      </c>
      <c r="E19" s="545">
        <v>0</v>
      </c>
    </row>
    <row r="21" spans="2:8" x14ac:dyDescent="0.25">
      <c r="B21" s="382" t="s">
        <v>750</v>
      </c>
    </row>
    <row r="22" spans="2:8" x14ac:dyDescent="0.25">
      <c r="B22" s="382" t="s">
        <v>751</v>
      </c>
    </row>
  </sheetData>
  <sheetProtection algorithmName="SHA-512" hashValue="Kly7AIu40Zo7AN0+hvf1ZIEBl/FFcdU86rR3DDgSW9UNa1f+rE4vTo7xBfZN8xo41iRqVv9FiKUVc9AyeB0q2w==" saltValue="yjz37Gsi2Q43XCXd9vDKFg=="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4FF67-C6EB-45E0-89AA-4E6C2ED1F6FA}">
  <sheetPr>
    <tabColor rgb="FFFFC000"/>
  </sheetPr>
  <dimension ref="B2:V67"/>
  <sheetViews>
    <sheetView zoomScaleNormal="100" workbookViewId="0">
      <selection activeCell="P16" sqref="A16:P16"/>
    </sheetView>
  </sheetViews>
  <sheetFormatPr defaultColWidth="8.5703125" defaultRowHeight="15" x14ac:dyDescent="0.25"/>
  <cols>
    <col min="1" max="1" width="3" style="1" customWidth="1"/>
    <col min="2" max="2" width="19.28515625" style="1" bestFit="1" customWidth="1"/>
    <col min="3" max="3" width="12.7109375" style="63" customWidth="1"/>
    <col min="4" max="5" width="10.85546875" style="63" customWidth="1"/>
    <col min="6" max="6" width="12.5703125" style="63" customWidth="1"/>
    <col min="7" max="8" width="13.7109375" style="63" bestFit="1" customWidth="1"/>
    <col min="9" max="9" width="12.85546875" style="434" customWidth="1"/>
    <col min="10" max="10" width="13.85546875" style="63" customWidth="1"/>
    <col min="11" max="11" width="11.42578125" style="63" customWidth="1"/>
    <col min="12" max="12" width="5.28515625" style="1" customWidth="1"/>
    <col min="13" max="16384" width="8.5703125" style="1"/>
  </cols>
  <sheetData>
    <row r="2" spans="2:22" x14ac:dyDescent="0.25">
      <c r="B2" s="144">
        <v>1</v>
      </c>
      <c r="C2" s="144">
        <v>2</v>
      </c>
      <c r="D2" s="144">
        <v>3</v>
      </c>
      <c r="E2" s="144">
        <v>4</v>
      </c>
      <c r="F2" s="144">
        <v>5</v>
      </c>
      <c r="G2" s="144">
        <v>6</v>
      </c>
      <c r="H2" s="144">
        <v>7</v>
      </c>
      <c r="I2" s="144">
        <v>8</v>
      </c>
      <c r="J2" s="144">
        <v>9</v>
      </c>
      <c r="K2" s="144">
        <v>10</v>
      </c>
    </row>
    <row r="3" spans="2:22" s="64" customFormat="1" ht="30" x14ac:dyDescent="0.25">
      <c r="B3" s="425" t="s">
        <v>388</v>
      </c>
      <c r="C3" s="80" t="s">
        <v>395</v>
      </c>
      <c r="D3" s="80" t="s">
        <v>396</v>
      </c>
      <c r="E3" s="80" t="s">
        <v>752</v>
      </c>
      <c r="F3" s="80" t="s">
        <v>753</v>
      </c>
      <c r="G3" s="80" t="s">
        <v>754</v>
      </c>
      <c r="H3" s="80" t="s">
        <v>755</v>
      </c>
      <c r="I3" s="456" t="s">
        <v>756</v>
      </c>
      <c r="J3" s="80" t="s">
        <v>757</v>
      </c>
      <c r="K3" s="80" t="s">
        <v>758</v>
      </c>
      <c r="M3" s="1"/>
      <c r="N3" s="1"/>
      <c r="O3" s="1"/>
      <c r="P3" s="1"/>
      <c r="Q3" s="1"/>
      <c r="R3" s="1"/>
      <c r="S3" s="1"/>
      <c r="T3" s="1"/>
      <c r="U3" s="1"/>
      <c r="V3" s="1"/>
    </row>
    <row r="4" spans="2:22" x14ac:dyDescent="0.25">
      <c r="B4" s="147" t="s">
        <v>759</v>
      </c>
      <c r="C4" s="435" t="s">
        <v>669</v>
      </c>
      <c r="D4" s="435" t="s">
        <v>669</v>
      </c>
      <c r="E4" s="436" t="s">
        <v>760</v>
      </c>
      <c r="F4" s="436" t="s">
        <v>760</v>
      </c>
      <c r="G4" s="437">
        <v>4</v>
      </c>
      <c r="H4" s="437">
        <v>10.999000000000001</v>
      </c>
      <c r="I4" s="438">
        <f>0.15</f>
        <v>0.15</v>
      </c>
      <c r="J4" s="439">
        <f>85%</f>
        <v>0.85</v>
      </c>
      <c r="K4" s="440">
        <v>250000</v>
      </c>
    </row>
    <row r="5" spans="2:22" x14ac:dyDescent="0.25">
      <c r="B5" s="441" t="s">
        <v>759</v>
      </c>
      <c r="C5" s="421" t="s">
        <v>669</v>
      </c>
      <c r="D5" s="421" t="s">
        <v>669</v>
      </c>
      <c r="E5" s="442" t="s">
        <v>760</v>
      </c>
      <c r="F5" s="442" t="s">
        <v>760</v>
      </c>
      <c r="G5" s="443">
        <v>11</v>
      </c>
      <c r="H5" s="443">
        <v>20.998999999999999</v>
      </c>
      <c r="I5" s="444">
        <f>1.5</f>
        <v>1.5</v>
      </c>
      <c r="J5" s="445">
        <f>85%</f>
        <v>0.85</v>
      </c>
      <c r="K5" s="446">
        <v>250000</v>
      </c>
    </row>
    <row r="6" spans="2:22" x14ac:dyDescent="0.25">
      <c r="B6" s="441" t="s">
        <v>759</v>
      </c>
      <c r="C6" s="421" t="s">
        <v>669</v>
      </c>
      <c r="D6" s="421" t="s">
        <v>669</v>
      </c>
      <c r="E6" s="442" t="s">
        <v>760</v>
      </c>
      <c r="F6" s="442" t="s">
        <v>760</v>
      </c>
      <c r="G6" s="443">
        <v>21</v>
      </c>
      <c r="H6" s="443">
        <v>30.998999999999999</v>
      </c>
      <c r="I6" s="444">
        <f>1.75</f>
        <v>1.75</v>
      </c>
      <c r="J6" s="445">
        <f>85%</f>
        <v>0.85</v>
      </c>
      <c r="K6" s="446">
        <v>250000</v>
      </c>
    </row>
    <row r="7" spans="2:22" x14ac:dyDescent="0.25">
      <c r="B7" s="441" t="s">
        <v>759</v>
      </c>
      <c r="C7" s="421" t="s">
        <v>669</v>
      </c>
      <c r="D7" s="421" t="s">
        <v>669</v>
      </c>
      <c r="E7" s="442" t="s">
        <v>760</v>
      </c>
      <c r="F7" s="442" t="s">
        <v>760</v>
      </c>
      <c r="G7" s="443">
        <v>31</v>
      </c>
      <c r="H7" s="443">
        <v>40.999000000000002</v>
      </c>
      <c r="I7" s="444">
        <v>1.9</v>
      </c>
      <c r="J7" s="445">
        <f>85%</f>
        <v>0.85</v>
      </c>
      <c r="K7" s="446">
        <v>250000</v>
      </c>
    </row>
    <row r="8" spans="2:22" x14ac:dyDescent="0.25">
      <c r="B8" s="148" t="s">
        <v>759</v>
      </c>
      <c r="C8" s="447" t="s">
        <v>669</v>
      </c>
      <c r="D8" s="447" t="s">
        <v>669</v>
      </c>
      <c r="E8" s="448" t="s">
        <v>760</v>
      </c>
      <c r="F8" s="448" t="s">
        <v>760</v>
      </c>
      <c r="G8" s="449">
        <v>41</v>
      </c>
      <c r="H8" s="449">
        <v>999</v>
      </c>
      <c r="I8" s="450">
        <v>2</v>
      </c>
      <c r="J8" s="445">
        <f>85%</f>
        <v>0.85</v>
      </c>
      <c r="K8" s="451">
        <v>250000</v>
      </c>
    </row>
    <row r="9" spans="2:22" x14ac:dyDescent="0.25">
      <c r="B9" s="147" t="s">
        <v>761</v>
      </c>
      <c r="C9" s="435" t="s">
        <v>669</v>
      </c>
      <c r="D9" s="435" t="s">
        <v>669</v>
      </c>
      <c r="E9" s="436" t="s">
        <v>760</v>
      </c>
      <c r="F9" s="436" t="s">
        <v>760</v>
      </c>
      <c r="G9" s="437">
        <v>4</v>
      </c>
      <c r="H9" s="437">
        <v>10.999000000000001</v>
      </c>
      <c r="I9" s="438">
        <v>0.15</v>
      </c>
      <c r="J9" s="439">
        <f>85%</f>
        <v>0.85</v>
      </c>
      <c r="K9" s="440">
        <v>250000</v>
      </c>
    </row>
    <row r="10" spans="2:22" x14ac:dyDescent="0.25">
      <c r="B10" s="441" t="s">
        <v>761</v>
      </c>
      <c r="C10" s="421" t="s">
        <v>669</v>
      </c>
      <c r="D10" s="421" t="s">
        <v>669</v>
      </c>
      <c r="E10" s="442" t="s">
        <v>760</v>
      </c>
      <c r="F10" s="442" t="s">
        <v>760</v>
      </c>
      <c r="G10" s="443">
        <v>11</v>
      </c>
      <c r="H10" s="443">
        <v>20.998999999999999</v>
      </c>
      <c r="I10" s="444">
        <v>1.5</v>
      </c>
      <c r="J10" s="445">
        <f>85%</f>
        <v>0.85</v>
      </c>
      <c r="K10" s="446">
        <v>250000</v>
      </c>
    </row>
    <row r="11" spans="2:22" x14ac:dyDescent="0.25">
      <c r="B11" s="441" t="s">
        <v>761</v>
      </c>
      <c r="C11" s="421" t="s">
        <v>669</v>
      </c>
      <c r="D11" s="421" t="s">
        <v>669</v>
      </c>
      <c r="E11" s="442" t="s">
        <v>760</v>
      </c>
      <c r="F11" s="442" t="s">
        <v>760</v>
      </c>
      <c r="G11" s="443">
        <v>21</v>
      </c>
      <c r="H11" s="443">
        <v>30.998999999999999</v>
      </c>
      <c r="I11" s="444">
        <v>1.75</v>
      </c>
      <c r="J11" s="445">
        <f>85%</f>
        <v>0.85</v>
      </c>
      <c r="K11" s="446">
        <v>250000</v>
      </c>
    </row>
    <row r="12" spans="2:22" x14ac:dyDescent="0.25">
      <c r="B12" s="441" t="s">
        <v>761</v>
      </c>
      <c r="C12" s="421" t="s">
        <v>669</v>
      </c>
      <c r="D12" s="421" t="s">
        <v>669</v>
      </c>
      <c r="E12" s="442" t="s">
        <v>760</v>
      </c>
      <c r="F12" s="442" t="s">
        <v>760</v>
      </c>
      <c r="G12" s="443">
        <v>31</v>
      </c>
      <c r="H12" s="443">
        <v>40.999000000000002</v>
      </c>
      <c r="I12" s="444">
        <v>1.9</v>
      </c>
      <c r="J12" s="445">
        <f>85%</f>
        <v>0.85</v>
      </c>
      <c r="K12" s="446">
        <v>250000</v>
      </c>
    </row>
    <row r="13" spans="2:22" x14ac:dyDescent="0.25">
      <c r="B13" s="148" t="s">
        <v>761</v>
      </c>
      <c r="C13" s="447" t="s">
        <v>669</v>
      </c>
      <c r="D13" s="447" t="s">
        <v>669</v>
      </c>
      <c r="E13" s="448" t="s">
        <v>760</v>
      </c>
      <c r="F13" s="448" t="s">
        <v>760</v>
      </c>
      <c r="G13" s="449">
        <v>41</v>
      </c>
      <c r="H13" s="449">
        <v>999</v>
      </c>
      <c r="I13" s="450">
        <v>2</v>
      </c>
      <c r="J13" s="445">
        <f>85%</f>
        <v>0.85</v>
      </c>
      <c r="K13" s="451">
        <v>250000</v>
      </c>
    </row>
    <row r="14" spans="2:22" x14ac:dyDescent="0.25">
      <c r="B14" s="147" t="s">
        <v>762</v>
      </c>
      <c r="C14" s="435" t="s">
        <v>669</v>
      </c>
      <c r="D14" s="435" t="s">
        <v>669</v>
      </c>
      <c r="E14" s="436">
        <v>1</v>
      </c>
      <c r="F14" s="436">
        <v>20000</v>
      </c>
      <c r="G14" s="437">
        <v>4</v>
      </c>
      <c r="H14" s="437">
        <v>10.999000000000001</v>
      </c>
      <c r="I14" s="438">
        <v>0.6</v>
      </c>
      <c r="J14" s="439">
        <v>0.7</v>
      </c>
      <c r="K14" s="440">
        <v>150000</v>
      </c>
    </row>
    <row r="15" spans="2:22" x14ac:dyDescent="0.25">
      <c r="B15" s="441" t="s">
        <v>762</v>
      </c>
      <c r="C15" s="421" t="s">
        <v>669</v>
      </c>
      <c r="D15" s="421" t="s">
        <v>669</v>
      </c>
      <c r="E15" s="442">
        <v>1</v>
      </c>
      <c r="F15" s="442">
        <v>20000</v>
      </c>
      <c r="G15" s="443">
        <v>11</v>
      </c>
      <c r="H15" s="443">
        <v>20.998999999999999</v>
      </c>
      <c r="I15" s="444">
        <v>1.7</v>
      </c>
      <c r="J15" s="452">
        <v>0.7</v>
      </c>
      <c r="K15" s="446">
        <v>150000</v>
      </c>
    </row>
    <row r="16" spans="2:22" x14ac:dyDescent="0.25">
      <c r="B16" s="441" t="s">
        <v>762</v>
      </c>
      <c r="C16" s="421" t="s">
        <v>669</v>
      </c>
      <c r="D16" s="421" t="s">
        <v>669</v>
      </c>
      <c r="E16" s="442">
        <v>1</v>
      </c>
      <c r="F16" s="442">
        <v>20000</v>
      </c>
      <c r="G16" s="443">
        <v>21</v>
      </c>
      <c r="H16" s="443">
        <v>999</v>
      </c>
      <c r="I16" s="444">
        <v>2.4</v>
      </c>
      <c r="J16" s="452">
        <v>0.7</v>
      </c>
      <c r="K16" s="446">
        <v>150000</v>
      </c>
    </row>
    <row r="17" spans="2:11" x14ac:dyDescent="0.25">
      <c r="B17" s="441" t="s">
        <v>762</v>
      </c>
      <c r="C17" s="421" t="s">
        <v>669</v>
      </c>
      <c r="D17" s="421" t="s">
        <v>668</v>
      </c>
      <c r="E17" s="442">
        <v>1</v>
      </c>
      <c r="F17" s="442">
        <v>20000</v>
      </c>
      <c r="G17" s="453" t="s">
        <v>396</v>
      </c>
      <c r="H17" s="453" t="s">
        <v>396</v>
      </c>
      <c r="I17" s="444">
        <f>4.8</f>
        <v>4.8</v>
      </c>
      <c r="J17" s="452">
        <v>0.7</v>
      </c>
      <c r="K17" s="446">
        <v>150000</v>
      </c>
    </row>
    <row r="18" spans="2:11" x14ac:dyDescent="0.25">
      <c r="B18" s="441" t="s">
        <v>762</v>
      </c>
      <c r="C18" s="421" t="s">
        <v>669</v>
      </c>
      <c r="D18" s="421" t="s">
        <v>669</v>
      </c>
      <c r="E18" s="442">
        <v>20001</v>
      </c>
      <c r="F18" s="442">
        <v>999999999</v>
      </c>
      <c r="G18" s="443">
        <v>4</v>
      </c>
      <c r="H18" s="443">
        <v>10.999000000000001</v>
      </c>
      <c r="I18" s="444">
        <v>2</v>
      </c>
      <c r="J18" s="452">
        <v>0.7</v>
      </c>
      <c r="K18" s="446">
        <v>150000</v>
      </c>
    </row>
    <row r="19" spans="2:11" x14ac:dyDescent="0.25">
      <c r="B19" s="441" t="s">
        <v>762</v>
      </c>
      <c r="C19" s="421" t="s">
        <v>669</v>
      </c>
      <c r="D19" s="421" t="s">
        <v>669</v>
      </c>
      <c r="E19" s="442">
        <v>20001</v>
      </c>
      <c r="F19" s="442">
        <v>999999999</v>
      </c>
      <c r="G19" s="443">
        <v>11</v>
      </c>
      <c r="H19" s="443">
        <v>20.998999999999999</v>
      </c>
      <c r="I19" s="444">
        <v>3</v>
      </c>
      <c r="J19" s="452">
        <v>0.7</v>
      </c>
      <c r="K19" s="446">
        <v>150000</v>
      </c>
    </row>
    <row r="20" spans="2:11" x14ac:dyDescent="0.25">
      <c r="B20" s="441" t="s">
        <v>762</v>
      </c>
      <c r="C20" s="421" t="s">
        <v>669</v>
      </c>
      <c r="D20" s="421" t="s">
        <v>669</v>
      </c>
      <c r="E20" s="442">
        <v>20001</v>
      </c>
      <c r="F20" s="442">
        <v>999999999</v>
      </c>
      <c r="G20" s="443">
        <v>21</v>
      </c>
      <c r="H20" s="443">
        <v>999</v>
      </c>
      <c r="I20" s="444">
        <v>4</v>
      </c>
      <c r="J20" s="452">
        <v>0.7</v>
      </c>
      <c r="K20" s="446">
        <v>150000</v>
      </c>
    </row>
    <row r="21" spans="2:11" x14ac:dyDescent="0.25">
      <c r="B21" s="148" t="s">
        <v>762</v>
      </c>
      <c r="C21" s="447" t="s">
        <v>669</v>
      </c>
      <c r="D21" s="447" t="s">
        <v>668</v>
      </c>
      <c r="E21" s="448">
        <v>20001</v>
      </c>
      <c r="F21" s="448">
        <v>999999999</v>
      </c>
      <c r="G21" s="454" t="s">
        <v>396</v>
      </c>
      <c r="H21" s="454" t="s">
        <v>396</v>
      </c>
      <c r="I21" s="450">
        <v>8</v>
      </c>
      <c r="J21" s="455">
        <v>0.7</v>
      </c>
      <c r="K21" s="451">
        <v>150000</v>
      </c>
    </row>
    <row r="22" spans="2:11" x14ac:dyDescent="0.25">
      <c r="B22" s="147" t="s">
        <v>763</v>
      </c>
      <c r="C22" s="435" t="s">
        <v>669</v>
      </c>
      <c r="D22" s="435" t="s">
        <v>669</v>
      </c>
      <c r="E22" s="436" t="s">
        <v>760</v>
      </c>
      <c r="F22" s="436" t="s">
        <v>760</v>
      </c>
      <c r="G22" s="437">
        <v>4</v>
      </c>
      <c r="H22" s="437">
        <v>10.999000000000001</v>
      </c>
      <c r="I22" s="438">
        <v>0.15</v>
      </c>
      <c r="J22" s="439">
        <f>85%</f>
        <v>0.85</v>
      </c>
      <c r="K22" s="440">
        <v>50000</v>
      </c>
    </row>
    <row r="23" spans="2:11" x14ac:dyDescent="0.25">
      <c r="B23" s="441" t="s">
        <v>763</v>
      </c>
      <c r="C23" s="421" t="s">
        <v>669</v>
      </c>
      <c r="D23" s="421" t="s">
        <v>669</v>
      </c>
      <c r="E23" s="442" t="s">
        <v>760</v>
      </c>
      <c r="F23" s="442" t="s">
        <v>760</v>
      </c>
      <c r="G23" s="443">
        <v>11</v>
      </c>
      <c r="H23" s="443">
        <v>20.998999999999999</v>
      </c>
      <c r="I23" s="444">
        <v>1.5</v>
      </c>
      <c r="J23" s="445">
        <f>85%</f>
        <v>0.85</v>
      </c>
      <c r="K23" s="446">
        <v>50000</v>
      </c>
    </row>
    <row r="24" spans="2:11" x14ac:dyDescent="0.25">
      <c r="B24" s="441" t="s">
        <v>763</v>
      </c>
      <c r="C24" s="421" t="s">
        <v>669</v>
      </c>
      <c r="D24" s="421" t="s">
        <v>669</v>
      </c>
      <c r="E24" s="442" t="s">
        <v>760</v>
      </c>
      <c r="F24" s="442" t="s">
        <v>760</v>
      </c>
      <c r="G24" s="443">
        <v>21</v>
      </c>
      <c r="H24" s="443">
        <v>30.998999999999999</v>
      </c>
      <c r="I24" s="444">
        <v>1.75</v>
      </c>
      <c r="J24" s="445">
        <f>85%</f>
        <v>0.85</v>
      </c>
      <c r="K24" s="446">
        <v>50000</v>
      </c>
    </row>
    <row r="25" spans="2:11" x14ac:dyDescent="0.25">
      <c r="B25" s="441" t="s">
        <v>763</v>
      </c>
      <c r="C25" s="421" t="s">
        <v>669</v>
      </c>
      <c r="D25" s="421" t="s">
        <v>669</v>
      </c>
      <c r="E25" s="442" t="s">
        <v>760</v>
      </c>
      <c r="F25" s="442" t="s">
        <v>760</v>
      </c>
      <c r="G25" s="443">
        <v>31</v>
      </c>
      <c r="H25" s="443">
        <v>40.999000000000002</v>
      </c>
      <c r="I25" s="444">
        <v>1.9</v>
      </c>
      <c r="J25" s="445">
        <f>85%</f>
        <v>0.85</v>
      </c>
      <c r="K25" s="446">
        <v>50000</v>
      </c>
    </row>
    <row r="26" spans="2:11" x14ac:dyDescent="0.25">
      <c r="B26" s="148" t="s">
        <v>763</v>
      </c>
      <c r="C26" s="447" t="s">
        <v>669</v>
      </c>
      <c r="D26" s="447" t="s">
        <v>669</v>
      </c>
      <c r="E26" s="448" t="s">
        <v>760</v>
      </c>
      <c r="F26" s="448" t="s">
        <v>760</v>
      </c>
      <c r="G26" s="449">
        <v>41</v>
      </c>
      <c r="H26" s="449">
        <v>999</v>
      </c>
      <c r="I26" s="450">
        <v>2</v>
      </c>
      <c r="J26" s="445">
        <f>85%</f>
        <v>0.85</v>
      </c>
      <c r="K26" s="451">
        <v>50000</v>
      </c>
    </row>
    <row r="27" spans="2:11" x14ac:dyDescent="0.25">
      <c r="B27" s="147" t="s">
        <v>764</v>
      </c>
      <c r="C27" s="435" t="s">
        <v>669</v>
      </c>
      <c r="D27" s="435" t="s">
        <v>669</v>
      </c>
      <c r="E27" s="436" t="s">
        <v>760</v>
      </c>
      <c r="F27" s="436" t="s">
        <v>760</v>
      </c>
      <c r="G27" s="437">
        <v>4</v>
      </c>
      <c r="H27" s="437">
        <v>10.999000000000001</v>
      </c>
      <c r="I27" s="438">
        <v>0.15</v>
      </c>
      <c r="J27" s="439">
        <v>0.7</v>
      </c>
      <c r="K27" s="440">
        <v>50000</v>
      </c>
    </row>
    <row r="28" spans="2:11" x14ac:dyDescent="0.25">
      <c r="B28" s="441" t="s">
        <v>764</v>
      </c>
      <c r="C28" s="421" t="s">
        <v>669</v>
      </c>
      <c r="D28" s="421" t="s">
        <v>669</v>
      </c>
      <c r="E28" s="442" t="s">
        <v>760</v>
      </c>
      <c r="F28" s="442" t="s">
        <v>760</v>
      </c>
      <c r="G28" s="443">
        <v>11</v>
      </c>
      <c r="H28" s="443">
        <v>20.998999999999999</v>
      </c>
      <c r="I28" s="444">
        <v>1.5</v>
      </c>
      <c r="J28" s="452">
        <v>0.7</v>
      </c>
      <c r="K28" s="446">
        <v>50000</v>
      </c>
    </row>
    <row r="29" spans="2:11" x14ac:dyDescent="0.25">
      <c r="B29" s="441" t="s">
        <v>764</v>
      </c>
      <c r="C29" s="421" t="s">
        <v>669</v>
      </c>
      <c r="D29" s="421" t="s">
        <v>669</v>
      </c>
      <c r="E29" s="442" t="s">
        <v>760</v>
      </c>
      <c r="F29" s="442" t="s">
        <v>760</v>
      </c>
      <c r="G29" s="443">
        <v>21</v>
      </c>
      <c r="H29" s="443">
        <v>30.998999999999999</v>
      </c>
      <c r="I29" s="444">
        <v>1.75</v>
      </c>
      <c r="J29" s="452">
        <v>0.7</v>
      </c>
      <c r="K29" s="446">
        <v>50000</v>
      </c>
    </row>
    <row r="30" spans="2:11" x14ac:dyDescent="0.25">
      <c r="B30" s="441" t="s">
        <v>764</v>
      </c>
      <c r="C30" s="421" t="s">
        <v>669</v>
      </c>
      <c r="D30" s="421" t="s">
        <v>669</v>
      </c>
      <c r="E30" s="442" t="s">
        <v>760</v>
      </c>
      <c r="F30" s="442" t="s">
        <v>760</v>
      </c>
      <c r="G30" s="443">
        <v>31</v>
      </c>
      <c r="H30" s="443">
        <v>40.999000000000002</v>
      </c>
      <c r="I30" s="444">
        <v>1.9</v>
      </c>
      <c r="J30" s="452">
        <v>0.7</v>
      </c>
      <c r="K30" s="446">
        <v>50000</v>
      </c>
    </row>
    <row r="31" spans="2:11" x14ac:dyDescent="0.25">
      <c r="B31" s="148" t="s">
        <v>764</v>
      </c>
      <c r="C31" s="447" t="s">
        <v>669</v>
      </c>
      <c r="D31" s="447" t="s">
        <v>669</v>
      </c>
      <c r="E31" s="448" t="s">
        <v>760</v>
      </c>
      <c r="F31" s="448" t="s">
        <v>760</v>
      </c>
      <c r="G31" s="449">
        <v>41</v>
      </c>
      <c r="H31" s="449">
        <v>999</v>
      </c>
      <c r="I31" s="450">
        <v>2</v>
      </c>
      <c r="J31" s="455">
        <v>0.7</v>
      </c>
      <c r="K31" s="451">
        <v>50000</v>
      </c>
    </row>
    <row r="32" spans="2:11" x14ac:dyDescent="0.25">
      <c r="B32" s="147" t="s">
        <v>765</v>
      </c>
      <c r="C32" s="435" t="s">
        <v>669</v>
      </c>
      <c r="D32" s="435" t="s">
        <v>669</v>
      </c>
      <c r="E32" s="436">
        <v>1</v>
      </c>
      <c r="F32" s="436">
        <v>20000</v>
      </c>
      <c r="G32" s="437">
        <v>4</v>
      </c>
      <c r="H32" s="437">
        <v>10.999000000000001</v>
      </c>
      <c r="I32" s="438">
        <v>0.6</v>
      </c>
      <c r="J32" s="439">
        <v>0.7</v>
      </c>
      <c r="K32" s="440">
        <v>50000</v>
      </c>
    </row>
    <row r="33" spans="2:11" x14ac:dyDescent="0.25">
      <c r="B33" s="441" t="s">
        <v>765</v>
      </c>
      <c r="C33" s="421" t="s">
        <v>669</v>
      </c>
      <c r="D33" s="421" t="s">
        <v>669</v>
      </c>
      <c r="E33" s="442">
        <v>1</v>
      </c>
      <c r="F33" s="442">
        <v>20000</v>
      </c>
      <c r="G33" s="443">
        <v>11</v>
      </c>
      <c r="H33" s="443">
        <v>20.998999999999999</v>
      </c>
      <c r="I33" s="444">
        <v>1.7</v>
      </c>
      <c r="J33" s="452">
        <v>0.7</v>
      </c>
      <c r="K33" s="446">
        <v>50000</v>
      </c>
    </row>
    <row r="34" spans="2:11" x14ac:dyDescent="0.25">
      <c r="B34" s="441" t="s">
        <v>765</v>
      </c>
      <c r="C34" s="421" t="s">
        <v>669</v>
      </c>
      <c r="D34" s="421" t="s">
        <v>669</v>
      </c>
      <c r="E34" s="442">
        <v>1</v>
      </c>
      <c r="F34" s="442">
        <v>20000</v>
      </c>
      <c r="G34" s="443">
        <v>21</v>
      </c>
      <c r="H34" s="443">
        <v>999</v>
      </c>
      <c r="I34" s="444">
        <v>2.4</v>
      </c>
      <c r="J34" s="452">
        <v>0.7</v>
      </c>
      <c r="K34" s="446">
        <v>50000</v>
      </c>
    </row>
    <row r="35" spans="2:11" x14ac:dyDescent="0.25">
      <c r="B35" s="148" t="s">
        <v>765</v>
      </c>
      <c r="C35" s="447" t="s">
        <v>669</v>
      </c>
      <c r="D35" s="447" t="s">
        <v>668</v>
      </c>
      <c r="E35" s="442">
        <v>1</v>
      </c>
      <c r="F35" s="442">
        <v>20000</v>
      </c>
      <c r="G35" s="454" t="s">
        <v>396</v>
      </c>
      <c r="H35" s="454" t="s">
        <v>396</v>
      </c>
      <c r="I35" s="450">
        <v>4.8</v>
      </c>
      <c r="J35" s="452">
        <v>0.7</v>
      </c>
      <c r="K35" s="451">
        <v>50000</v>
      </c>
    </row>
    <row r="36" spans="2:11" x14ac:dyDescent="0.25">
      <c r="B36" s="147" t="s">
        <v>759</v>
      </c>
      <c r="C36" s="435" t="s">
        <v>668</v>
      </c>
      <c r="D36" s="435" t="s">
        <v>669</v>
      </c>
      <c r="E36" s="436" t="s">
        <v>760</v>
      </c>
      <c r="F36" s="436" t="s">
        <v>760</v>
      </c>
      <c r="G36" s="437">
        <v>4</v>
      </c>
      <c r="H36" s="437">
        <v>10.999000000000001</v>
      </c>
      <c r="I36" s="438">
        <v>1.1499999999999999</v>
      </c>
      <c r="J36" s="439">
        <f>85%</f>
        <v>0.85</v>
      </c>
      <c r="K36" s="440">
        <v>250000</v>
      </c>
    </row>
    <row r="37" spans="2:11" x14ac:dyDescent="0.25">
      <c r="B37" s="441" t="s">
        <v>759</v>
      </c>
      <c r="C37" s="421" t="s">
        <v>668</v>
      </c>
      <c r="D37" s="421" t="s">
        <v>669</v>
      </c>
      <c r="E37" s="442" t="s">
        <v>760</v>
      </c>
      <c r="F37" s="442" t="s">
        <v>760</v>
      </c>
      <c r="G37" s="443">
        <v>11</v>
      </c>
      <c r="H37" s="443">
        <v>20.998999999999999</v>
      </c>
      <c r="I37" s="444">
        <v>2.5</v>
      </c>
      <c r="J37" s="445">
        <f>85%</f>
        <v>0.85</v>
      </c>
      <c r="K37" s="446">
        <v>250000</v>
      </c>
    </row>
    <row r="38" spans="2:11" x14ac:dyDescent="0.25">
      <c r="B38" s="441" t="s">
        <v>759</v>
      </c>
      <c r="C38" s="421" t="s">
        <v>668</v>
      </c>
      <c r="D38" s="421" t="s">
        <v>669</v>
      </c>
      <c r="E38" s="442" t="s">
        <v>760</v>
      </c>
      <c r="F38" s="442" t="s">
        <v>760</v>
      </c>
      <c r="G38" s="443">
        <v>21</v>
      </c>
      <c r="H38" s="443">
        <v>30.998999999999999</v>
      </c>
      <c r="I38" s="444">
        <v>2.75</v>
      </c>
      <c r="J38" s="445">
        <f>85%</f>
        <v>0.85</v>
      </c>
      <c r="K38" s="446">
        <v>250000</v>
      </c>
    </row>
    <row r="39" spans="2:11" x14ac:dyDescent="0.25">
      <c r="B39" s="441" t="s">
        <v>759</v>
      </c>
      <c r="C39" s="421" t="s">
        <v>668</v>
      </c>
      <c r="D39" s="421" t="s">
        <v>669</v>
      </c>
      <c r="E39" s="442" t="s">
        <v>760</v>
      </c>
      <c r="F39" s="442" t="s">
        <v>760</v>
      </c>
      <c r="G39" s="443">
        <v>31</v>
      </c>
      <c r="H39" s="443">
        <v>40.999000000000002</v>
      </c>
      <c r="I39" s="444">
        <v>2.9</v>
      </c>
      <c r="J39" s="445">
        <f>85%</f>
        <v>0.85</v>
      </c>
      <c r="K39" s="446">
        <v>250000</v>
      </c>
    </row>
    <row r="40" spans="2:11" x14ac:dyDescent="0.25">
      <c r="B40" s="148" t="s">
        <v>759</v>
      </c>
      <c r="C40" s="447" t="s">
        <v>668</v>
      </c>
      <c r="D40" s="447" t="s">
        <v>669</v>
      </c>
      <c r="E40" s="448" t="s">
        <v>760</v>
      </c>
      <c r="F40" s="448" t="s">
        <v>760</v>
      </c>
      <c r="G40" s="449">
        <v>41</v>
      </c>
      <c r="H40" s="449">
        <v>999</v>
      </c>
      <c r="I40" s="450">
        <v>3</v>
      </c>
      <c r="J40" s="445">
        <f>85%</f>
        <v>0.85</v>
      </c>
      <c r="K40" s="451">
        <v>250000</v>
      </c>
    </row>
    <row r="41" spans="2:11" x14ac:dyDescent="0.25">
      <c r="B41" s="147" t="s">
        <v>761</v>
      </c>
      <c r="C41" s="435" t="s">
        <v>668</v>
      </c>
      <c r="D41" s="435" t="s">
        <v>669</v>
      </c>
      <c r="E41" s="436" t="s">
        <v>760</v>
      </c>
      <c r="F41" s="436" t="s">
        <v>760</v>
      </c>
      <c r="G41" s="437">
        <v>4</v>
      </c>
      <c r="H41" s="437">
        <v>10.999000000000001</v>
      </c>
      <c r="I41" s="438">
        <v>1.1499999999999999</v>
      </c>
      <c r="J41" s="439">
        <f>85%</f>
        <v>0.85</v>
      </c>
      <c r="K41" s="440">
        <v>250000</v>
      </c>
    </row>
    <row r="42" spans="2:11" x14ac:dyDescent="0.25">
      <c r="B42" s="441" t="s">
        <v>761</v>
      </c>
      <c r="C42" s="421" t="s">
        <v>668</v>
      </c>
      <c r="D42" s="421" t="s">
        <v>669</v>
      </c>
      <c r="E42" s="442" t="s">
        <v>760</v>
      </c>
      <c r="F42" s="442" t="s">
        <v>760</v>
      </c>
      <c r="G42" s="443">
        <v>11</v>
      </c>
      <c r="H42" s="443">
        <v>20.998999999999999</v>
      </c>
      <c r="I42" s="444">
        <v>2.5</v>
      </c>
      <c r="J42" s="445">
        <f>85%</f>
        <v>0.85</v>
      </c>
      <c r="K42" s="446">
        <v>250000</v>
      </c>
    </row>
    <row r="43" spans="2:11" x14ac:dyDescent="0.25">
      <c r="B43" s="441" t="s">
        <v>761</v>
      </c>
      <c r="C43" s="421" t="s">
        <v>668</v>
      </c>
      <c r="D43" s="421" t="s">
        <v>669</v>
      </c>
      <c r="E43" s="442" t="s">
        <v>760</v>
      </c>
      <c r="F43" s="442" t="s">
        <v>760</v>
      </c>
      <c r="G43" s="443">
        <v>21</v>
      </c>
      <c r="H43" s="443">
        <v>30.998999999999999</v>
      </c>
      <c r="I43" s="444">
        <v>2.75</v>
      </c>
      <c r="J43" s="445">
        <f>85%</f>
        <v>0.85</v>
      </c>
      <c r="K43" s="446">
        <v>250000</v>
      </c>
    </row>
    <row r="44" spans="2:11" x14ac:dyDescent="0.25">
      <c r="B44" s="441" t="s">
        <v>761</v>
      </c>
      <c r="C44" s="421" t="s">
        <v>668</v>
      </c>
      <c r="D44" s="421" t="s">
        <v>669</v>
      </c>
      <c r="E44" s="442" t="s">
        <v>760</v>
      </c>
      <c r="F44" s="442" t="s">
        <v>760</v>
      </c>
      <c r="G44" s="443">
        <v>31</v>
      </c>
      <c r="H44" s="443">
        <v>40.999000000000002</v>
      </c>
      <c r="I44" s="444">
        <v>2.9</v>
      </c>
      <c r="J44" s="445">
        <f>85%</f>
        <v>0.85</v>
      </c>
      <c r="K44" s="446">
        <v>250000</v>
      </c>
    </row>
    <row r="45" spans="2:11" x14ac:dyDescent="0.25">
      <c r="B45" s="148" t="s">
        <v>761</v>
      </c>
      <c r="C45" s="447" t="s">
        <v>668</v>
      </c>
      <c r="D45" s="447" t="s">
        <v>669</v>
      </c>
      <c r="E45" s="448" t="s">
        <v>760</v>
      </c>
      <c r="F45" s="448" t="s">
        <v>760</v>
      </c>
      <c r="G45" s="449">
        <v>41</v>
      </c>
      <c r="H45" s="449">
        <v>999</v>
      </c>
      <c r="I45" s="450">
        <v>3</v>
      </c>
      <c r="J45" s="445">
        <f>85%</f>
        <v>0.85</v>
      </c>
      <c r="K45" s="451">
        <v>250000</v>
      </c>
    </row>
    <row r="46" spans="2:11" x14ac:dyDescent="0.25">
      <c r="B46" s="147" t="s">
        <v>762</v>
      </c>
      <c r="C46" s="435" t="s">
        <v>668</v>
      </c>
      <c r="D46" s="435" t="s">
        <v>669</v>
      </c>
      <c r="E46" s="436">
        <v>1</v>
      </c>
      <c r="F46" s="436">
        <v>20000</v>
      </c>
      <c r="G46" s="437">
        <v>4</v>
      </c>
      <c r="H46" s="437">
        <v>10.999000000000001</v>
      </c>
      <c r="I46" s="438">
        <v>1.8</v>
      </c>
      <c r="J46" s="439">
        <f>85%</f>
        <v>0.85</v>
      </c>
      <c r="K46" s="440">
        <v>150000</v>
      </c>
    </row>
    <row r="47" spans="2:11" x14ac:dyDescent="0.25">
      <c r="B47" s="441" t="s">
        <v>762</v>
      </c>
      <c r="C47" s="421" t="s">
        <v>668</v>
      </c>
      <c r="D47" s="421" t="s">
        <v>669</v>
      </c>
      <c r="E47" s="442">
        <v>1</v>
      </c>
      <c r="F47" s="442">
        <v>20000</v>
      </c>
      <c r="G47" s="443">
        <v>11</v>
      </c>
      <c r="H47" s="443">
        <v>20.998999999999999</v>
      </c>
      <c r="I47" s="444">
        <v>2.9</v>
      </c>
      <c r="J47" s="445">
        <f>85%</f>
        <v>0.85</v>
      </c>
      <c r="K47" s="446">
        <v>150000</v>
      </c>
    </row>
    <row r="48" spans="2:11" x14ac:dyDescent="0.25">
      <c r="B48" s="441" t="s">
        <v>762</v>
      </c>
      <c r="C48" s="421" t="s">
        <v>668</v>
      </c>
      <c r="D48" s="421" t="s">
        <v>669</v>
      </c>
      <c r="E48" s="442">
        <v>1</v>
      </c>
      <c r="F48" s="442">
        <v>20000</v>
      </c>
      <c r="G48" s="443">
        <v>21</v>
      </c>
      <c r="H48" s="443">
        <v>999</v>
      </c>
      <c r="I48" s="444">
        <v>3.6</v>
      </c>
      <c r="J48" s="445">
        <f>85%</f>
        <v>0.85</v>
      </c>
      <c r="K48" s="446">
        <v>150000</v>
      </c>
    </row>
    <row r="49" spans="2:11" x14ac:dyDescent="0.25">
      <c r="B49" s="441" t="s">
        <v>762</v>
      </c>
      <c r="C49" s="421" t="s">
        <v>668</v>
      </c>
      <c r="D49" s="421" t="s">
        <v>668</v>
      </c>
      <c r="E49" s="442">
        <v>1</v>
      </c>
      <c r="F49" s="442">
        <v>20000</v>
      </c>
      <c r="G49" s="453" t="s">
        <v>396</v>
      </c>
      <c r="H49" s="453" t="s">
        <v>396</v>
      </c>
      <c r="I49" s="444">
        <v>7.2</v>
      </c>
      <c r="J49" s="445">
        <f>85%</f>
        <v>0.85</v>
      </c>
      <c r="K49" s="446">
        <v>150000</v>
      </c>
    </row>
    <row r="50" spans="2:11" x14ac:dyDescent="0.25">
      <c r="B50" s="441" t="s">
        <v>762</v>
      </c>
      <c r="C50" s="421" t="s">
        <v>668</v>
      </c>
      <c r="D50" s="421" t="s">
        <v>669</v>
      </c>
      <c r="E50" s="442">
        <v>20001</v>
      </c>
      <c r="F50" s="442">
        <v>999999999</v>
      </c>
      <c r="G50" s="443">
        <v>4</v>
      </c>
      <c r="H50" s="443">
        <v>10.999000000000001</v>
      </c>
      <c r="I50" s="444">
        <v>3</v>
      </c>
      <c r="J50" s="445">
        <f>85%</f>
        <v>0.85</v>
      </c>
      <c r="K50" s="446">
        <v>150000</v>
      </c>
    </row>
    <row r="51" spans="2:11" x14ac:dyDescent="0.25">
      <c r="B51" s="441" t="s">
        <v>762</v>
      </c>
      <c r="C51" s="421" t="s">
        <v>668</v>
      </c>
      <c r="D51" s="421" t="s">
        <v>669</v>
      </c>
      <c r="E51" s="442">
        <v>20001</v>
      </c>
      <c r="F51" s="442">
        <v>999999999</v>
      </c>
      <c r="G51" s="443">
        <v>11</v>
      </c>
      <c r="H51" s="443">
        <v>20.998999999999999</v>
      </c>
      <c r="I51" s="444">
        <v>4</v>
      </c>
      <c r="J51" s="445">
        <f>85%</f>
        <v>0.85</v>
      </c>
      <c r="K51" s="446">
        <v>150000</v>
      </c>
    </row>
    <row r="52" spans="2:11" x14ac:dyDescent="0.25">
      <c r="B52" s="441" t="s">
        <v>762</v>
      </c>
      <c r="C52" s="421" t="s">
        <v>668</v>
      </c>
      <c r="D52" s="421" t="s">
        <v>669</v>
      </c>
      <c r="E52" s="442">
        <v>20001</v>
      </c>
      <c r="F52" s="442">
        <v>999999999</v>
      </c>
      <c r="G52" s="443">
        <v>21</v>
      </c>
      <c r="H52" s="443">
        <v>999</v>
      </c>
      <c r="I52" s="444">
        <v>5</v>
      </c>
      <c r="J52" s="445">
        <f>85%</f>
        <v>0.85</v>
      </c>
      <c r="K52" s="446">
        <v>150000</v>
      </c>
    </row>
    <row r="53" spans="2:11" x14ac:dyDescent="0.25">
      <c r="B53" s="148" t="s">
        <v>762</v>
      </c>
      <c r="C53" s="447" t="s">
        <v>668</v>
      </c>
      <c r="D53" s="447" t="s">
        <v>668</v>
      </c>
      <c r="E53" s="448">
        <v>20001</v>
      </c>
      <c r="F53" s="448">
        <v>999999999</v>
      </c>
      <c r="G53" s="454" t="s">
        <v>396</v>
      </c>
      <c r="H53" s="454" t="s">
        <v>396</v>
      </c>
      <c r="I53" s="450">
        <v>10</v>
      </c>
      <c r="J53" s="445">
        <f>85%</f>
        <v>0.85</v>
      </c>
      <c r="K53" s="451">
        <v>150000</v>
      </c>
    </row>
    <row r="54" spans="2:11" x14ac:dyDescent="0.25">
      <c r="B54" s="147" t="s">
        <v>763</v>
      </c>
      <c r="C54" s="435" t="s">
        <v>668</v>
      </c>
      <c r="D54" s="435" t="s">
        <v>669</v>
      </c>
      <c r="E54" s="436" t="s">
        <v>760</v>
      </c>
      <c r="F54" s="436" t="s">
        <v>760</v>
      </c>
      <c r="G54" s="437">
        <v>4</v>
      </c>
      <c r="H54" s="437">
        <v>10.999000000000001</v>
      </c>
      <c r="I54" s="438">
        <v>1.1499999999999999</v>
      </c>
      <c r="J54" s="439">
        <v>0.9</v>
      </c>
      <c r="K54" s="440">
        <v>50000</v>
      </c>
    </row>
    <row r="55" spans="2:11" x14ac:dyDescent="0.25">
      <c r="B55" s="441" t="s">
        <v>763</v>
      </c>
      <c r="C55" s="421" t="s">
        <v>668</v>
      </c>
      <c r="D55" s="421" t="s">
        <v>669</v>
      </c>
      <c r="E55" s="442" t="s">
        <v>760</v>
      </c>
      <c r="F55" s="442" t="s">
        <v>760</v>
      </c>
      <c r="G55" s="443">
        <v>11</v>
      </c>
      <c r="H55" s="443">
        <v>20.998999999999999</v>
      </c>
      <c r="I55" s="444">
        <v>2.5</v>
      </c>
      <c r="J55" s="445">
        <v>0.9</v>
      </c>
      <c r="K55" s="446">
        <v>50000</v>
      </c>
    </row>
    <row r="56" spans="2:11" x14ac:dyDescent="0.25">
      <c r="B56" s="441" t="s">
        <v>763</v>
      </c>
      <c r="C56" s="421" t="s">
        <v>668</v>
      </c>
      <c r="D56" s="421" t="s">
        <v>669</v>
      </c>
      <c r="E56" s="442" t="s">
        <v>760</v>
      </c>
      <c r="F56" s="442" t="s">
        <v>760</v>
      </c>
      <c r="G56" s="443">
        <v>21</v>
      </c>
      <c r="H56" s="443">
        <v>30.998999999999999</v>
      </c>
      <c r="I56" s="444">
        <v>2.75</v>
      </c>
      <c r="J56" s="445">
        <v>0.9</v>
      </c>
      <c r="K56" s="446">
        <v>50000</v>
      </c>
    </row>
    <row r="57" spans="2:11" x14ac:dyDescent="0.25">
      <c r="B57" s="441" t="s">
        <v>763</v>
      </c>
      <c r="C57" s="421" t="s">
        <v>668</v>
      </c>
      <c r="D57" s="421" t="s">
        <v>669</v>
      </c>
      <c r="E57" s="442" t="s">
        <v>760</v>
      </c>
      <c r="F57" s="442" t="s">
        <v>760</v>
      </c>
      <c r="G57" s="443">
        <v>31</v>
      </c>
      <c r="H57" s="443">
        <v>40.999000000000002</v>
      </c>
      <c r="I57" s="444">
        <v>2.9</v>
      </c>
      <c r="J57" s="445">
        <v>0.9</v>
      </c>
      <c r="K57" s="446">
        <v>50000</v>
      </c>
    </row>
    <row r="58" spans="2:11" x14ac:dyDescent="0.25">
      <c r="B58" s="148" t="s">
        <v>763</v>
      </c>
      <c r="C58" s="447" t="s">
        <v>668</v>
      </c>
      <c r="D58" s="447" t="s">
        <v>669</v>
      </c>
      <c r="E58" s="448" t="s">
        <v>760</v>
      </c>
      <c r="F58" s="448" t="s">
        <v>760</v>
      </c>
      <c r="G58" s="449">
        <v>41</v>
      </c>
      <c r="H58" s="449">
        <v>999</v>
      </c>
      <c r="I58" s="450">
        <v>3</v>
      </c>
      <c r="J58" s="455">
        <v>0.9</v>
      </c>
      <c r="K58" s="451">
        <v>50000</v>
      </c>
    </row>
    <row r="59" spans="2:11" x14ac:dyDescent="0.25">
      <c r="B59" s="147" t="s">
        <v>764</v>
      </c>
      <c r="C59" s="435" t="s">
        <v>668</v>
      </c>
      <c r="D59" s="435" t="s">
        <v>669</v>
      </c>
      <c r="E59" s="436" t="s">
        <v>760</v>
      </c>
      <c r="F59" s="436" t="s">
        <v>760</v>
      </c>
      <c r="G59" s="437">
        <v>4</v>
      </c>
      <c r="H59" s="437">
        <v>10.999000000000001</v>
      </c>
      <c r="I59" s="438">
        <v>1.1499999999999999</v>
      </c>
      <c r="J59" s="439">
        <f>85%</f>
        <v>0.85</v>
      </c>
      <c r="K59" s="440">
        <v>50000</v>
      </c>
    </row>
    <row r="60" spans="2:11" x14ac:dyDescent="0.25">
      <c r="B60" s="441" t="s">
        <v>764</v>
      </c>
      <c r="C60" s="421" t="s">
        <v>668</v>
      </c>
      <c r="D60" s="421" t="s">
        <v>669</v>
      </c>
      <c r="E60" s="442" t="s">
        <v>760</v>
      </c>
      <c r="F60" s="442" t="s">
        <v>760</v>
      </c>
      <c r="G60" s="443">
        <v>11</v>
      </c>
      <c r="H60" s="443">
        <v>20.998999999999999</v>
      </c>
      <c r="I60" s="444">
        <v>2.5</v>
      </c>
      <c r="J60" s="445">
        <f>85%</f>
        <v>0.85</v>
      </c>
      <c r="K60" s="446">
        <v>50000</v>
      </c>
    </row>
    <row r="61" spans="2:11" x14ac:dyDescent="0.25">
      <c r="B61" s="441" t="s">
        <v>764</v>
      </c>
      <c r="C61" s="421" t="s">
        <v>668</v>
      </c>
      <c r="D61" s="421" t="s">
        <v>669</v>
      </c>
      <c r="E61" s="442" t="s">
        <v>760</v>
      </c>
      <c r="F61" s="442" t="s">
        <v>760</v>
      </c>
      <c r="G61" s="443">
        <v>21</v>
      </c>
      <c r="H61" s="443">
        <v>30.998999999999999</v>
      </c>
      <c r="I61" s="444">
        <v>2.75</v>
      </c>
      <c r="J61" s="445">
        <f>85%</f>
        <v>0.85</v>
      </c>
      <c r="K61" s="446">
        <v>50000</v>
      </c>
    </row>
    <row r="62" spans="2:11" x14ac:dyDescent="0.25">
      <c r="B62" s="441" t="s">
        <v>764</v>
      </c>
      <c r="C62" s="421" t="s">
        <v>668</v>
      </c>
      <c r="D62" s="421" t="s">
        <v>669</v>
      </c>
      <c r="E62" s="442" t="s">
        <v>760</v>
      </c>
      <c r="F62" s="442" t="s">
        <v>760</v>
      </c>
      <c r="G62" s="443">
        <v>31</v>
      </c>
      <c r="H62" s="443">
        <v>40.999000000000002</v>
      </c>
      <c r="I62" s="444">
        <v>2.9</v>
      </c>
      <c r="J62" s="445">
        <f>85%</f>
        <v>0.85</v>
      </c>
      <c r="K62" s="446">
        <v>50000</v>
      </c>
    </row>
    <row r="63" spans="2:11" x14ac:dyDescent="0.25">
      <c r="B63" s="148" t="s">
        <v>764</v>
      </c>
      <c r="C63" s="447" t="s">
        <v>668</v>
      </c>
      <c r="D63" s="447" t="s">
        <v>669</v>
      </c>
      <c r="E63" s="448" t="s">
        <v>760</v>
      </c>
      <c r="F63" s="448" t="s">
        <v>760</v>
      </c>
      <c r="G63" s="449">
        <v>41</v>
      </c>
      <c r="H63" s="449">
        <v>999</v>
      </c>
      <c r="I63" s="450">
        <v>3</v>
      </c>
      <c r="J63" s="455">
        <f>85%</f>
        <v>0.85</v>
      </c>
      <c r="K63" s="451">
        <v>50000</v>
      </c>
    </row>
    <row r="64" spans="2:11" x14ac:dyDescent="0.25">
      <c r="B64" s="147" t="s">
        <v>765</v>
      </c>
      <c r="C64" s="435" t="s">
        <v>668</v>
      </c>
      <c r="D64" s="435" t="s">
        <v>669</v>
      </c>
      <c r="E64" s="436">
        <v>1</v>
      </c>
      <c r="F64" s="436">
        <v>20000</v>
      </c>
      <c r="G64" s="437">
        <v>4</v>
      </c>
      <c r="H64" s="437">
        <v>10.999000000000001</v>
      </c>
      <c r="I64" s="438">
        <v>1.6</v>
      </c>
      <c r="J64" s="445">
        <f>85%</f>
        <v>0.85</v>
      </c>
      <c r="K64" s="440">
        <v>50000</v>
      </c>
    </row>
    <row r="65" spans="2:11" x14ac:dyDescent="0.25">
      <c r="B65" s="441" t="s">
        <v>765</v>
      </c>
      <c r="C65" s="421" t="s">
        <v>668</v>
      </c>
      <c r="D65" s="421" t="s">
        <v>669</v>
      </c>
      <c r="E65" s="442">
        <v>1</v>
      </c>
      <c r="F65" s="442">
        <v>20000</v>
      </c>
      <c r="G65" s="443">
        <v>11</v>
      </c>
      <c r="H65" s="443">
        <v>20.998999999999999</v>
      </c>
      <c r="I65" s="444">
        <v>2.7</v>
      </c>
      <c r="J65" s="445">
        <f>85%</f>
        <v>0.85</v>
      </c>
      <c r="K65" s="446">
        <v>50000</v>
      </c>
    </row>
    <row r="66" spans="2:11" x14ac:dyDescent="0.25">
      <c r="B66" s="441" t="s">
        <v>765</v>
      </c>
      <c r="C66" s="421" t="s">
        <v>668</v>
      </c>
      <c r="D66" s="421" t="s">
        <v>669</v>
      </c>
      <c r="E66" s="442">
        <v>1</v>
      </c>
      <c r="F66" s="442">
        <v>20000</v>
      </c>
      <c r="G66" s="443">
        <v>21</v>
      </c>
      <c r="H66" s="443">
        <v>999</v>
      </c>
      <c r="I66" s="444">
        <v>3.4</v>
      </c>
      <c r="J66" s="445">
        <f>85%</f>
        <v>0.85</v>
      </c>
      <c r="K66" s="446">
        <v>50000</v>
      </c>
    </row>
    <row r="67" spans="2:11" x14ac:dyDescent="0.25">
      <c r="B67" s="148" t="s">
        <v>765</v>
      </c>
      <c r="C67" s="447" t="s">
        <v>668</v>
      </c>
      <c r="D67" s="447" t="s">
        <v>668</v>
      </c>
      <c r="E67" s="448">
        <v>1</v>
      </c>
      <c r="F67" s="448">
        <v>20000</v>
      </c>
      <c r="G67" s="454" t="s">
        <v>396</v>
      </c>
      <c r="H67" s="454" t="s">
        <v>396</v>
      </c>
      <c r="I67" s="450">
        <v>5.8</v>
      </c>
      <c r="J67" s="455">
        <f>85%</f>
        <v>0.85</v>
      </c>
      <c r="K67" s="451">
        <v>50000</v>
      </c>
    </row>
  </sheetData>
  <sheetProtection algorithmName="SHA-512" hashValue="YiysM0t9yy4LsagBOMVBh3PD+eJ9g+/Vf9uD4OQUsnwKNRqp8fHE2YCjlyKWpwom4c0IGX5PIHDBSV5xPQlUrw==" saltValue="0KFiGP+Tdvhy3uPuKy6EGg==" spinCount="100000" sheet="1" objects="1" scenarios="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A6D7-577E-48C6-B7A7-1949C90DCA1F}">
  <sheetPr>
    <tabColor rgb="FFFFC000"/>
  </sheetPr>
  <dimension ref="B2:I59"/>
  <sheetViews>
    <sheetView zoomScaleNormal="100" workbookViewId="0">
      <selection activeCell="P16" sqref="A16:P16"/>
    </sheetView>
  </sheetViews>
  <sheetFormatPr defaultColWidth="8.5703125" defaultRowHeight="15" x14ac:dyDescent="0.25"/>
  <cols>
    <col min="1" max="1" width="3.140625" style="1" customWidth="1"/>
    <col min="2" max="2" width="17.5703125" style="1" bestFit="1" customWidth="1"/>
    <col min="3" max="3" width="10.42578125" style="63" customWidth="1"/>
    <col min="4" max="4" width="12.42578125" style="63" customWidth="1"/>
    <col min="5" max="6" width="13.7109375" style="1" bestFit="1" customWidth="1"/>
    <col min="7" max="7" width="13.5703125" style="63" customWidth="1"/>
    <col min="8" max="8" width="11.5703125" style="63" customWidth="1"/>
    <col min="9" max="9" width="13.7109375" style="63" bestFit="1" customWidth="1"/>
    <col min="10" max="16384" width="8.5703125" style="1"/>
  </cols>
  <sheetData>
    <row r="2" spans="2:9" x14ac:dyDescent="0.25">
      <c r="B2" s="144">
        <v>1</v>
      </c>
      <c r="C2" s="144">
        <v>2</v>
      </c>
      <c r="D2" s="144">
        <v>3</v>
      </c>
      <c r="E2" s="144">
        <v>4</v>
      </c>
      <c r="F2" s="144">
        <v>5</v>
      </c>
      <c r="G2" s="144">
        <v>6</v>
      </c>
      <c r="H2" s="144">
        <v>7</v>
      </c>
      <c r="I2" s="144">
        <v>8</v>
      </c>
    </row>
    <row r="3" spans="2:9" ht="30" x14ac:dyDescent="0.25">
      <c r="B3" s="132" t="s">
        <v>388</v>
      </c>
      <c r="C3" s="133" t="s">
        <v>395</v>
      </c>
      <c r="D3" s="133" t="s">
        <v>396</v>
      </c>
      <c r="E3" s="133" t="s">
        <v>754</v>
      </c>
      <c r="F3" s="133" t="s">
        <v>755</v>
      </c>
      <c r="G3" s="133" t="s">
        <v>756</v>
      </c>
      <c r="H3" s="133" t="s">
        <v>757</v>
      </c>
      <c r="I3" s="134" t="s">
        <v>758</v>
      </c>
    </row>
    <row r="4" spans="2:9" x14ac:dyDescent="0.25">
      <c r="B4" s="115" t="s">
        <v>759</v>
      </c>
      <c r="C4" s="123" t="s">
        <v>669</v>
      </c>
      <c r="D4" s="123" t="s">
        <v>669</v>
      </c>
      <c r="E4" s="135">
        <v>4</v>
      </c>
      <c r="F4" s="135">
        <v>10.999000000000001</v>
      </c>
      <c r="G4" s="126">
        <v>0.15</v>
      </c>
      <c r="H4" s="424">
        <v>0.85</v>
      </c>
      <c r="I4" s="129">
        <v>250000</v>
      </c>
    </row>
    <row r="5" spans="2:9" x14ac:dyDescent="0.25">
      <c r="B5" s="116" t="s">
        <v>759</v>
      </c>
      <c r="C5" s="63" t="s">
        <v>669</v>
      </c>
      <c r="D5" s="63" t="s">
        <v>669</v>
      </c>
      <c r="E5" s="136">
        <v>11</v>
      </c>
      <c r="F5" s="136">
        <v>20.998999999999999</v>
      </c>
      <c r="G5" s="127">
        <v>1.5</v>
      </c>
      <c r="H5" s="426">
        <v>0.85</v>
      </c>
      <c r="I5" s="130">
        <v>250000</v>
      </c>
    </row>
    <row r="6" spans="2:9" x14ac:dyDescent="0.25">
      <c r="B6" s="116" t="s">
        <v>759</v>
      </c>
      <c r="C6" s="63" t="s">
        <v>669</v>
      </c>
      <c r="D6" s="63" t="s">
        <v>669</v>
      </c>
      <c r="E6" s="136">
        <v>21</v>
      </c>
      <c r="F6" s="136">
        <v>30.998999999999999</v>
      </c>
      <c r="G6" s="127">
        <v>1.75</v>
      </c>
      <c r="H6" s="426">
        <v>0.85</v>
      </c>
      <c r="I6" s="130">
        <v>250000</v>
      </c>
    </row>
    <row r="7" spans="2:9" x14ac:dyDescent="0.25">
      <c r="B7" s="116" t="s">
        <v>759</v>
      </c>
      <c r="C7" s="63" t="s">
        <v>669</v>
      </c>
      <c r="D7" s="63" t="s">
        <v>669</v>
      </c>
      <c r="E7" s="136">
        <v>31</v>
      </c>
      <c r="F7" s="136">
        <v>40.999000000000002</v>
      </c>
      <c r="G7" s="127">
        <v>1.9</v>
      </c>
      <c r="H7" s="426">
        <v>0.85</v>
      </c>
      <c r="I7" s="130">
        <v>250000</v>
      </c>
    </row>
    <row r="8" spans="2:9" x14ac:dyDescent="0.25">
      <c r="B8" s="116" t="s">
        <v>759</v>
      </c>
      <c r="C8" s="63" t="s">
        <v>669</v>
      </c>
      <c r="D8" s="63" t="s">
        <v>669</v>
      </c>
      <c r="E8" s="136">
        <v>41</v>
      </c>
      <c r="F8" s="136">
        <v>999</v>
      </c>
      <c r="G8" s="127">
        <v>2</v>
      </c>
      <c r="H8" s="426">
        <v>0.85</v>
      </c>
      <c r="I8" s="130">
        <v>250000</v>
      </c>
    </row>
    <row r="9" spans="2:9" x14ac:dyDescent="0.25">
      <c r="B9" s="115" t="s">
        <v>761</v>
      </c>
      <c r="C9" s="123" t="s">
        <v>669</v>
      </c>
      <c r="D9" s="123" t="s">
        <v>669</v>
      </c>
      <c r="E9" s="135">
        <v>4</v>
      </c>
      <c r="F9" s="135">
        <v>10.999000000000001</v>
      </c>
      <c r="G9" s="126">
        <v>0.15</v>
      </c>
      <c r="H9" s="424">
        <v>0.85</v>
      </c>
      <c r="I9" s="129">
        <v>250000</v>
      </c>
    </row>
    <row r="10" spans="2:9" x14ac:dyDescent="0.25">
      <c r="B10" s="116" t="s">
        <v>761</v>
      </c>
      <c r="C10" s="63" t="s">
        <v>669</v>
      </c>
      <c r="D10" s="63" t="s">
        <v>669</v>
      </c>
      <c r="E10" s="136">
        <v>11</v>
      </c>
      <c r="F10" s="136">
        <v>20.998999999999999</v>
      </c>
      <c r="G10" s="127">
        <v>1.5</v>
      </c>
      <c r="H10" s="426">
        <v>0.85</v>
      </c>
      <c r="I10" s="130">
        <v>250000</v>
      </c>
    </row>
    <row r="11" spans="2:9" x14ac:dyDescent="0.25">
      <c r="B11" s="116" t="s">
        <v>761</v>
      </c>
      <c r="C11" s="63" t="s">
        <v>669</v>
      </c>
      <c r="D11" s="63" t="s">
        <v>669</v>
      </c>
      <c r="E11" s="136">
        <v>21</v>
      </c>
      <c r="F11" s="136">
        <v>30.998999999999999</v>
      </c>
      <c r="G11" s="127">
        <v>1.75</v>
      </c>
      <c r="H11" s="426">
        <v>0.85</v>
      </c>
      <c r="I11" s="130">
        <v>250000</v>
      </c>
    </row>
    <row r="12" spans="2:9" x14ac:dyDescent="0.25">
      <c r="B12" s="116" t="s">
        <v>761</v>
      </c>
      <c r="C12" s="63" t="s">
        <v>669</v>
      </c>
      <c r="D12" s="63" t="s">
        <v>669</v>
      </c>
      <c r="E12" s="136">
        <v>31</v>
      </c>
      <c r="F12" s="136">
        <v>40.999000000000002</v>
      </c>
      <c r="G12" s="127">
        <v>1.9</v>
      </c>
      <c r="H12" s="426">
        <v>0.85</v>
      </c>
      <c r="I12" s="130">
        <v>250000</v>
      </c>
    </row>
    <row r="13" spans="2:9" x14ac:dyDescent="0.25">
      <c r="B13" s="117" t="s">
        <v>761</v>
      </c>
      <c r="C13" s="124" t="s">
        <v>669</v>
      </c>
      <c r="D13" s="124" t="s">
        <v>669</v>
      </c>
      <c r="E13" s="137">
        <v>41</v>
      </c>
      <c r="F13" s="137">
        <v>999</v>
      </c>
      <c r="G13" s="128">
        <v>2</v>
      </c>
      <c r="H13" s="427">
        <v>0.85</v>
      </c>
      <c r="I13" s="131">
        <v>250000</v>
      </c>
    </row>
    <row r="14" spans="2:9" x14ac:dyDescent="0.25">
      <c r="B14" s="116" t="s">
        <v>762</v>
      </c>
      <c r="C14" s="63" t="s">
        <v>669</v>
      </c>
      <c r="D14" s="63" t="s">
        <v>669</v>
      </c>
      <c r="E14" s="136">
        <v>4</v>
      </c>
      <c r="F14" s="136">
        <v>10.999000000000001</v>
      </c>
      <c r="G14" s="127">
        <v>2</v>
      </c>
      <c r="H14" s="426">
        <v>0.7</v>
      </c>
      <c r="I14" s="130">
        <v>150000</v>
      </c>
    </row>
    <row r="15" spans="2:9" x14ac:dyDescent="0.25">
      <c r="B15" s="116" t="s">
        <v>762</v>
      </c>
      <c r="C15" s="63" t="s">
        <v>669</v>
      </c>
      <c r="D15" s="63" t="s">
        <v>669</v>
      </c>
      <c r="E15" s="136">
        <v>11</v>
      </c>
      <c r="F15" s="136">
        <v>20.998999999999999</v>
      </c>
      <c r="G15" s="127">
        <v>3</v>
      </c>
      <c r="H15" s="426">
        <v>0.7</v>
      </c>
      <c r="I15" s="130">
        <v>150000</v>
      </c>
    </row>
    <row r="16" spans="2:9" x14ac:dyDescent="0.25">
      <c r="B16" s="116" t="s">
        <v>762</v>
      </c>
      <c r="C16" s="63" t="s">
        <v>669</v>
      </c>
      <c r="D16" s="63" t="s">
        <v>669</v>
      </c>
      <c r="E16" s="136">
        <v>21</v>
      </c>
      <c r="F16" s="136">
        <v>999</v>
      </c>
      <c r="G16" s="127">
        <v>4</v>
      </c>
      <c r="H16" s="426">
        <v>0.7</v>
      </c>
      <c r="I16" s="130">
        <v>150000</v>
      </c>
    </row>
    <row r="17" spans="2:9" x14ac:dyDescent="0.25">
      <c r="B17" s="116" t="s">
        <v>762</v>
      </c>
      <c r="C17" s="63" t="s">
        <v>669</v>
      </c>
      <c r="D17" s="63" t="s">
        <v>668</v>
      </c>
      <c r="E17" s="136" t="s">
        <v>396</v>
      </c>
      <c r="F17" s="136" t="s">
        <v>396</v>
      </c>
      <c r="G17" s="127">
        <v>8</v>
      </c>
      <c r="H17" s="426">
        <v>0.7</v>
      </c>
      <c r="I17" s="130">
        <v>150000</v>
      </c>
    </row>
    <row r="18" spans="2:9" x14ac:dyDescent="0.25">
      <c r="B18" s="115" t="s">
        <v>763</v>
      </c>
      <c r="C18" s="123" t="s">
        <v>669</v>
      </c>
      <c r="D18" s="123" t="s">
        <v>669</v>
      </c>
      <c r="E18" s="135">
        <v>4</v>
      </c>
      <c r="F18" s="135">
        <v>10.999000000000001</v>
      </c>
      <c r="G18" s="126">
        <v>0.15</v>
      </c>
      <c r="H18" s="424">
        <v>0.85</v>
      </c>
      <c r="I18" s="129">
        <v>50000</v>
      </c>
    </row>
    <row r="19" spans="2:9" x14ac:dyDescent="0.25">
      <c r="B19" s="116" t="s">
        <v>763</v>
      </c>
      <c r="C19" s="63" t="s">
        <v>669</v>
      </c>
      <c r="D19" s="63" t="s">
        <v>669</v>
      </c>
      <c r="E19" s="136">
        <v>11</v>
      </c>
      <c r="F19" s="136">
        <v>20.998999999999999</v>
      </c>
      <c r="G19" s="127">
        <v>1.5</v>
      </c>
      <c r="H19" s="426">
        <v>0.85</v>
      </c>
      <c r="I19" s="130">
        <v>50000</v>
      </c>
    </row>
    <row r="20" spans="2:9" x14ac:dyDescent="0.25">
      <c r="B20" s="116" t="s">
        <v>763</v>
      </c>
      <c r="C20" s="63" t="s">
        <v>669</v>
      </c>
      <c r="D20" s="63" t="s">
        <v>669</v>
      </c>
      <c r="E20" s="136">
        <v>21</v>
      </c>
      <c r="F20" s="136">
        <v>30.998999999999999</v>
      </c>
      <c r="G20" s="127">
        <v>1.75</v>
      </c>
      <c r="H20" s="426">
        <v>0.85</v>
      </c>
      <c r="I20" s="130">
        <v>50000</v>
      </c>
    </row>
    <row r="21" spans="2:9" x14ac:dyDescent="0.25">
      <c r="B21" s="116" t="s">
        <v>763</v>
      </c>
      <c r="C21" s="63" t="s">
        <v>669</v>
      </c>
      <c r="D21" s="63" t="s">
        <v>669</v>
      </c>
      <c r="E21" s="136">
        <v>31</v>
      </c>
      <c r="F21" s="136">
        <v>40.999000000000002</v>
      </c>
      <c r="G21" s="127">
        <v>1.9</v>
      </c>
      <c r="H21" s="426">
        <v>0.85</v>
      </c>
      <c r="I21" s="130">
        <v>50000</v>
      </c>
    </row>
    <row r="22" spans="2:9" x14ac:dyDescent="0.25">
      <c r="B22" s="117" t="s">
        <v>763</v>
      </c>
      <c r="C22" s="124" t="s">
        <v>669</v>
      </c>
      <c r="D22" s="124" t="s">
        <v>669</v>
      </c>
      <c r="E22" s="137">
        <v>41</v>
      </c>
      <c r="F22" s="137">
        <v>999</v>
      </c>
      <c r="G22" s="128">
        <v>2</v>
      </c>
      <c r="H22" s="427">
        <v>0.85</v>
      </c>
      <c r="I22" s="131">
        <v>50000</v>
      </c>
    </row>
    <row r="23" spans="2:9" x14ac:dyDescent="0.25">
      <c r="B23" s="116" t="s">
        <v>764</v>
      </c>
      <c r="C23" s="63" t="s">
        <v>669</v>
      </c>
      <c r="D23" s="63" t="s">
        <v>669</v>
      </c>
      <c r="E23" s="136">
        <v>4</v>
      </c>
      <c r="F23" s="136">
        <v>10.999000000000001</v>
      </c>
      <c r="G23" s="127">
        <v>0.15</v>
      </c>
      <c r="H23" s="426">
        <v>0.7</v>
      </c>
      <c r="I23" s="130">
        <v>50000</v>
      </c>
    </row>
    <row r="24" spans="2:9" x14ac:dyDescent="0.25">
      <c r="B24" s="116" t="s">
        <v>764</v>
      </c>
      <c r="C24" s="63" t="s">
        <v>669</v>
      </c>
      <c r="D24" s="63" t="s">
        <v>669</v>
      </c>
      <c r="E24" s="136">
        <v>11</v>
      </c>
      <c r="F24" s="136">
        <v>20.998999999999999</v>
      </c>
      <c r="G24" s="127">
        <v>1.5</v>
      </c>
      <c r="H24" s="426">
        <v>0.7</v>
      </c>
      <c r="I24" s="130">
        <v>50000</v>
      </c>
    </row>
    <row r="25" spans="2:9" x14ac:dyDescent="0.25">
      <c r="B25" s="116" t="s">
        <v>764</v>
      </c>
      <c r="C25" s="63" t="s">
        <v>669</v>
      </c>
      <c r="D25" s="63" t="s">
        <v>669</v>
      </c>
      <c r="E25" s="136">
        <v>21</v>
      </c>
      <c r="F25" s="136">
        <v>30.998999999999999</v>
      </c>
      <c r="G25" s="127">
        <v>1.75</v>
      </c>
      <c r="H25" s="426">
        <v>0.7</v>
      </c>
      <c r="I25" s="130">
        <v>50000</v>
      </c>
    </row>
    <row r="26" spans="2:9" x14ac:dyDescent="0.25">
      <c r="B26" s="116" t="s">
        <v>764</v>
      </c>
      <c r="C26" s="63" t="s">
        <v>669</v>
      </c>
      <c r="D26" s="63" t="s">
        <v>669</v>
      </c>
      <c r="E26" s="136">
        <v>31</v>
      </c>
      <c r="F26" s="136">
        <v>40.999000000000002</v>
      </c>
      <c r="G26" s="127">
        <v>1.9</v>
      </c>
      <c r="H26" s="426">
        <v>0.7</v>
      </c>
      <c r="I26" s="130">
        <v>50000</v>
      </c>
    </row>
    <row r="27" spans="2:9" x14ac:dyDescent="0.25">
      <c r="B27" s="116" t="s">
        <v>764</v>
      </c>
      <c r="C27" s="63" t="s">
        <v>669</v>
      </c>
      <c r="D27" s="63" t="s">
        <v>669</v>
      </c>
      <c r="E27" s="136">
        <v>41</v>
      </c>
      <c r="F27" s="136">
        <v>999</v>
      </c>
      <c r="G27" s="127">
        <v>2</v>
      </c>
      <c r="H27" s="426">
        <v>0.7</v>
      </c>
      <c r="I27" s="130">
        <v>50000</v>
      </c>
    </row>
    <row r="28" spans="2:9" x14ac:dyDescent="0.25">
      <c r="B28" s="115" t="s">
        <v>765</v>
      </c>
      <c r="C28" s="123" t="s">
        <v>669</v>
      </c>
      <c r="D28" s="123" t="s">
        <v>669</v>
      </c>
      <c r="E28" s="135">
        <v>4</v>
      </c>
      <c r="F28" s="135">
        <v>10.999000000000001</v>
      </c>
      <c r="G28" s="126">
        <v>2</v>
      </c>
      <c r="H28" s="424">
        <v>0.7</v>
      </c>
      <c r="I28" s="129">
        <v>50000</v>
      </c>
    </row>
    <row r="29" spans="2:9" x14ac:dyDescent="0.25">
      <c r="B29" s="116" t="s">
        <v>765</v>
      </c>
      <c r="C29" s="63" t="s">
        <v>669</v>
      </c>
      <c r="D29" s="63" t="s">
        <v>669</v>
      </c>
      <c r="E29" s="136">
        <v>11</v>
      </c>
      <c r="F29" s="136">
        <v>20.998999999999999</v>
      </c>
      <c r="G29" s="127">
        <v>3</v>
      </c>
      <c r="H29" s="426">
        <v>0.7</v>
      </c>
      <c r="I29" s="130">
        <v>50000</v>
      </c>
    </row>
    <row r="30" spans="2:9" x14ac:dyDescent="0.25">
      <c r="B30" s="116" t="s">
        <v>765</v>
      </c>
      <c r="C30" s="63" t="s">
        <v>669</v>
      </c>
      <c r="D30" s="63" t="s">
        <v>669</v>
      </c>
      <c r="E30" s="136">
        <v>21</v>
      </c>
      <c r="F30" s="136">
        <v>999</v>
      </c>
      <c r="G30" s="127">
        <v>4</v>
      </c>
      <c r="H30" s="426">
        <v>0.7</v>
      </c>
      <c r="I30" s="130">
        <v>50000</v>
      </c>
    </row>
    <row r="31" spans="2:9" x14ac:dyDescent="0.25">
      <c r="B31" s="117" t="s">
        <v>765</v>
      </c>
      <c r="C31" s="124" t="s">
        <v>669</v>
      </c>
      <c r="D31" s="124" t="s">
        <v>668</v>
      </c>
      <c r="E31" s="137" t="s">
        <v>396</v>
      </c>
      <c r="F31" s="137" t="s">
        <v>396</v>
      </c>
      <c r="G31" s="128">
        <v>8</v>
      </c>
      <c r="H31" s="427">
        <v>0.7</v>
      </c>
      <c r="I31" s="131">
        <v>50000</v>
      </c>
    </row>
    <row r="32" spans="2:9" x14ac:dyDescent="0.25">
      <c r="B32" s="116" t="s">
        <v>759</v>
      </c>
      <c r="C32" s="63" t="s">
        <v>668</v>
      </c>
      <c r="D32" s="63" t="s">
        <v>669</v>
      </c>
      <c r="E32" s="136">
        <v>4</v>
      </c>
      <c r="F32" s="136">
        <v>10.999000000000001</v>
      </c>
      <c r="G32" s="127">
        <v>1.1499999999999999</v>
      </c>
      <c r="H32" s="426">
        <v>0.85</v>
      </c>
      <c r="I32" s="130">
        <v>250000</v>
      </c>
    </row>
    <row r="33" spans="2:9" x14ac:dyDescent="0.25">
      <c r="B33" s="116" t="s">
        <v>759</v>
      </c>
      <c r="C33" s="63" t="s">
        <v>668</v>
      </c>
      <c r="D33" s="63" t="s">
        <v>669</v>
      </c>
      <c r="E33" s="136">
        <v>11</v>
      </c>
      <c r="F33" s="136">
        <v>20.998999999999999</v>
      </c>
      <c r="G33" s="127">
        <v>2.5</v>
      </c>
      <c r="H33" s="426">
        <v>0.85</v>
      </c>
      <c r="I33" s="130">
        <v>250000</v>
      </c>
    </row>
    <row r="34" spans="2:9" x14ac:dyDescent="0.25">
      <c r="B34" s="116" t="s">
        <v>759</v>
      </c>
      <c r="C34" s="63" t="s">
        <v>668</v>
      </c>
      <c r="D34" s="63" t="s">
        <v>669</v>
      </c>
      <c r="E34" s="136">
        <v>21</v>
      </c>
      <c r="F34" s="136">
        <v>30.998999999999999</v>
      </c>
      <c r="G34" s="127">
        <v>2.75</v>
      </c>
      <c r="H34" s="426">
        <v>0.85</v>
      </c>
      <c r="I34" s="130">
        <v>250000</v>
      </c>
    </row>
    <row r="35" spans="2:9" x14ac:dyDescent="0.25">
      <c r="B35" s="116" t="s">
        <v>759</v>
      </c>
      <c r="C35" s="63" t="s">
        <v>668</v>
      </c>
      <c r="D35" s="63" t="s">
        <v>669</v>
      </c>
      <c r="E35" s="136">
        <v>31</v>
      </c>
      <c r="F35" s="136">
        <v>40.999000000000002</v>
      </c>
      <c r="G35" s="127">
        <v>2.9</v>
      </c>
      <c r="H35" s="426">
        <v>0.85</v>
      </c>
      <c r="I35" s="130">
        <v>250000</v>
      </c>
    </row>
    <row r="36" spans="2:9" x14ac:dyDescent="0.25">
      <c r="B36" s="116" t="s">
        <v>759</v>
      </c>
      <c r="C36" s="63" t="s">
        <v>668</v>
      </c>
      <c r="D36" s="63" t="s">
        <v>669</v>
      </c>
      <c r="E36" s="136">
        <v>41</v>
      </c>
      <c r="F36" s="136">
        <v>999</v>
      </c>
      <c r="G36" s="127">
        <v>3</v>
      </c>
      <c r="H36" s="426">
        <v>0.85</v>
      </c>
      <c r="I36" s="130">
        <v>250000</v>
      </c>
    </row>
    <row r="37" spans="2:9" x14ac:dyDescent="0.25">
      <c r="B37" s="115" t="s">
        <v>761</v>
      </c>
      <c r="C37" s="123" t="s">
        <v>668</v>
      </c>
      <c r="D37" s="123" t="s">
        <v>669</v>
      </c>
      <c r="E37" s="135">
        <v>4</v>
      </c>
      <c r="F37" s="135">
        <v>10.999000000000001</v>
      </c>
      <c r="G37" s="126">
        <v>1.1499999999999999</v>
      </c>
      <c r="H37" s="424">
        <v>0.85</v>
      </c>
      <c r="I37" s="129">
        <v>250000</v>
      </c>
    </row>
    <row r="38" spans="2:9" x14ac:dyDescent="0.25">
      <c r="B38" s="116" t="s">
        <v>761</v>
      </c>
      <c r="C38" s="63" t="s">
        <v>668</v>
      </c>
      <c r="D38" s="63" t="s">
        <v>669</v>
      </c>
      <c r="E38" s="136">
        <v>11</v>
      </c>
      <c r="F38" s="136">
        <v>20.998999999999999</v>
      </c>
      <c r="G38" s="127">
        <v>2.5</v>
      </c>
      <c r="H38" s="426">
        <v>0.85</v>
      </c>
      <c r="I38" s="130">
        <v>250000</v>
      </c>
    </row>
    <row r="39" spans="2:9" x14ac:dyDescent="0.25">
      <c r="B39" s="116" t="s">
        <v>761</v>
      </c>
      <c r="C39" s="63" t="s">
        <v>668</v>
      </c>
      <c r="D39" s="63" t="s">
        <v>669</v>
      </c>
      <c r="E39" s="136">
        <v>21</v>
      </c>
      <c r="F39" s="136">
        <v>30.998999999999999</v>
      </c>
      <c r="G39" s="127">
        <v>2.75</v>
      </c>
      <c r="H39" s="426">
        <v>0.85</v>
      </c>
      <c r="I39" s="130">
        <v>250000</v>
      </c>
    </row>
    <row r="40" spans="2:9" x14ac:dyDescent="0.25">
      <c r="B40" s="116" t="s">
        <v>761</v>
      </c>
      <c r="C40" s="63" t="s">
        <v>668</v>
      </c>
      <c r="D40" s="63" t="s">
        <v>669</v>
      </c>
      <c r="E40" s="136">
        <v>31</v>
      </c>
      <c r="F40" s="136">
        <v>40.999000000000002</v>
      </c>
      <c r="G40" s="127">
        <v>2.9</v>
      </c>
      <c r="H40" s="426">
        <v>0.85</v>
      </c>
      <c r="I40" s="130">
        <v>250000</v>
      </c>
    </row>
    <row r="41" spans="2:9" x14ac:dyDescent="0.25">
      <c r="B41" s="117" t="s">
        <v>761</v>
      </c>
      <c r="C41" s="124" t="s">
        <v>668</v>
      </c>
      <c r="D41" s="124" t="s">
        <v>669</v>
      </c>
      <c r="E41" s="137">
        <v>41</v>
      </c>
      <c r="F41" s="137">
        <v>999</v>
      </c>
      <c r="G41" s="128">
        <v>3</v>
      </c>
      <c r="H41" s="427">
        <v>0.85</v>
      </c>
      <c r="I41" s="131">
        <v>250000</v>
      </c>
    </row>
    <row r="42" spans="2:9" x14ac:dyDescent="0.25">
      <c r="B42" s="116" t="s">
        <v>762</v>
      </c>
      <c r="C42" s="63" t="s">
        <v>668</v>
      </c>
      <c r="D42" s="63" t="s">
        <v>669</v>
      </c>
      <c r="E42" s="136">
        <v>4</v>
      </c>
      <c r="F42" s="136">
        <v>10.999000000000001</v>
      </c>
      <c r="G42" s="127">
        <v>3</v>
      </c>
      <c r="H42" s="426">
        <v>0.85</v>
      </c>
      <c r="I42" s="130">
        <v>150000</v>
      </c>
    </row>
    <row r="43" spans="2:9" x14ac:dyDescent="0.25">
      <c r="B43" s="116" t="s">
        <v>762</v>
      </c>
      <c r="C43" s="63" t="s">
        <v>668</v>
      </c>
      <c r="D43" s="63" t="s">
        <v>669</v>
      </c>
      <c r="E43" s="136">
        <v>11</v>
      </c>
      <c r="F43" s="136">
        <v>20.998999999999999</v>
      </c>
      <c r="G43" s="127">
        <v>4</v>
      </c>
      <c r="H43" s="426">
        <v>0.85</v>
      </c>
      <c r="I43" s="130">
        <v>150000</v>
      </c>
    </row>
    <row r="44" spans="2:9" x14ac:dyDescent="0.25">
      <c r="B44" s="116" t="s">
        <v>762</v>
      </c>
      <c r="C44" s="63" t="s">
        <v>668</v>
      </c>
      <c r="D44" s="63" t="s">
        <v>669</v>
      </c>
      <c r="E44" s="136">
        <v>21</v>
      </c>
      <c r="F44" s="136">
        <v>999</v>
      </c>
      <c r="G44" s="127">
        <v>5</v>
      </c>
      <c r="H44" s="426">
        <v>0.85</v>
      </c>
      <c r="I44" s="130">
        <v>150000</v>
      </c>
    </row>
    <row r="45" spans="2:9" x14ac:dyDescent="0.25">
      <c r="B45" s="116" t="s">
        <v>762</v>
      </c>
      <c r="C45" s="63" t="s">
        <v>668</v>
      </c>
      <c r="D45" s="63" t="s">
        <v>668</v>
      </c>
      <c r="E45" s="136" t="s">
        <v>396</v>
      </c>
      <c r="F45" s="136" t="s">
        <v>396</v>
      </c>
      <c r="G45" s="127">
        <v>8</v>
      </c>
      <c r="H45" s="426">
        <v>0.85</v>
      </c>
      <c r="I45" s="130">
        <v>150000</v>
      </c>
    </row>
    <row r="46" spans="2:9" x14ac:dyDescent="0.25">
      <c r="B46" s="115" t="s">
        <v>763</v>
      </c>
      <c r="C46" s="123" t="s">
        <v>668</v>
      </c>
      <c r="D46" s="123" t="s">
        <v>669</v>
      </c>
      <c r="E46" s="135">
        <v>4</v>
      </c>
      <c r="F46" s="135">
        <v>10.999000000000001</v>
      </c>
      <c r="G46" s="126">
        <v>1.1499999999999999</v>
      </c>
      <c r="H46" s="424">
        <v>0.9</v>
      </c>
      <c r="I46" s="129">
        <v>50000</v>
      </c>
    </row>
    <row r="47" spans="2:9" x14ac:dyDescent="0.25">
      <c r="B47" s="116" t="s">
        <v>763</v>
      </c>
      <c r="C47" s="63" t="s">
        <v>668</v>
      </c>
      <c r="D47" s="63" t="s">
        <v>669</v>
      </c>
      <c r="E47" s="136">
        <v>11</v>
      </c>
      <c r="F47" s="136">
        <v>20.998999999999999</v>
      </c>
      <c r="G47" s="127">
        <v>2.5</v>
      </c>
      <c r="H47" s="426">
        <v>0.9</v>
      </c>
      <c r="I47" s="130">
        <v>50000</v>
      </c>
    </row>
    <row r="48" spans="2:9" x14ac:dyDescent="0.25">
      <c r="B48" s="116" t="s">
        <v>763</v>
      </c>
      <c r="C48" s="63" t="s">
        <v>668</v>
      </c>
      <c r="D48" s="63" t="s">
        <v>669</v>
      </c>
      <c r="E48" s="136">
        <v>21</v>
      </c>
      <c r="F48" s="136">
        <v>30.998999999999999</v>
      </c>
      <c r="G48" s="127">
        <v>2.75</v>
      </c>
      <c r="H48" s="426">
        <v>0.9</v>
      </c>
      <c r="I48" s="130">
        <v>50000</v>
      </c>
    </row>
    <row r="49" spans="2:9" x14ac:dyDescent="0.25">
      <c r="B49" s="116" t="s">
        <v>763</v>
      </c>
      <c r="C49" s="63" t="s">
        <v>668</v>
      </c>
      <c r="D49" s="63" t="s">
        <v>669</v>
      </c>
      <c r="E49" s="136">
        <v>31</v>
      </c>
      <c r="F49" s="136">
        <v>40.999000000000002</v>
      </c>
      <c r="G49" s="127">
        <v>2.9</v>
      </c>
      <c r="H49" s="426">
        <v>0.9</v>
      </c>
      <c r="I49" s="130">
        <v>50000</v>
      </c>
    </row>
    <row r="50" spans="2:9" x14ac:dyDescent="0.25">
      <c r="B50" s="117" t="s">
        <v>763</v>
      </c>
      <c r="C50" s="124" t="s">
        <v>668</v>
      </c>
      <c r="D50" s="124" t="s">
        <v>669</v>
      </c>
      <c r="E50" s="137">
        <v>41</v>
      </c>
      <c r="F50" s="137">
        <v>999</v>
      </c>
      <c r="G50" s="128">
        <v>3</v>
      </c>
      <c r="H50" s="427">
        <v>0.9</v>
      </c>
      <c r="I50" s="131">
        <v>50000</v>
      </c>
    </row>
    <row r="51" spans="2:9" x14ac:dyDescent="0.25">
      <c r="B51" s="116" t="s">
        <v>764</v>
      </c>
      <c r="C51" s="63" t="s">
        <v>668</v>
      </c>
      <c r="D51" s="63" t="s">
        <v>669</v>
      </c>
      <c r="E51" s="136">
        <v>4</v>
      </c>
      <c r="F51" s="136">
        <v>10.999000000000001</v>
      </c>
      <c r="G51" s="127">
        <v>1.1499999999999999</v>
      </c>
      <c r="H51" s="426">
        <v>0.85</v>
      </c>
      <c r="I51" s="130">
        <v>50000</v>
      </c>
    </row>
    <row r="52" spans="2:9" x14ac:dyDescent="0.25">
      <c r="B52" s="116" t="s">
        <v>764</v>
      </c>
      <c r="C52" s="63" t="s">
        <v>668</v>
      </c>
      <c r="D52" s="63" t="s">
        <v>669</v>
      </c>
      <c r="E52" s="136">
        <v>11</v>
      </c>
      <c r="F52" s="136">
        <v>20.998999999999999</v>
      </c>
      <c r="G52" s="127">
        <v>2.5</v>
      </c>
      <c r="H52" s="426">
        <v>0.85</v>
      </c>
      <c r="I52" s="130">
        <v>50000</v>
      </c>
    </row>
    <row r="53" spans="2:9" x14ac:dyDescent="0.25">
      <c r="B53" s="116" t="s">
        <v>764</v>
      </c>
      <c r="C53" s="63" t="s">
        <v>668</v>
      </c>
      <c r="D53" s="63" t="s">
        <v>669</v>
      </c>
      <c r="E53" s="136">
        <v>21</v>
      </c>
      <c r="F53" s="136">
        <v>30.998999999999999</v>
      </c>
      <c r="G53" s="127">
        <v>2.75</v>
      </c>
      <c r="H53" s="426">
        <v>0.85</v>
      </c>
      <c r="I53" s="130">
        <v>50000</v>
      </c>
    </row>
    <row r="54" spans="2:9" x14ac:dyDescent="0.25">
      <c r="B54" s="116" t="s">
        <v>764</v>
      </c>
      <c r="C54" s="63" t="s">
        <v>668</v>
      </c>
      <c r="D54" s="63" t="s">
        <v>669</v>
      </c>
      <c r="E54" s="136">
        <v>31</v>
      </c>
      <c r="F54" s="136">
        <v>40.999000000000002</v>
      </c>
      <c r="G54" s="127">
        <v>2.9</v>
      </c>
      <c r="H54" s="426">
        <v>0.85</v>
      </c>
      <c r="I54" s="130">
        <v>50000</v>
      </c>
    </row>
    <row r="55" spans="2:9" x14ac:dyDescent="0.25">
      <c r="B55" s="116" t="s">
        <v>764</v>
      </c>
      <c r="C55" s="63" t="s">
        <v>668</v>
      </c>
      <c r="D55" s="63" t="s">
        <v>669</v>
      </c>
      <c r="E55" s="136">
        <v>41</v>
      </c>
      <c r="F55" s="136">
        <v>999</v>
      </c>
      <c r="G55" s="127">
        <v>3</v>
      </c>
      <c r="H55" s="426">
        <v>0.85</v>
      </c>
      <c r="I55" s="130">
        <v>50000</v>
      </c>
    </row>
    <row r="56" spans="2:9" x14ac:dyDescent="0.25">
      <c r="B56" s="115" t="s">
        <v>765</v>
      </c>
      <c r="C56" s="123" t="s">
        <v>668</v>
      </c>
      <c r="D56" s="123" t="s">
        <v>669</v>
      </c>
      <c r="E56" s="135">
        <v>4</v>
      </c>
      <c r="F56" s="135">
        <v>10.999000000000001</v>
      </c>
      <c r="G56" s="126">
        <v>3</v>
      </c>
      <c r="H56" s="424">
        <v>0.85</v>
      </c>
      <c r="I56" s="129">
        <v>50000</v>
      </c>
    </row>
    <row r="57" spans="2:9" x14ac:dyDescent="0.25">
      <c r="B57" s="116" t="s">
        <v>765</v>
      </c>
      <c r="C57" s="63" t="s">
        <v>668</v>
      </c>
      <c r="D57" s="63" t="s">
        <v>669</v>
      </c>
      <c r="E57" s="136">
        <v>11</v>
      </c>
      <c r="F57" s="136">
        <v>20.998999999999999</v>
      </c>
      <c r="G57" s="127">
        <v>4</v>
      </c>
      <c r="H57" s="426">
        <v>0.85</v>
      </c>
      <c r="I57" s="130">
        <v>50000</v>
      </c>
    </row>
    <row r="58" spans="2:9" x14ac:dyDescent="0.25">
      <c r="B58" s="116" t="s">
        <v>765</v>
      </c>
      <c r="C58" s="63" t="s">
        <v>668</v>
      </c>
      <c r="D58" s="63" t="s">
        <v>669</v>
      </c>
      <c r="E58" s="136">
        <v>21</v>
      </c>
      <c r="F58" s="136">
        <v>999</v>
      </c>
      <c r="G58" s="127">
        <v>5</v>
      </c>
      <c r="H58" s="426">
        <v>0.85</v>
      </c>
      <c r="I58" s="130">
        <v>50000</v>
      </c>
    </row>
    <row r="59" spans="2:9" x14ac:dyDescent="0.25">
      <c r="B59" s="117" t="s">
        <v>765</v>
      </c>
      <c r="C59" s="124" t="s">
        <v>668</v>
      </c>
      <c r="D59" s="124" t="s">
        <v>668</v>
      </c>
      <c r="E59" s="137" t="s">
        <v>396</v>
      </c>
      <c r="F59" s="137" t="s">
        <v>396</v>
      </c>
      <c r="G59" s="128">
        <v>9</v>
      </c>
      <c r="H59" s="427">
        <v>0.85</v>
      </c>
      <c r="I59" s="131">
        <v>50000</v>
      </c>
    </row>
  </sheetData>
  <sheetProtection algorithmName="SHA-512" hashValue="oOswvLkcNYwZiBTCrsflYGr2qxKWElXOl7/y1C4XlupBTNPRhUXU3/RBOnPPOd5ehFuGqEguDAzJsq3M0Yfu9g==" saltValue="mF0MhN1tdynv8Q+ePuectw==" spinCount="100000" sheet="1" objects="1" scenarios="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3098-FFCF-45C9-B140-2D174D6AFA44}">
  <sheetPr>
    <tabColor rgb="FFFFC000"/>
  </sheetPr>
  <dimension ref="B1:L30"/>
  <sheetViews>
    <sheetView zoomScaleNormal="100" workbookViewId="0">
      <selection activeCell="P16" sqref="A16:P16"/>
    </sheetView>
  </sheetViews>
  <sheetFormatPr defaultColWidth="9.140625" defaultRowHeight="15" x14ac:dyDescent="0.25"/>
  <cols>
    <col min="1" max="1" width="4.28515625" style="1" customWidth="1"/>
    <col min="2" max="2" width="19.28515625" style="1" customWidth="1"/>
    <col min="3" max="3" width="20.85546875" style="1" bestFit="1" customWidth="1"/>
    <col min="4" max="6" width="9.7109375" style="63" customWidth="1"/>
    <col min="7" max="7" width="15.28515625" style="63" bestFit="1" customWidth="1"/>
    <col min="8" max="8" width="13" style="63" customWidth="1"/>
    <col min="9" max="9" width="13.7109375" style="63" customWidth="1"/>
    <col min="10" max="10" width="16.42578125" style="63" customWidth="1"/>
    <col min="11" max="11" width="16.7109375" style="63" bestFit="1" customWidth="1"/>
    <col min="12" max="12" width="15" style="63" bestFit="1" customWidth="1"/>
    <col min="13" max="16384" width="9.140625" style="1"/>
  </cols>
  <sheetData>
    <row r="1" spans="2:12" ht="15.75" thickBot="1" x14ac:dyDescent="0.3"/>
    <row r="2" spans="2:12" ht="15.75" thickBot="1" x14ac:dyDescent="0.3">
      <c r="B2" s="223" t="s">
        <v>388</v>
      </c>
      <c r="C2" s="224" t="s">
        <v>766</v>
      </c>
      <c r="D2" s="225" t="s">
        <v>767</v>
      </c>
      <c r="E2" s="225" t="s">
        <v>768</v>
      </c>
      <c r="F2" s="225" t="s">
        <v>395</v>
      </c>
      <c r="G2" s="225" t="s">
        <v>769</v>
      </c>
      <c r="H2" s="225" t="s">
        <v>770</v>
      </c>
      <c r="I2" s="225" t="s">
        <v>757</v>
      </c>
      <c r="J2" s="226" t="s">
        <v>758</v>
      </c>
    </row>
    <row r="3" spans="2:12" x14ac:dyDescent="0.25">
      <c r="B3" s="227" t="s">
        <v>759</v>
      </c>
      <c r="C3" s="228" t="s">
        <v>771</v>
      </c>
      <c r="D3" s="229">
        <v>0</v>
      </c>
      <c r="E3" s="229">
        <v>0.279999</v>
      </c>
      <c r="F3" s="230" t="s">
        <v>669</v>
      </c>
      <c r="G3" s="231" t="s">
        <v>772</v>
      </c>
      <c r="H3" s="232">
        <f>8</f>
        <v>8</v>
      </c>
      <c r="I3" s="247">
        <v>0.85</v>
      </c>
      <c r="J3" s="233">
        <v>250000</v>
      </c>
    </row>
    <row r="4" spans="2:12" x14ac:dyDescent="0.25">
      <c r="B4" s="234" t="s">
        <v>759</v>
      </c>
      <c r="C4" s="75" t="s">
        <v>771</v>
      </c>
      <c r="D4" s="212">
        <v>0.28000000000000003</v>
      </c>
      <c r="E4" s="212">
        <v>0.38</v>
      </c>
      <c r="F4" s="76" t="s">
        <v>669</v>
      </c>
      <c r="G4" s="213" t="s">
        <v>772</v>
      </c>
      <c r="H4" s="214">
        <f>5.5</f>
        <v>5.5</v>
      </c>
      <c r="I4" s="248">
        <v>0.85</v>
      </c>
      <c r="J4" s="235">
        <v>250000</v>
      </c>
      <c r="L4" s="211"/>
    </row>
    <row r="5" spans="2:12" x14ac:dyDescent="0.25">
      <c r="B5" s="234" t="s">
        <v>761</v>
      </c>
      <c r="C5" s="75" t="s">
        <v>771</v>
      </c>
      <c r="D5" s="212">
        <v>0</v>
      </c>
      <c r="E5" s="212">
        <v>0.279999</v>
      </c>
      <c r="F5" s="76" t="s">
        <v>669</v>
      </c>
      <c r="G5" s="213" t="s">
        <v>772</v>
      </c>
      <c r="H5" s="214">
        <f>8</f>
        <v>8</v>
      </c>
      <c r="I5" s="248">
        <v>0.85</v>
      </c>
      <c r="J5" s="235">
        <v>250000</v>
      </c>
    </row>
    <row r="6" spans="2:12" x14ac:dyDescent="0.25">
      <c r="B6" s="234" t="s">
        <v>761</v>
      </c>
      <c r="C6" s="75" t="s">
        <v>771</v>
      </c>
      <c r="D6" s="212">
        <v>0.28000000000000003</v>
      </c>
      <c r="E6" s="212">
        <v>0.38</v>
      </c>
      <c r="F6" s="76" t="s">
        <v>669</v>
      </c>
      <c r="G6" s="213" t="s">
        <v>772</v>
      </c>
      <c r="H6" s="214">
        <f>5.5</f>
        <v>5.5</v>
      </c>
      <c r="I6" s="248">
        <v>0.85</v>
      </c>
      <c r="J6" s="235">
        <v>250000</v>
      </c>
    </row>
    <row r="7" spans="2:12" x14ac:dyDescent="0.25">
      <c r="B7" s="234" t="s">
        <v>762</v>
      </c>
      <c r="C7" s="75" t="s">
        <v>771</v>
      </c>
      <c r="D7" s="212">
        <v>0</v>
      </c>
      <c r="E7" s="212">
        <v>0.279999</v>
      </c>
      <c r="F7" s="76" t="s">
        <v>669</v>
      </c>
      <c r="G7" s="213" t="s">
        <v>772</v>
      </c>
      <c r="H7" s="214">
        <f>8</f>
        <v>8</v>
      </c>
      <c r="I7" s="248">
        <v>0.7</v>
      </c>
      <c r="J7" s="235">
        <v>150000</v>
      </c>
    </row>
    <row r="8" spans="2:12" x14ac:dyDescent="0.25">
      <c r="B8" s="234" t="s">
        <v>762</v>
      </c>
      <c r="C8" s="75" t="s">
        <v>771</v>
      </c>
      <c r="D8" s="212">
        <v>0.28000000000000003</v>
      </c>
      <c r="E8" s="212">
        <v>0.38</v>
      </c>
      <c r="F8" s="76" t="s">
        <v>669</v>
      </c>
      <c r="G8" s="213" t="s">
        <v>772</v>
      </c>
      <c r="H8" s="214">
        <f>5.5</f>
        <v>5.5</v>
      </c>
      <c r="I8" s="248">
        <v>0.7</v>
      </c>
      <c r="J8" s="235">
        <v>150000</v>
      </c>
    </row>
    <row r="9" spans="2:12" x14ac:dyDescent="0.25">
      <c r="B9" s="234" t="s">
        <v>763</v>
      </c>
      <c r="C9" s="75" t="s">
        <v>771</v>
      </c>
      <c r="D9" s="212">
        <v>0</v>
      </c>
      <c r="E9" s="212">
        <v>0.279999</v>
      </c>
      <c r="F9" s="76" t="s">
        <v>669</v>
      </c>
      <c r="G9" s="213" t="s">
        <v>772</v>
      </c>
      <c r="H9" s="214">
        <f>8</f>
        <v>8</v>
      </c>
      <c r="I9" s="248">
        <v>0.85</v>
      </c>
      <c r="J9" s="235">
        <v>50000</v>
      </c>
    </row>
    <row r="10" spans="2:12" x14ac:dyDescent="0.25">
      <c r="B10" s="234" t="s">
        <v>763</v>
      </c>
      <c r="C10" s="75" t="s">
        <v>771</v>
      </c>
      <c r="D10" s="212">
        <v>0.28000000000000003</v>
      </c>
      <c r="E10" s="212">
        <v>0.38</v>
      </c>
      <c r="F10" s="76" t="s">
        <v>669</v>
      </c>
      <c r="G10" s="213" t="s">
        <v>772</v>
      </c>
      <c r="H10" s="214">
        <f>5.5</f>
        <v>5.5</v>
      </c>
      <c r="I10" s="248">
        <v>0.85</v>
      </c>
      <c r="J10" s="235">
        <v>50000</v>
      </c>
    </row>
    <row r="11" spans="2:12" x14ac:dyDescent="0.25">
      <c r="B11" s="234" t="s">
        <v>764</v>
      </c>
      <c r="C11" s="75" t="s">
        <v>771</v>
      </c>
      <c r="D11" s="212">
        <v>0</v>
      </c>
      <c r="E11" s="212">
        <v>0.279999</v>
      </c>
      <c r="F11" s="76" t="s">
        <v>669</v>
      </c>
      <c r="G11" s="213" t="s">
        <v>772</v>
      </c>
      <c r="H11" s="214">
        <f>8</f>
        <v>8</v>
      </c>
      <c r="I11" s="248">
        <v>0.7</v>
      </c>
      <c r="J11" s="235">
        <v>50000</v>
      </c>
    </row>
    <row r="12" spans="2:12" x14ac:dyDescent="0.25">
      <c r="B12" s="234" t="s">
        <v>764</v>
      </c>
      <c r="C12" s="75" t="s">
        <v>771</v>
      </c>
      <c r="D12" s="212">
        <v>0.28000000000000003</v>
      </c>
      <c r="E12" s="212">
        <v>0.38</v>
      </c>
      <c r="F12" s="76" t="s">
        <v>669</v>
      </c>
      <c r="G12" s="213" t="s">
        <v>772</v>
      </c>
      <c r="H12" s="214">
        <f>5.5</f>
        <v>5.5</v>
      </c>
      <c r="I12" s="248">
        <v>0.7</v>
      </c>
      <c r="J12" s="235">
        <v>50000</v>
      </c>
    </row>
    <row r="13" spans="2:12" x14ac:dyDescent="0.25">
      <c r="B13" s="234" t="s">
        <v>765</v>
      </c>
      <c r="C13" s="75" t="s">
        <v>771</v>
      </c>
      <c r="D13" s="212">
        <v>0</v>
      </c>
      <c r="E13" s="212">
        <v>0.279999</v>
      </c>
      <c r="F13" s="76" t="s">
        <v>669</v>
      </c>
      <c r="G13" s="213" t="s">
        <v>772</v>
      </c>
      <c r="H13" s="214">
        <f>8</f>
        <v>8</v>
      </c>
      <c r="I13" s="248">
        <v>0.7</v>
      </c>
      <c r="J13" s="235">
        <v>50000</v>
      </c>
    </row>
    <row r="14" spans="2:12" ht="15.75" thickBot="1" x14ac:dyDescent="0.3">
      <c r="B14" s="236" t="s">
        <v>765</v>
      </c>
      <c r="C14" s="237" t="s">
        <v>771</v>
      </c>
      <c r="D14" s="238">
        <v>0.28000000000000003</v>
      </c>
      <c r="E14" s="238">
        <v>0.38</v>
      </c>
      <c r="F14" s="239" t="s">
        <v>669</v>
      </c>
      <c r="G14" s="240" t="s">
        <v>772</v>
      </c>
      <c r="H14" s="241">
        <f>5.5</f>
        <v>5.5</v>
      </c>
      <c r="I14" s="248">
        <v>0.7</v>
      </c>
      <c r="J14" s="242">
        <v>50000</v>
      </c>
    </row>
    <row r="15" spans="2:12" x14ac:dyDescent="0.25">
      <c r="B15" s="227" t="s">
        <v>759</v>
      </c>
      <c r="C15" s="228" t="s">
        <v>771</v>
      </c>
      <c r="D15" s="229">
        <v>0</v>
      </c>
      <c r="E15" s="229">
        <v>0.279999</v>
      </c>
      <c r="F15" s="230" t="s">
        <v>668</v>
      </c>
      <c r="G15" s="231" t="s">
        <v>772</v>
      </c>
      <c r="H15" s="232">
        <f>9</f>
        <v>9</v>
      </c>
      <c r="I15" s="247">
        <v>0.85</v>
      </c>
      <c r="J15" s="233">
        <v>250000</v>
      </c>
    </row>
    <row r="16" spans="2:12" x14ac:dyDescent="0.25">
      <c r="B16" s="234" t="s">
        <v>759</v>
      </c>
      <c r="C16" s="75" t="s">
        <v>771</v>
      </c>
      <c r="D16" s="212">
        <v>0.28000000000000003</v>
      </c>
      <c r="E16" s="212">
        <v>0.38</v>
      </c>
      <c r="F16" s="76" t="s">
        <v>668</v>
      </c>
      <c r="G16" s="213" t="s">
        <v>772</v>
      </c>
      <c r="H16" s="214">
        <f>6.5</f>
        <v>6.5</v>
      </c>
      <c r="I16" s="248">
        <v>0.85</v>
      </c>
      <c r="J16" s="235">
        <v>250000</v>
      </c>
    </row>
    <row r="17" spans="2:10" x14ac:dyDescent="0.25">
      <c r="B17" s="234" t="s">
        <v>761</v>
      </c>
      <c r="C17" s="75" t="s">
        <v>771</v>
      </c>
      <c r="D17" s="212">
        <v>0</v>
      </c>
      <c r="E17" s="212">
        <v>0.279999</v>
      </c>
      <c r="F17" s="76" t="s">
        <v>668</v>
      </c>
      <c r="G17" s="213" t="s">
        <v>772</v>
      </c>
      <c r="H17" s="214">
        <v>9</v>
      </c>
      <c r="I17" s="248">
        <v>0.85</v>
      </c>
      <c r="J17" s="235">
        <v>250000</v>
      </c>
    </row>
    <row r="18" spans="2:10" x14ac:dyDescent="0.25">
      <c r="B18" s="234" t="s">
        <v>761</v>
      </c>
      <c r="C18" s="75" t="s">
        <v>771</v>
      </c>
      <c r="D18" s="212">
        <v>0.28000000000000003</v>
      </c>
      <c r="E18" s="212">
        <v>0.38</v>
      </c>
      <c r="F18" s="76" t="s">
        <v>668</v>
      </c>
      <c r="G18" s="213" t="s">
        <v>772</v>
      </c>
      <c r="H18" s="214">
        <v>6.5</v>
      </c>
      <c r="I18" s="248">
        <v>0.85</v>
      </c>
      <c r="J18" s="235">
        <v>250000</v>
      </c>
    </row>
    <row r="19" spans="2:10" x14ac:dyDescent="0.25">
      <c r="B19" s="234" t="s">
        <v>762</v>
      </c>
      <c r="C19" s="75" t="s">
        <v>771</v>
      </c>
      <c r="D19" s="212">
        <v>0</v>
      </c>
      <c r="E19" s="212">
        <v>0.279999</v>
      </c>
      <c r="F19" s="76" t="s">
        <v>668</v>
      </c>
      <c r="G19" s="213" t="s">
        <v>772</v>
      </c>
      <c r="H19" s="214">
        <v>8</v>
      </c>
      <c r="I19" s="248">
        <v>0.85</v>
      </c>
      <c r="J19" s="235">
        <v>150000</v>
      </c>
    </row>
    <row r="20" spans="2:10" x14ac:dyDescent="0.25">
      <c r="B20" s="234" t="s">
        <v>762</v>
      </c>
      <c r="C20" s="75" t="s">
        <v>771</v>
      </c>
      <c r="D20" s="212">
        <v>0.28000000000000003</v>
      </c>
      <c r="E20" s="212">
        <v>0.38</v>
      </c>
      <c r="F20" s="76" t="s">
        <v>668</v>
      </c>
      <c r="G20" s="213" t="s">
        <v>772</v>
      </c>
      <c r="H20" s="214">
        <v>5.5</v>
      </c>
      <c r="I20" s="248">
        <v>0.85</v>
      </c>
      <c r="J20" s="235">
        <v>150000</v>
      </c>
    </row>
    <row r="21" spans="2:10" x14ac:dyDescent="0.25">
      <c r="B21" s="234" t="s">
        <v>763</v>
      </c>
      <c r="C21" s="75" t="s">
        <v>771</v>
      </c>
      <c r="D21" s="212">
        <v>0</v>
      </c>
      <c r="E21" s="212">
        <v>0.279999</v>
      </c>
      <c r="F21" s="76" t="s">
        <v>668</v>
      </c>
      <c r="G21" s="213" t="s">
        <v>772</v>
      </c>
      <c r="H21" s="214">
        <v>9</v>
      </c>
      <c r="I21" s="248">
        <v>0.9</v>
      </c>
      <c r="J21" s="235">
        <v>50000</v>
      </c>
    </row>
    <row r="22" spans="2:10" x14ac:dyDescent="0.25">
      <c r="B22" s="234" t="s">
        <v>763</v>
      </c>
      <c r="C22" s="75" t="s">
        <v>771</v>
      </c>
      <c r="D22" s="212">
        <v>0.28000000000000003</v>
      </c>
      <c r="E22" s="212">
        <v>0.38</v>
      </c>
      <c r="F22" s="76" t="s">
        <v>668</v>
      </c>
      <c r="G22" s="213" t="s">
        <v>772</v>
      </c>
      <c r="H22" s="214">
        <v>6.5</v>
      </c>
      <c r="I22" s="248">
        <v>0.9</v>
      </c>
      <c r="J22" s="235">
        <v>50000</v>
      </c>
    </row>
    <row r="23" spans="2:10" x14ac:dyDescent="0.25">
      <c r="B23" s="234" t="s">
        <v>764</v>
      </c>
      <c r="C23" s="75" t="s">
        <v>771</v>
      </c>
      <c r="D23" s="212">
        <v>0</v>
      </c>
      <c r="E23" s="212">
        <v>0.279999</v>
      </c>
      <c r="F23" s="76" t="s">
        <v>668</v>
      </c>
      <c r="G23" s="213" t="s">
        <v>772</v>
      </c>
      <c r="H23" s="214">
        <v>9</v>
      </c>
      <c r="I23" s="248">
        <v>0.85</v>
      </c>
      <c r="J23" s="235">
        <v>50000</v>
      </c>
    </row>
    <row r="24" spans="2:10" x14ac:dyDescent="0.25">
      <c r="B24" s="234" t="s">
        <v>764</v>
      </c>
      <c r="C24" s="75" t="s">
        <v>771</v>
      </c>
      <c r="D24" s="212">
        <v>0.28000000000000003</v>
      </c>
      <c r="E24" s="212">
        <v>0.38</v>
      </c>
      <c r="F24" s="76" t="s">
        <v>668</v>
      </c>
      <c r="G24" s="213" t="s">
        <v>772</v>
      </c>
      <c r="H24" s="214">
        <v>6.5</v>
      </c>
      <c r="I24" s="248">
        <v>0.85</v>
      </c>
      <c r="J24" s="235">
        <v>50000</v>
      </c>
    </row>
    <row r="25" spans="2:10" x14ac:dyDescent="0.25">
      <c r="B25" s="234" t="s">
        <v>765</v>
      </c>
      <c r="C25" s="75" t="s">
        <v>771</v>
      </c>
      <c r="D25" s="212">
        <v>0</v>
      </c>
      <c r="E25" s="212">
        <v>0.279999</v>
      </c>
      <c r="F25" s="76" t="s">
        <v>668</v>
      </c>
      <c r="G25" s="213" t="s">
        <v>772</v>
      </c>
      <c r="H25" s="558">
        <v>9</v>
      </c>
      <c r="I25" s="248">
        <v>0.85</v>
      </c>
      <c r="J25" s="235">
        <v>50000</v>
      </c>
    </row>
    <row r="26" spans="2:10" ht="15.75" thickBot="1" x14ac:dyDescent="0.3">
      <c r="B26" s="236" t="s">
        <v>765</v>
      </c>
      <c r="C26" s="237" t="s">
        <v>771</v>
      </c>
      <c r="D26" s="238">
        <v>0.28000000000000003</v>
      </c>
      <c r="E26" s="238">
        <v>0.38</v>
      </c>
      <c r="F26" s="239" t="s">
        <v>668</v>
      </c>
      <c r="G26" s="240" t="s">
        <v>772</v>
      </c>
      <c r="H26" s="559">
        <v>6.5</v>
      </c>
      <c r="I26" s="249">
        <v>0.85</v>
      </c>
      <c r="J26" s="242">
        <v>50000</v>
      </c>
    </row>
    <row r="27" spans="2:10" x14ac:dyDescent="0.25">
      <c r="G27" s="125"/>
      <c r="H27" s="127"/>
    </row>
    <row r="28" spans="2:10" x14ac:dyDescent="0.25">
      <c r="G28" s="125"/>
      <c r="H28" s="127"/>
    </row>
    <row r="29" spans="2:10" x14ac:dyDescent="0.25">
      <c r="G29" s="125"/>
      <c r="H29" s="127"/>
    </row>
    <row r="30" spans="2:10" x14ac:dyDescent="0.25">
      <c r="H30" s="127"/>
    </row>
  </sheetData>
  <sheetProtection algorithmName="SHA-512" hashValue="HRiJ56DO7Usg2tiyDRt/xrOXRruFCP68L7rvCFBHv3WXyVz2x0G8u60ggofe7fhgZRYIotevSaywWbN32DlgoA==" saltValue="AaKoufkrwH6YDrpF9bOq1g=="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31A7A-1297-4A31-A1EE-930058B89DCB}">
  <sheetPr>
    <tabColor rgb="FFFFC000"/>
  </sheetPr>
  <dimension ref="B1:I16"/>
  <sheetViews>
    <sheetView zoomScaleNormal="100" workbookViewId="0">
      <selection activeCell="P16" sqref="A16:P16"/>
    </sheetView>
  </sheetViews>
  <sheetFormatPr defaultColWidth="9.140625" defaultRowHeight="15" x14ac:dyDescent="0.25"/>
  <cols>
    <col min="1" max="1" width="3.85546875" style="1" customWidth="1"/>
    <col min="2" max="2" width="20.7109375" style="1" customWidth="1"/>
    <col min="3" max="3" width="19.7109375" style="1" bestFit="1" customWidth="1"/>
    <col min="4" max="4" width="8.85546875" style="63" customWidth="1"/>
    <col min="5" max="5" width="15.5703125" style="63" bestFit="1" customWidth="1"/>
    <col min="6" max="6" width="15.28515625" style="1" bestFit="1" customWidth="1"/>
    <col min="7" max="7" width="13.5703125" style="1" bestFit="1" customWidth="1"/>
    <col min="8" max="8" width="16.85546875" style="1" bestFit="1" customWidth="1"/>
    <col min="9" max="9" width="16.85546875" style="63" bestFit="1" customWidth="1"/>
    <col min="10" max="10" width="16.7109375" style="1" bestFit="1" customWidth="1"/>
    <col min="11" max="11" width="15" style="1" bestFit="1" customWidth="1"/>
    <col min="12" max="16384" width="9.140625" style="1"/>
  </cols>
  <sheetData>
    <row r="1" spans="2:9" ht="15.75" thickBot="1" x14ac:dyDescent="0.3"/>
    <row r="2" spans="2:9" ht="15.75" thickBot="1" x14ac:dyDescent="0.3">
      <c r="B2" s="223" t="s">
        <v>388</v>
      </c>
      <c r="C2" s="224" t="s">
        <v>766</v>
      </c>
      <c r="D2" s="225" t="s">
        <v>395</v>
      </c>
      <c r="E2" s="225" t="s">
        <v>769</v>
      </c>
      <c r="F2" s="225" t="s">
        <v>770</v>
      </c>
      <c r="G2" s="225" t="s">
        <v>757</v>
      </c>
      <c r="H2" s="226" t="s">
        <v>773</v>
      </c>
      <c r="I2" s="331" t="s">
        <v>774</v>
      </c>
    </row>
    <row r="3" spans="2:9" x14ac:dyDescent="0.25">
      <c r="B3" s="227" t="s">
        <v>759</v>
      </c>
      <c r="C3" s="228" t="s">
        <v>775</v>
      </c>
      <c r="D3" s="230" t="s">
        <v>669</v>
      </c>
      <c r="E3" s="362">
        <f>Doors!$J$71</f>
        <v>0</v>
      </c>
      <c r="F3" s="357">
        <f>17*E3</f>
        <v>0</v>
      </c>
      <c r="G3" s="327" t="e">
        <f>85%*Doors!$F$15</f>
        <v>#VALUE!</v>
      </c>
      <c r="H3" s="233">
        <v>250000</v>
      </c>
      <c r="I3" s="365" t="e">
        <f>MIN(F3,G3,H3)</f>
        <v>#VALUE!</v>
      </c>
    </row>
    <row r="4" spans="2:9" x14ac:dyDescent="0.25">
      <c r="B4" s="361" t="s">
        <v>761</v>
      </c>
      <c r="C4" s="75" t="s">
        <v>775</v>
      </c>
      <c r="D4" s="76" t="s">
        <v>669</v>
      </c>
      <c r="E4" s="363">
        <f>Doors!$J$71</f>
        <v>0</v>
      </c>
      <c r="F4" s="353">
        <f t="shared" ref="F4:F11" si="0">17*E4</f>
        <v>0</v>
      </c>
      <c r="G4" s="329" t="e">
        <f>85%*Doors!$F$15</f>
        <v>#VALUE!</v>
      </c>
      <c r="H4" s="235">
        <v>250000</v>
      </c>
      <c r="I4" s="366" t="e">
        <f t="shared" ref="I4:I14" si="1">MIN(F4,G4,H4)</f>
        <v>#VALUE!</v>
      </c>
    </row>
    <row r="5" spans="2:9" x14ac:dyDescent="0.25">
      <c r="B5" s="361" t="s">
        <v>776</v>
      </c>
      <c r="C5" s="75" t="s">
        <v>775</v>
      </c>
      <c r="D5" s="76" t="s">
        <v>669</v>
      </c>
      <c r="E5" s="363">
        <f>Doors!$J$71</f>
        <v>0</v>
      </c>
      <c r="F5" s="353">
        <f t="shared" si="0"/>
        <v>0</v>
      </c>
      <c r="G5" s="329" t="e">
        <f>70%*Doors!$F$15</f>
        <v>#VALUE!</v>
      </c>
      <c r="H5" s="235">
        <v>150000</v>
      </c>
      <c r="I5" s="366" t="e">
        <f t="shared" si="1"/>
        <v>#VALUE!</v>
      </c>
    </row>
    <row r="6" spans="2:9" x14ac:dyDescent="0.25">
      <c r="B6" s="234" t="s">
        <v>763</v>
      </c>
      <c r="C6" s="75" t="s">
        <v>775</v>
      </c>
      <c r="D6" s="76" t="s">
        <v>669</v>
      </c>
      <c r="E6" s="363">
        <f>Doors!$J$71</f>
        <v>0</v>
      </c>
      <c r="F6" s="353">
        <f t="shared" si="0"/>
        <v>0</v>
      </c>
      <c r="G6" s="329" t="e">
        <f>85%*Doors!$F$15</f>
        <v>#VALUE!</v>
      </c>
      <c r="H6" s="235">
        <v>50000</v>
      </c>
      <c r="I6" s="366" t="e">
        <f t="shared" si="1"/>
        <v>#VALUE!</v>
      </c>
    </row>
    <row r="7" spans="2:9" x14ac:dyDescent="0.25">
      <c r="B7" s="234" t="s">
        <v>764</v>
      </c>
      <c r="C7" s="75" t="s">
        <v>775</v>
      </c>
      <c r="D7" s="76" t="s">
        <v>669</v>
      </c>
      <c r="E7" s="363">
        <f>Doors!$J$71</f>
        <v>0</v>
      </c>
      <c r="F7" s="353">
        <f t="shared" si="0"/>
        <v>0</v>
      </c>
      <c r="G7" s="329" t="e">
        <f>70%*Doors!$F$15</f>
        <v>#VALUE!</v>
      </c>
      <c r="H7" s="235">
        <v>50000</v>
      </c>
      <c r="I7" s="366" t="e">
        <f t="shared" si="1"/>
        <v>#VALUE!</v>
      </c>
    </row>
    <row r="8" spans="2:9" ht="15.75" thickBot="1" x14ac:dyDescent="0.3">
      <c r="B8" s="236" t="s">
        <v>777</v>
      </c>
      <c r="C8" s="237" t="s">
        <v>775</v>
      </c>
      <c r="D8" s="239" t="s">
        <v>669</v>
      </c>
      <c r="E8" s="364">
        <f>Doors!$J$71</f>
        <v>0</v>
      </c>
      <c r="F8" s="358">
        <f t="shared" si="0"/>
        <v>0</v>
      </c>
      <c r="G8" s="330" t="e">
        <f>70%*Doors!$F$15</f>
        <v>#VALUE!</v>
      </c>
      <c r="H8" s="242">
        <v>50000</v>
      </c>
      <c r="I8" s="367" t="e">
        <f t="shared" si="1"/>
        <v>#VALUE!</v>
      </c>
    </row>
    <row r="9" spans="2:9" x14ac:dyDescent="0.25">
      <c r="B9" s="227" t="s">
        <v>759</v>
      </c>
      <c r="C9" s="228" t="s">
        <v>775</v>
      </c>
      <c r="D9" s="230" t="s">
        <v>668</v>
      </c>
      <c r="E9" s="362">
        <f>Doors!$J$71</f>
        <v>0</v>
      </c>
      <c r="F9" s="357">
        <f t="shared" si="0"/>
        <v>0</v>
      </c>
      <c r="G9" s="327" t="e">
        <f>85%*Doors!$F$15</f>
        <v>#VALUE!</v>
      </c>
      <c r="H9" s="233">
        <v>250000</v>
      </c>
      <c r="I9" s="365" t="e">
        <f t="shared" si="1"/>
        <v>#VALUE!</v>
      </c>
    </row>
    <row r="10" spans="2:9" x14ac:dyDescent="0.25">
      <c r="B10" s="234" t="s">
        <v>761</v>
      </c>
      <c r="C10" s="75" t="s">
        <v>775</v>
      </c>
      <c r="D10" s="76" t="s">
        <v>668</v>
      </c>
      <c r="E10" s="363">
        <f>Doors!$J$71</f>
        <v>0</v>
      </c>
      <c r="F10" s="353">
        <f t="shared" si="0"/>
        <v>0</v>
      </c>
      <c r="G10" s="329" t="e">
        <f>85%*Doors!$F$15</f>
        <v>#VALUE!</v>
      </c>
      <c r="H10" s="235">
        <v>250000</v>
      </c>
      <c r="I10" s="366" t="e">
        <f t="shared" si="1"/>
        <v>#VALUE!</v>
      </c>
    </row>
    <row r="11" spans="2:9" x14ac:dyDescent="0.25">
      <c r="B11" s="234" t="s">
        <v>776</v>
      </c>
      <c r="C11" s="75" t="s">
        <v>775</v>
      </c>
      <c r="D11" s="76" t="s">
        <v>668</v>
      </c>
      <c r="E11" s="363">
        <f>Doors!$J$71</f>
        <v>0</v>
      </c>
      <c r="F11" s="353">
        <f t="shared" si="0"/>
        <v>0</v>
      </c>
      <c r="G11" s="329" t="e">
        <f>85%*Doors!$F$15</f>
        <v>#VALUE!</v>
      </c>
      <c r="H11" s="235">
        <v>150000</v>
      </c>
      <c r="I11" s="366" t="e">
        <f t="shared" si="1"/>
        <v>#VALUE!</v>
      </c>
    </row>
    <row r="12" spans="2:9" x14ac:dyDescent="0.25">
      <c r="B12" s="361" t="s">
        <v>763</v>
      </c>
      <c r="C12" s="149" t="s">
        <v>775</v>
      </c>
      <c r="D12" s="416" t="s">
        <v>668</v>
      </c>
      <c r="E12" s="560">
        <f>Doors!$J$71</f>
        <v>0</v>
      </c>
      <c r="F12" s="561">
        <f>18*E12</f>
        <v>0</v>
      </c>
      <c r="G12" s="562" t="e">
        <f>90%*Doors!$F$15</f>
        <v>#VALUE!</v>
      </c>
      <c r="H12" s="563">
        <v>50000</v>
      </c>
      <c r="I12" s="564" t="e">
        <f t="shared" si="1"/>
        <v>#VALUE!</v>
      </c>
    </row>
    <row r="13" spans="2:9" x14ac:dyDescent="0.25">
      <c r="B13" s="361" t="s">
        <v>764</v>
      </c>
      <c r="C13" s="149" t="s">
        <v>775</v>
      </c>
      <c r="D13" s="416" t="s">
        <v>668</v>
      </c>
      <c r="E13" s="560">
        <f>Doors!$J$71</f>
        <v>0</v>
      </c>
      <c r="F13" s="561">
        <f>18*E13</f>
        <v>0</v>
      </c>
      <c r="G13" s="562" t="e">
        <f>85%*Doors!$F$15</f>
        <v>#VALUE!</v>
      </c>
      <c r="H13" s="563">
        <v>50000</v>
      </c>
      <c r="I13" s="564" t="e">
        <f t="shared" si="1"/>
        <v>#VALUE!</v>
      </c>
    </row>
    <row r="14" spans="2:9" ht="15.75" thickBot="1" x14ac:dyDescent="0.3">
      <c r="B14" s="565" t="s">
        <v>777</v>
      </c>
      <c r="C14" s="566" t="s">
        <v>775</v>
      </c>
      <c r="D14" s="567" t="s">
        <v>668</v>
      </c>
      <c r="E14" s="568">
        <f>Doors!$J$71</f>
        <v>0</v>
      </c>
      <c r="F14" s="569">
        <f>18*E14</f>
        <v>0</v>
      </c>
      <c r="G14" s="570" t="e">
        <f>85%*Doors!$F$15</f>
        <v>#VALUE!</v>
      </c>
      <c r="H14" s="571">
        <v>50000</v>
      </c>
      <c r="I14" s="572" t="e">
        <f t="shared" si="1"/>
        <v>#VALUE!</v>
      </c>
    </row>
    <row r="16" spans="2:9" x14ac:dyDescent="0.25">
      <c r="E16" s="136"/>
    </row>
  </sheetData>
  <sheetProtection algorithmName="SHA-512" hashValue="nPwHEJDAx/IyH3IXUiS2ytUjlAAphaugtwUlTjjJ2jttSh1f+2vjOI0lrbkBAYNPYGzYVwl9ADc4440fnOGm/Q==" saltValue="21Nhv9DmnbnZ05w6b6HuZw==" spinCount="100000" sheet="1" objects="1" scenarios="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BF5A-0F5B-4693-A0B7-5B055E9E1F33}">
  <sheetPr>
    <tabColor rgb="FFFFC000"/>
  </sheetPr>
  <dimension ref="B1:J14"/>
  <sheetViews>
    <sheetView zoomScaleNormal="100" workbookViewId="0">
      <selection activeCell="P16" sqref="A16:P16"/>
    </sheetView>
  </sheetViews>
  <sheetFormatPr defaultColWidth="9.140625" defaultRowHeight="15" x14ac:dyDescent="0.25"/>
  <cols>
    <col min="1" max="1" width="4.7109375" style="1" customWidth="1"/>
    <col min="2" max="2" width="19.85546875" style="1" customWidth="1"/>
    <col min="3" max="3" width="25.28515625" style="1" bestFit="1" customWidth="1"/>
    <col min="4" max="4" width="4.7109375" style="63" bestFit="1" customWidth="1"/>
    <col min="5" max="5" width="16.5703125" style="63" customWidth="1"/>
    <col min="6" max="6" width="13.5703125" style="63" bestFit="1" customWidth="1"/>
    <col min="7" max="7" width="12.5703125" style="63" bestFit="1" customWidth="1"/>
    <col min="8" max="8" width="15" style="63" bestFit="1" customWidth="1"/>
    <col min="9" max="9" width="14.85546875" style="63" bestFit="1" customWidth="1"/>
    <col min="10" max="10" width="15" style="63" bestFit="1" customWidth="1"/>
    <col min="11" max="16384" width="9.140625" style="1"/>
  </cols>
  <sheetData>
    <row r="1" spans="2:9" ht="15.75" thickBot="1" x14ac:dyDescent="0.3"/>
    <row r="2" spans="2:9" ht="15.75" thickBot="1" x14ac:dyDescent="0.3">
      <c r="B2" s="223" t="s">
        <v>388</v>
      </c>
      <c r="C2" s="224" t="s">
        <v>766</v>
      </c>
      <c r="D2" s="225" t="s">
        <v>395</v>
      </c>
      <c r="E2" s="225" t="s">
        <v>769</v>
      </c>
      <c r="F2" s="225" t="s">
        <v>770</v>
      </c>
      <c r="G2" s="225" t="s">
        <v>757</v>
      </c>
      <c r="H2" s="226" t="s">
        <v>758</v>
      </c>
      <c r="I2" s="331" t="s">
        <v>774</v>
      </c>
    </row>
    <row r="3" spans="2:9" x14ac:dyDescent="0.25">
      <c r="B3" s="227" t="s">
        <v>759</v>
      </c>
      <c r="C3" s="228" t="s">
        <v>778</v>
      </c>
      <c r="D3" s="230" t="s">
        <v>669</v>
      </c>
      <c r="E3" s="323" t="str">
        <f>'Duct Sealing &amp; Insulation'!$I$6</f>
        <v/>
      </c>
      <c r="F3" s="232" t="e">
        <f>17*E3</f>
        <v>#VALUE!</v>
      </c>
      <c r="G3" s="327" t="e">
        <f>85%*'Duct Sealing &amp; Insulation'!$C$28</f>
        <v>#VALUE!</v>
      </c>
      <c r="H3" s="233">
        <v>250000</v>
      </c>
      <c r="I3" s="332" t="e">
        <f>MIN(F3,G3,H3)</f>
        <v>#VALUE!</v>
      </c>
    </row>
    <row r="4" spans="2:9" x14ac:dyDescent="0.25">
      <c r="B4" s="234" t="s">
        <v>763</v>
      </c>
      <c r="C4" s="75" t="s">
        <v>778</v>
      </c>
      <c r="D4" s="76" t="s">
        <v>669</v>
      </c>
      <c r="E4" s="324" t="str">
        <f>'Duct Sealing &amp; Insulation'!$I$6</f>
        <v/>
      </c>
      <c r="F4" s="322" t="e">
        <f>17*E4</f>
        <v>#VALUE!</v>
      </c>
      <c r="G4" s="328" t="e">
        <f>85%*'Duct Sealing &amp; Insulation'!$C$28</f>
        <v>#VALUE!</v>
      </c>
      <c r="H4" s="235">
        <v>50000</v>
      </c>
      <c r="I4" s="333" t="e">
        <f t="shared" ref="I4:I14" si="0">MIN(F4,G4,H4)</f>
        <v>#VALUE!</v>
      </c>
    </row>
    <row r="5" spans="2:9" x14ac:dyDescent="0.25">
      <c r="B5" s="234" t="s">
        <v>762</v>
      </c>
      <c r="C5" s="75" t="s">
        <v>778</v>
      </c>
      <c r="D5" s="76" t="s">
        <v>669</v>
      </c>
      <c r="E5" s="326" t="str">
        <f>'Duct Sealing &amp; Insulation'!$I$3</f>
        <v/>
      </c>
      <c r="F5" s="214" t="e">
        <f>0.2*E5</f>
        <v>#VALUE!</v>
      </c>
      <c r="G5" s="328" t="e">
        <f>70%*'Duct Sealing &amp; Insulation'!$C$28</f>
        <v>#VALUE!</v>
      </c>
      <c r="H5" s="235">
        <v>150000</v>
      </c>
      <c r="I5" s="333" t="e">
        <f t="shared" si="0"/>
        <v>#VALUE!</v>
      </c>
    </row>
    <row r="6" spans="2:9" x14ac:dyDescent="0.25">
      <c r="B6" s="234" t="s">
        <v>765</v>
      </c>
      <c r="C6" s="75" t="s">
        <v>778</v>
      </c>
      <c r="D6" s="76" t="s">
        <v>669</v>
      </c>
      <c r="E6" s="326" t="str">
        <f>'Duct Sealing &amp; Insulation'!$I$3</f>
        <v/>
      </c>
      <c r="F6" s="214" t="e">
        <f>0.2*E6</f>
        <v>#VALUE!</v>
      </c>
      <c r="G6" s="328" t="e">
        <f>70%*'Duct Sealing &amp; Insulation'!$C$28</f>
        <v>#VALUE!</v>
      </c>
      <c r="H6" s="235">
        <v>50000</v>
      </c>
      <c r="I6" s="333" t="e">
        <f t="shared" si="0"/>
        <v>#VALUE!</v>
      </c>
    </row>
    <row r="7" spans="2:9" x14ac:dyDescent="0.25">
      <c r="B7" s="234" t="s">
        <v>761</v>
      </c>
      <c r="C7" s="75" t="s">
        <v>778</v>
      </c>
      <c r="D7" s="76" t="s">
        <v>669</v>
      </c>
      <c r="E7" s="324" t="str">
        <f>'Duct Sealing &amp; Insulation'!$I$6</f>
        <v/>
      </c>
      <c r="F7" s="214" t="e">
        <f>17*E7</f>
        <v>#VALUE!</v>
      </c>
      <c r="G7" s="328" t="e">
        <f>85%*'Duct Sealing &amp; Insulation'!$C$28</f>
        <v>#VALUE!</v>
      </c>
      <c r="H7" s="235">
        <v>250000</v>
      </c>
      <c r="I7" s="333" t="e">
        <f t="shared" si="0"/>
        <v>#VALUE!</v>
      </c>
    </row>
    <row r="8" spans="2:9" ht="15.75" thickBot="1" x14ac:dyDescent="0.3">
      <c r="B8" s="236" t="s">
        <v>764</v>
      </c>
      <c r="C8" s="237" t="s">
        <v>778</v>
      </c>
      <c r="D8" s="239" t="s">
        <v>669</v>
      </c>
      <c r="E8" s="325" t="str">
        <f>'Duct Sealing &amp; Insulation'!$I$6</f>
        <v/>
      </c>
      <c r="F8" s="241" t="e">
        <f>17*E8</f>
        <v>#VALUE!</v>
      </c>
      <c r="G8" s="330" t="e">
        <f>70%*'Duct Sealing &amp; Insulation'!$C$28</f>
        <v>#VALUE!</v>
      </c>
      <c r="H8" s="242">
        <v>50000</v>
      </c>
      <c r="I8" s="334" t="e">
        <f t="shared" si="0"/>
        <v>#VALUE!</v>
      </c>
    </row>
    <row r="9" spans="2:9" x14ac:dyDescent="0.25">
      <c r="B9" s="227" t="s">
        <v>759</v>
      </c>
      <c r="C9" s="228" t="s">
        <v>778</v>
      </c>
      <c r="D9" s="230" t="s">
        <v>668</v>
      </c>
      <c r="E9" s="323" t="str">
        <f>'Duct Sealing &amp; Insulation'!$I$6</f>
        <v/>
      </c>
      <c r="F9" s="232" t="e">
        <f>18*E9</f>
        <v>#VALUE!</v>
      </c>
      <c r="G9" s="327" t="e">
        <f>85%*'Duct Sealing &amp; Insulation'!$C$28</f>
        <v>#VALUE!</v>
      </c>
      <c r="H9" s="233">
        <v>250000</v>
      </c>
      <c r="I9" s="332" t="e">
        <f>MIN(F9,G9,H9)</f>
        <v>#VALUE!</v>
      </c>
    </row>
    <row r="10" spans="2:9" x14ac:dyDescent="0.25">
      <c r="B10" s="234" t="s">
        <v>763</v>
      </c>
      <c r="C10" s="75" t="s">
        <v>778</v>
      </c>
      <c r="D10" s="76" t="s">
        <v>668</v>
      </c>
      <c r="E10" s="324" t="str">
        <f>'Duct Sealing &amp; Insulation'!$I$6</f>
        <v/>
      </c>
      <c r="F10" s="214" t="e">
        <f>18*E10</f>
        <v>#VALUE!</v>
      </c>
      <c r="G10" s="329" t="e">
        <f>90%*'Duct Sealing &amp; Insulation'!$C$28</f>
        <v>#VALUE!</v>
      </c>
      <c r="H10" s="235">
        <v>50000</v>
      </c>
      <c r="I10" s="333" t="e">
        <f t="shared" si="0"/>
        <v>#VALUE!</v>
      </c>
    </row>
    <row r="11" spans="2:9" x14ac:dyDescent="0.25">
      <c r="B11" s="234" t="s">
        <v>762</v>
      </c>
      <c r="C11" s="75" t="s">
        <v>778</v>
      </c>
      <c r="D11" s="76" t="s">
        <v>668</v>
      </c>
      <c r="E11" s="326" t="str">
        <f>'Duct Sealing &amp; Insulation'!$I$3</f>
        <v/>
      </c>
      <c r="F11" s="214" t="e">
        <f>0.2*E11</f>
        <v>#VALUE!</v>
      </c>
      <c r="G11" s="329" t="e">
        <f>85%*'Duct Sealing &amp; Insulation'!$C$28</f>
        <v>#VALUE!</v>
      </c>
      <c r="H11" s="235">
        <v>150000</v>
      </c>
      <c r="I11" s="333" t="e">
        <f t="shared" si="0"/>
        <v>#VALUE!</v>
      </c>
    </row>
    <row r="12" spans="2:9" x14ac:dyDescent="0.25">
      <c r="B12" s="234" t="s">
        <v>765</v>
      </c>
      <c r="C12" s="75" t="s">
        <v>778</v>
      </c>
      <c r="D12" s="76" t="s">
        <v>668</v>
      </c>
      <c r="E12" s="326" t="str">
        <f>'Duct Sealing &amp; Insulation'!$I$3</f>
        <v/>
      </c>
      <c r="F12" s="214" t="e">
        <f>1.2*E12</f>
        <v>#VALUE!</v>
      </c>
      <c r="G12" s="329" t="e">
        <f>85%*'Duct Sealing &amp; Insulation'!$C$28</f>
        <v>#VALUE!</v>
      </c>
      <c r="H12" s="235">
        <v>50000</v>
      </c>
      <c r="I12" s="333" t="e">
        <f t="shared" si="0"/>
        <v>#VALUE!</v>
      </c>
    </row>
    <row r="13" spans="2:9" x14ac:dyDescent="0.25">
      <c r="B13" s="234" t="s">
        <v>761</v>
      </c>
      <c r="C13" s="75" t="s">
        <v>778</v>
      </c>
      <c r="D13" s="76" t="s">
        <v>668</v>
      </c>
      <c r="E13" s="324" t="str">
        <f>'Duct Sealing &amp; Insulation'!$I$6</f>
        <v/>
      </c>
      <c r="F13" s="214" t="e">
        <f>18*E13</f>
        <v>#VALUE!</v>
      </c>
      <c r="G13" s="329" t="e">
        <f>85%*'Duct Sealing &amp; Insulation'!$C$28</f>
        <v>#VALUE!</v>
      </c>
      <c r="H13" s="235">
        <v>250000</v>
      </c>
      <c r="I13" s="333" t="e">
        <f t="shared" si="0"/>
        <v>#VALUE!</v>
      </c>
    </row>
    <row r="14" spans="2:9" ht="15.75" thickBot="1" x14ac:dyDescent="0.3">
      <c r="B14" s="236" t="s">
        <v>764</v>
      </c>
      <c r="C14" s="237" t="s">
        <v>778</v>
      </c>
      <c r="D14" s="239" t="s">
        <v>668</v>
      </c>
      <c r="E14" s="325" t="str">
        <f>'Duct Sealing &amp; Insulation'!$I$6</f>
        <v/>
      </c>
      <c r="F14" s="241" t="e">
        <f>18*E14</f>
        <v>#VALUE!</v>
      </c>
      <c r="G14" s="330" t="e">
        <f>85%*'Duct Sealing &amp; Insulation'!$C$28</f>
        <v>#VALUE!</v>
      </c>
      <c r="H14" s="242">
        <v>50000</v>
      </c>
      <c r="I14" s="334" t="e">
        <f t="shared" si="0"/>
        <v>#VALUE!</v>
      </c>
    </row>
  </sheetData>
  <sheetProtection algorithmName="SHA-512" hashValue="K7BhV4MH8qJdyYZ6ggcA54GTexQucmz/BxRDv480fDIuCIPB8KlLExvxnwVtC2vhZviBERJbR7MsjyYnyHlbnw==" saltValue="gMREvTYXC6wS7Sfxfh1iYg==" spinCount="100000" sheet="1" objects="1" scenarios="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3E54-383C-42A2-B256-E4F82A558CE6}">
  <sheetPr>
    <tabColor rgb="FFFFC000"/>
  </sheetPr>
  <dimension ref="B1:J14"/>
  <sheetViews>
    <sheetView zoomScaleNormal="100" workbookViewId="0">
      <selection activeCell="P16" sqref="A16:P16"/>
    </sheetView>
  </sheetViews>
  <sheetFormatPr defaultColWidth="9.140625" defaultRowHeight="15" x14ac:dyDescent="0.25"/>
  <cols>
    <col min="1" max="1" width="4.42578125" style="1" customWidth="1"/>
    <col min="2" max="2" width="19.28515625" style="1" bestFit="1" customWidth="1"/>
    <col min="3" max="3" width="19.5703125" style="1" bestFit="1" customWidth="1"/>
    <col min="4" max="4" width="12.28515625" style="63" customWidth="1"/>
    <col min="5" max="5" width="18" style="63" customWidth="1"/>
    <col min="6" max="6" width="15.42578125" style="63" customWidth="1"/>
    <col min="7" max="7" width="14.5703125" style="63" customWidth="1"/>
    <col min="8" max="8" width="15" style="63" bestFit="1" customWidth="1"/>
    <col min="9" max="9" width="16.7109375" style="63" bestFit="1" customWidth="1"/>
    <col min="10" max="10" width="15" style="63" bestFit="1" customWidth="1"/>
    <col min="11" max="16384" width="9.140625" style="1"/>
  </cols>
  <sheetData>
    <row r="1" spans="2:9" ht="15.75" thickBot="1" x14ac:dyDescent="0.3"/>
    <row r="2" spans="2:9" ht="15.75" thickBot="1" x14ac:dyDescent="0.3">
      <c r="B2" s="223" t="s">
        <v>388</v>
      </c>
      <c r="C2" s="224" t="s">
        <v>766</v>
      </c>
      <c r="D2" s="225" t="s">
        <v>395</v>
      </c>
      <c r="E2" s="225" t="s">
        <v>769</v>
      </c>
      <c r="F2" s="225" t="s">
        <v>770</v>
      </c>
      <c r="G2" s="225" t="s">
        <v>757</v>
      </c>
      <c r="H2" s="226" t="s">
        <v>758</v>
      </c>
      <c r="I2" s="331" t="s">
        <v>774</v>
      </c>
    </row>
    <row r="3" spans="2:9" x14ac:dyDescent="0.25">
      <c r="B3" s="227" t="s">
        <v>759</v>
      </c>
      <c r="C3" s="228" t="s">
        <v>779</v>
      </c>
      <c r="D3" s="230" t="s">
        <v>669</v>
      </c>
      <c r="E3" s="354" t="str">
        <f>'Air Leakage Sealing'!$G$82</f>
        <v/>
      </c>
      <c r="F3" s="357" t="e">
        <f>6*E3</f>
        <v>#VALUE!</v>
      </c>
      <c r="G3" s="327" t="e">
        <f>85%*'Air Leakage Sealing'!$D$21</f>
        <v>#VALUE!</v>
      </c>
      <c r="H3" s="233">
        <v>250000</v>
      </c>
      <c r="I3" s="332" t="e">
        <f>MIN(F3,G3,H3)</f>
        <v>#VALUE!</v>
      </c>
    </row>
    <row r="4" spans="2:9" x14ac:dyDescent="0.25">
      <c r="B4" s="234" t="s">
        <v>761</v>
      </c>
      <c r="C4" s="75" t="s">
        <v>779</v>
      </c>
      <c r="D4" s="76" t="s">
        <v>669</v>
      </c>
      <c r="E4" s="355" t="str">
        <f>'Air Leakage Sealing'!$G$82</f>
        <v/>
      </c>
      <c r="F4" s="353" t="e">
        <f t="shared" ref="F4:F8" si="0">6*E4</f>
        <v>#VALUE!</v>
      </c>
      <c r="G4" s="329" t="e">
        <f>85%*'Air Leakage Sealing'!$D$21</f>
        <v>#VALUE!</v>
      </c>
      <c r="H4" s="235">
        <v>250000</v>
      </c>
      <c r="I4" s="333" t="e">
        <f t="shared" ref="I4:I14" si="1">MIN(F4,G4,H4)</f>
        <v>#VALUE!</v>
      </c>
    </row>
    <row r="5" spans="2:9" x14ac:dyDescent="0.25">
      <c r="B5" s="234" t="s">
        <v>762</v>
      </c>
      <c r="C5" s="75" t="s">
        <v>779</v>
      </c>
      <c r="D5" s="76" t="s">
        <v>669</v>
      </c>
      <c r="E5" s="355" t="str">
        <f>'Air Leakage Sealing'!$G$82</f>
        <v/>
      </c>
      <c r="F5" s="353" t="e">
        <f t="shared" si="0"/>
        <v>#VALUE!</v>
      </c>
      <c r="G5" s="329" t="e">
        <f>70%*'Air Leakage Sealing'!$D$21</f>
        <v>#VALUE!</v>
      </c>
      <c r="H5" s="235">
        <v>150000</v>
      </c>
      <c r="I5" s="333" t="e">
        <f t="shared" si="1"/>
        <v>#VALUE!</v>
      </c>
    </row>
    <row r="6" spans="2:9" x14ac:dyDescent="0.25">
      <c r="B6" s="234" t="s">
        <v>763</v>
      </c>
      <c r="C6" s="75" t="s">
        <v>779</v>
      </c>
      <c r="D6" s="76" t="s">
        <v>669</v>
      </c>
      <c r="E6" s="355" t="str">
        <f>'Air Leakage Sealing'!$G$82</f>
        <v/>
      </c>
      <c r="F6" s="353" t="e">
        <f t="shared" si="0"/>
        <v>#VALUE!</v>
      </c>
      <c r="G6" s="329" t="e">
        <f>85%*'Air Leakage Sealing'!$D$21</f>
        <v>#VALUE!</v>
      </c>
      <c r="H6" s="235">
        <v>50000</v>
      </c>
      <c r="I6" s="333" t="e">
        <f t="shared" si="1"/>
        <v>#VALUE!</v>
      </c>
    </row>
    <row r="7" spans="2:9" x14ac:dyDescent="0.25">
      <c r="B7" s="234" t="s">
        <v>764</v>
      </c>
      <c r="C7" s="75" t="s">
        <v>779</v>
      </c>
      <c r="D7" s="76" t="s">
        <v>669</v>
      </c>
      <c r="E7" s="355" t="str">
        <f>'Air Leakage Sealing'!$G$82</f>
        <v/>
      </c>
      <c r="F7" s="353" t="e">
        <f t="shared" si="0"/>
        <v>#VALUE!</v>
      </c>
      <c r="G7" s="329" t="e">
        <f>70%*'Air Leakage Sealing'!$D$21</f>
        <v>#VALUE!</v>
      </c>
      <c r="H7" s="235">
        <v>50000</v>
      </c>
      <c r="I7" s="333" t="e">
        <f t="shared" si="1"/>
        <v>#VALUE!</v>
      </c>
    </row>
    <row r="8" spans="2:9" ht="15.75" thickBot="1" x14ac:dyDescent="0.3">
      <c r="B8" s="234" t="s">
        <v>765</v>
      </c>
      <c r="C8" s="75" t="s">
        <v>779</v>
      </c>
      <c r="D8" s="76" t="s">
        <v>669</v>
      </c>
      <c r="E8" s="355" t="str">
        <f>'Air Leakage Sealing'!$G$82</f>
        <v/>
      </c>
      <c r="F8" s="353" t="e">
        <f t="shared" si="0"/>
        <v>#VALUE!</v>
      </c>
      <c r="G8" s="329" t="e">
        <f>70%*'Air Leakage Sealing'!$D$21</f>
        <v>#VALUE!</v>
      </c>
      <c r="H8" s="235">
        <v>50000</v>
      </c>
      <c r="I8" s="334" t="e">
        <f t="shared" si="1"/>
        <v>#VALUE!</v>
      </c>
    </row>
    <row r="9" spans="2:9" x14ac:dyDescent="0.25">
      <c r="B9" s="227" t="s">
        <v>759</v>
      </c>
      <c r="C9" s="228" t="s">
        <v>779</v>
      </c>
      <c r="D9" s="230" t="s">
        <v>668</v>
      </c>
      <c r="E9" s="354" t="str">
        <f>'Air Leakage Sealing'!$G$82</f>
        <v/>
      </c>
      <c r="F9" s="357" t="e">
        <f>7*E9</f>
        <v>#VALUE!</v>
      </c>
      <c r="G9" s="327" t="e">
        <f>85%*'Air Leakage Sealing'!$D$21</f>
        <v>#VALUE!</v>
      </c>
      <c r="H9" s="233">
        <v>250000</v>
      </c>
      <c r="I9" s="332" t="e">
        <f t="shared" si="1"/>
        <v>#VALUE!</v>
      </c>
    </row>
    <row r="10" spans="2:9" x14ac:dyDescent="0.25">
      <c r="B10" s="234" t="s">
        <v>761</v>
      </c>
      <c r="C10" s="75" t="s">
        <v>779</v>
      </c>
      <c r="D10" s="76" t="s">
        <v>668</v>
      </c>
      <c r="E10" s="355" t="str">
        <f>'Air Leakage Sealing'!$G$82</f>
        <v/>
      </c>
      <c r="F10" s="353" t="e">
        <f t="shared" ref="F10:F14" si="2">7*E10</f>
        <v>#VALUE!</v>
      </c>
      <c r="G10" s="329" t="e">
        <f>85%*'Air Leakage Sealing'!$D$21</f>
        <v>#VALUE!</v>
      </c>
      <c r="H10" s="235">
        <v>250000</v>
      </c>
      <c r="I10" s="333" t="e">
        <f t="shared" si="1"/>
        <v>#VALUE!</v>
      </c>
    </row>
    <row r="11" spans="2:9" x14ac:dyDescent="0.25">
      <c r="B11" s="234" t="s">
        <v>762</v>
      </c>
      <c r="C11" s="75" t="s">
        <v>779</v>
      </c>
      <c r="D11" s="76" t="s">
        <v>668</v>
      </c>
      <c r="E11" s="355" t="str">
        <f>'Air Leakage Sealing'!$G$82</f>
        <v/>
      </c>
      <c r="F11" s="353" t="e">
        <f t="shared" si="2"/>
        <v>#VALUE!</v>
      </c>
      <c r="G11" s="329" t="e">
        <f>85%*'Air Leakage Sealing'!$D$21</f>
        <v>#VALUE!</v>
      </c>
      <c r="H11" s="235">
        <v>150000</v>
      </c>
      <c r="I11" s="333" t="e">
        <f t="shared" si="1"/>
        <v>#VALUE!</v>
      </c>
    </row>
    <row r="12" spans="2:9" x14ac:dyDescent="0.25">
      <c r="B12" s="234" t="s">
        <v>763</v>
      </c>
      <c r="C12" s="75" t="s">
        <v>779</v>
      </c>
      <c r="D12" s="76" t="s">
        <v>668</v>
      </c>
      <c r="E12" s="355" t="str">
        <f>'Air Leakage Sealing'!$G$82</f>
        <v/>
      </c>
      <c r="F12" s="353" t="e">
        <f t="shared" si="2"/>
        <v>#VALUE!</v>
      </c>
      <c r="G12" s="329" t="e">
        <f>90%*'Air Leakage Sealing'!$D$21</f>
        <v>#VALUE!</v>
      </c>
      <c r="H12" s="235">
        <v>50000</v>
      </c>
      <c r="I12" s="333" t="e">
        <f t="shared" si="1"/>
        <v>#VALUE!</v>
      </c>
    </row>
    <row r="13" spans="2:9" x14ac:dyDescent="0.25">
      <c r="B13" s="234" t="s">
        <v>764</v>
      </c>
      <c r="C13" s="75" t="s">
        <v>779</v>
      </c>
      <c r="D13" s="76" t="s">
        <v>668</v>
      </c>
      <c r="E13" s="355" t="str">
        <f>'Air Leakage Sealing'!$G$82</f>
        <v/>
      </c>
      <c r="F13" s="353" t="e">
        <f t="shared" si="2"/>
        <v>#VALUE!</v>
      </c>
      <c r="G13" s="329" t="e">
        <f>85%*'Air Leakage Sealing'!$D$21</f>
        <v>#VALUE!</v>
      </c>
      <c r="H13" s="235">
        <v>50000</v>
      </c>
      <c r="I13" s="333" t="e">
        <f t="shared" si="1"/>
        <v>#VALUE!</v>
      </c>
    </row>
    <row r="14" spans="2:9" ht="15.75" thickBot="1" x14ac:dyDescent="0.3">
      <c r="B14" s="236" t="s">
        <v>765</v>
      </c>
      <c r="C14" s="237" t="s">
        <v>779</v>
      </c>
      <c r="D14" s="239" t="s">
        <v>668</v>
      </c>
      <c r="E14" s="356" t="str">
        <f>'Air Leakage Sealing'!$G$82</f>
        <v/>
      </c>
      <c r="F14" s="358" t="e">
        <f t="shared" si="2"/>
        <v>#VALUE!</v>
      </c>
      <c r="G14" s="330" t="e">
        <f>85%*'Air Leakage Sealing'!$D$21</f>
        <v>#VALUE!</v>
      </c>
      <c r="H14" s="242">
        <v>50000</v>
      </c>
      <c r="I14" s="334" t="e">
        <f t="shared" si="1"/>
        <v>#VALUE!</v>
      </c>
    </row>
  </sheetData>
  <sheetProtection algorithmName="SHA-512" hashValue="qUG9KTPHe5Lzvb85DUalvisMl08VDDD4WKDxFVONo8RFRVumfbCqDMOQ4ClXHj9duLgtRCRAYvh3qMMgbK43ug==" saltValue="hZzqzn6okP9o5Q49Olg/mQ==" spinCount="100000" sheet="1" objects="1" scenarios="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45E5C-0924-4A30-A511-CC83FD20BC04}">
  <sheetPr>
    <tabColor rgb="FFFFC000"/>
  </sheetPr>
  <dimension ref="B2:I20"/>
  <sheetViews>
    <sheetView zoomScaleNormal="100" workbookViewId="0">
      <selection activeCell="P16" sqref="A16:P16"/>
    </sheetView>
  </sheetViews>
  <sheetFormatPr defaultColWidth="9.140625" defaultRowHeight="15" x14ac:dyDescent="0.25"/>
  <cols>
    <col min="1" max="1" width="3.85546875" style="1" customWidth="1"/>
    <col min="2" max="2" width="17.5703125" style="1" customWidth="1"/>
    <col min="3" max="3" width="16.140625" style="1" customWidth="1"/>
    <col min="4" max="4" width="7" style="1" customWidth="1"/>
    <col min="5" max="5" width="9.85546875" style="1" customWidth="1"/>
    <col min="6" max="6" width="10.7109375" style="1" bestFit="1" customWidth="1"/>
    <col min="7" max="7" width="11.28515625" style="1" customWidth="1"/>
    <col min="8" max="8" width="12.140625" style="1" customWidth="1"/>
    <col min="9" max="9" width="11.28515625" style="1" customWidth="1"/>
    <col min="10" max="16384" width="9.140625" style="1"/>
  </cols>
  <sheetData>
    <row r="2" spans="2:9" ht="15.75" thickBot="1" x14ac:dyDescent="0.3"/>
    <row r="3" spans="2:9" ht="45.75" thickBot="1" x14ac:dyDescent="0.3">
      <c r="B3" s="374" t="s">
        <v>388</v>
      </c>
      <c r="C3" s="379" t="s">
        <v>766</v>
      </c>
      <c r="D3" s="375" t="s">
        <v>395</v>
      </c>
      <c r="E3" s="376" t="s">
        <v>780</v>
      </c>
      <c r="F3" s="375" t="s">
        <v>781</v>
      </c>
      <c r="G3" s="376" t="s">
        <v>782</v>
      </c>
      <c r="H3" s="378" t="s">
        <v>783</v>
      </c>
      <c r="I3" s="377" t="s">
        <v>784</v>
      </c>
    </row>
    <row r="4" spans="2:9" x14ac:dyDescent="0.25">
      <c r="B4" s="227" t="s">
        <v>762</v>
      </c>
      <c r="C4" s="228" t="s">
        <v>785</v>
      </c>
      <c r="D4" s="230" t="s">
        <v>669</v>
      </c>
      <c r="E4" s="372">
        <f>'Air Curtains'!$C$11</f>
        <v>0</v>
      </c>
      <c r="F4" s="357">
        <f>E4*3000</f>
        <v>0</v>
      </c>
      <c r="G4" s="327" t="e">
        <f>100%*'Air Curtains'!$C$21</f>
        <v>#VALUE!</v>
      </c>
      <c r="H4" s="233">
        <v>45000</v>
      </c>
      <c r="I4" s="332" t="e">
        <f>MIN(F4,G4,H4)</f>
        <v>#VALUE!</v>
      </c>
    </row>
    <row r="5" spans="2:9" x14ac:dyDescent="0.25">
      <c r="B5" s="234" t="s">
        <v>786</v>
      </c>
      <c r="C5" s="75" t="s">
        <v>785</v>
      </c>
      <c r="D5" s="76" t="s">
        <v>669</v>
      </c>
      <c r="E5" s="86">
        <f>'Air Curtains'!$C$11</f>
        <v>0</v>
      </c>
      <c r="F5" s="353">
        <f t="shared" ref="F5:F9" si="0">E5*3000</f>
        <v>0</v>
      </c>
      <c r="G5" s="328" t="e">
        <f>100%*'Air Curtains'!$C$21</f>
        <v>#VALUE!</v>
      </c>
      <c r="H5" s="235">
        <v>45000</v>
      </c>
      <c r="I5" s="333" t="e">
        <f t="shared" ref="I5:I9" si="1">MIN(F5,G5,H5)</f>
        <v>#VALUE!</v>
      </c>
    </row>
    <row r="6" spans="2:9" x14ac:dyDescent="0.25">
      <c r="B6" s="234" t="s">
        <v>759</v>
      </c>
      <c r="C6" s="75" t="s">
        <v>785</v>
      </c>
      <c r="D6" s="76" t="s">
        <v>669</v>
      </c>
      <c r="E6" s="86">
        <f>'Air Curtains'!$C$11</f>
        <v>0</v>
      </c>
      <c r="F6" s="353">
        <f t="shared" si="0"/>
        <v>0</v>
      </c>
      <c r="G6" s="329" t="e">
        <f>100%*'Air Curtains'!$C$21</f>
        <v>#VALUE!</v>
      </c>
      <c r="H6" s="235">
        <v>45000</v>
      </c>
      <c r="I6" s="333" t="e">
        <f t="shared" si="1"/>
        <v>#VALUE!</v>
      </c>
    </row>
    <row r="7" spans="2:9" x14ac:dyDescent="0.25">
      <c r="B7" s="234" t="s">
        <v>787</v>
      </c>
      <c r="C7" s="75" t="s">
        <v>785</v>
      </c>
      <c r="D7" s="76" t="s">
        <v>669</v>
      </c>
      <c r="E7" s="86">
        <f>'Air Curtains'!$C$11</f>
        <v>0</v>
      </c>
      <c r="F7" s="353">
        <f t="shared" si="0"/>
        <v>0</v>
      </c>
      <c r="G7" s="329" t="e">
        <f>100%*'Air Curtains'!$C$21</f>
        <v>#VALUE!</v>
      </c>
      <c r="H7" s="235">
        <v>50000</v>
      </c>
      <c r="I7" s="333" t="e">
        <f t="shared" si="1"/>
        <v>#VALUE!</v>
      </c>
    </row>
    <row r="8" spans="2:9" x14ac:dyDescent="0.25">
      <c r="B8" s="234" t="s">
        <v>763</v>
      </c>
      <c r="C8" s="75" t="s">
        <v>785</v>
      </c>
      <c r="D8" s="76" t="s">
        <v>669</v>
      </c>
      <c r="E8" s="86">
        <f>'Air Curtains'!$C$11</f>
        <v>0</v>
      </c>
      <c r="F8" s="353">
        <f t="shared" si="0"/>
        <v>0</v>
      </c>
      <c r="G8" s="329" t="e">
        <f>100%*'Air Curtains'!$C$21</f>
        <v>#VALUE!</v>
      </c>
      <c r="H8" s="235">
        <v>50000</v>
      </c>
      <c r="I8" s="333" t="e">
        <f t="shared" si="1"/>
        <v>#VALUE!</v>
      </c>
    </row>
    <row r="9" spans="2:9" ht="15.75" thickBot="1" x14ac:dyDescent="0.3">
      <c r="B9" s="236" t="s">
        <v>765</v>
      </c>
      <c r="C9" s="237" t="s">
        <v>785</v>
      </c>
      <c r="D9" s="239" t="s">
        <v>669</v>
      </c>
      <c r="E9" s="373">
        <f>'Air Curtains'!$C$11</f>
        <v>0</v>
      </c>
      <c r="F9" s="358">
        <f t="shared" si="0"/>
        <v>0</v>
      </c>
      <c r="G9" s="371" t="e">
        <f>100%*'Air Curtains'!$C$21</f>
        <v>#VALUE!</v>
      </c>
      <c r="H9" s="242">
        <v>50000</v>
      </c>
      <c r="I9" s="334" t="e">
        <f t="shared" si="1"/>
        <v>#VALUE!</v>
      </c>
    </row>
    <row r="10" spans="2:9" x14ac:dyDescent="0.25">
      <c r="B10" s="227" t="s">
        <v>762</v>
      </c>
      <c r="C10" s="228" t="s">
        <v>785</v>
      </c>
      <c r="D10" s="230" t="s">
        <v>668</v>
      </c>
      <c r="E10" s="372">
        <f>'Air Curtains'!$C$11</f>
        <v>0</v>
      </c>
      <c r="F10" s="357">
        <f>E10*3500</f>
        <v>0</v>
      </c>
      <c r="G10" s="327" t="e">
        <f>100%*'Air Curtains'!$C$21</f>
        <v>#VALUE!</v>
      </c>
      <c r="H10" s="233">
        <v>45000</v>
      </c>
      <c r="I10" s="332" t="e">
        <f>MIN(F10,G10,H10)</f>
        <v>#VALUE!</v>
      </c>
    </row>
    <row r="11" spans="2:9" x14ac:dyDescent="0.25">
      <c r="B11" s="234" t="s">
        <v>786</v>
      </c>
      <c r="C11" s="75" t="s">
        <v>785</v>
      </c>
      <c r="D11" s="76" t="s">
        <v>668</v>
      </c>
      <c r="E11" s="86">
        <f>'Air Curtains'!$C$11</f>
        <v>0</v>
      </c>
      <c r="F11" s="353">
        <f>E11*3000</f>
        <v>0</v>
      </c>
      <c r="G11" s="328" t="e">
        <f>100%*'Air Curtains'!$C$21</f>
        <v>#VALUE!</v>
      </c>
      <c r="H11" s="235">
        <v>45000</v>
      </c>
      <c r="I11" s="333" t="e">
        <f>MIN(F11,G11,H11)</f>
        <v>#VALUE!</v>
      </c>
    </row>
    <row r="12" spans="2:9" x14ac:dyDescent="0.25">
      <c r="B12" s="234" t="s">
        <v>759</v>
      </c>
      <c r="C12" s="75" t="s">
        <v>785</v>
      </c>
      <c r="D12" s="76" t="s">
        <v>668</v>
      </c>
      <c r="E12" s="86">
        <f>'Air Curtains'!$C$11</f>
        <v>0</v>
      </c>
      <c r="F12" s="353">
        <f>E12*3000</f>
        <v>0</v>
      </c>
      <c r="G12" s="329" t="e">
        <f>100%*'Air Curtains'!$C$21</f>
        <v>#VALUE!</v>
      </c>
      <c r="H12" s="235">
        <v>45000</v>
      </c>
      <c r="I12" s="333" t="e">
        <f>MIN(F12,G12,H12)</f>
        <v>#VALUE!</v>
      </c>
    </row>
    <row r="13" spans="2:9" x14ac:dyDescent="0.25">
      <c r="B13" s="234" t="s">
        <v>787</v>
      </c>
      <c r="C13" s="75" t="s">
        <v>785</v>
      </c>
      <c r="D13" s="76" t="s">
        <v>668</v>
      </c>
      <c r="E13" s="86">
        <f>'Air Curtains'!$C$11</f>
        <v>0</v>
      </c>
      <c r="F13" s="353">
        <f t="shared" ref="F13:F15" si="2">E13*3500</f>
        <v>0</v>
      </c>
      <c r="G13" s="328" t="e">
        <f>100%*'Air Curtains'!$C$21</f>
        <v>#VALUE!</v>
      </c>
      <c r="H13" s="235">
        <v>50000</v>
      </c>
      <c r="I13" s="333" t="e">
        <f t="shared" ref="I13:I15" si="3">MIN(F13,G13,H13)</f>
        <v>#VALUE!</v>
      </c>
    </row>
    <row r="14" spans="2:9" x14ac:dyDescent="0.25">
      <c r="B14" s="234" t="s">
        <v>763</v>
      </c>
      <c r="C14" s="75" t="s">
        <v>785</v>
      </c>
      <c r="D14" s="76" t="s">
        <v>668</v>
      </c>
      <c r="E14" s="86">
        <f>'Air Curtains'!$C$11</f>
        <v>0</v>
      </c>
      <c r="F14" s="353">
        <f t="shared" si="2"/>
        <v>0</v>
      </c>
      <c r="G14" s="329" t="e">
        <f>100%*'Air Curtains'!$C$21</f>
        <v>#VALUE!</v>
      </c>
      <c r="H14" s="235">
        <v>50000</v>
      </c>
      <c r="I14" s="333" t="e">
        <f t="shared" si="3"/>
        <v>#VALUE!</v>
      </c>
    </row>
    <row r="15" spans="2:9" ht="15.75" thickBot="1" x14ac:dyDescent="0.3">
      <c r="B15" s="236" t="s">
        <v>765</v>
      </c>
      <c r="C15" s="237" t="s">
        <v>785</v>
      </c>
      <c r="D15" s="239" t="s">
        <v>668</v>
      </c>
      <c r="E15" s="373">
        <f>'Air Curtains'!$C$11</f>
        <v>0</v>
      </c>
      <c r="F15" s="358">
        <f t="shared" si="2"/>
        <v>0</v>
      </c>
      <c r="G15" s="371" t="e">
        <f>100%*'Air Curtains'!$C$21</f>
        <v>#VALUE!</v>
      </c>
      <c r="H15" s="242">
        <v>50000</v>
      </c>
      <c r="I15" s="334" t="e">
        <f t="shared" si="3"/>
        <v>#VALUE!</v>
      </c>
    </row>
    <row r="16" spans="2:9" x14ac:dyDescent="0.25">
      <c r="I16" s="143"/>
    </row>
    <row r="17" spans="9:9" x14ac:dyDescent="0.25">
      <c r="I17" s="143"/>
    </row>
    <row r="18" spans="9:9" x14ac:dyDescent="0.25">
      <c r="I18" s="143"/>
    </row>
    <row r="19" spans="9:9" x14ac:dyDescent="0.25">
      <c r="I19" s="143"/>
    </row>
    <row r="20" spans="9:9" x14ac:dyDescent="0.25">
      <c r="I20" s="143"/>
    </row>
  </sheetData>
  <sheetProtection algorithmName="SHA-512" hashValue="mMuDJW9wZ581hcT77Xy8VFuieX9N7yVmiBO0dOGAnB7GF50P096UwoLfJguR6Xe/1jGYG2eMVwY5Djv/X3nMcw==" saltValue="ZUJoVzmy3Jyxcl0EEk6RU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8B678-8E21-4EC7-B3CE-3151CC2191BE}">
  <dimension ref="A1"/>
  <sheetViews>
    <sheetView workbookViewId="0"/>
  </sheetViews>
  <sheetFormatPr defaultColWidth="9.140625" defaultRowHeight="15" x14ac:dyDescent="0.25"/>
  <cols>
    <col min="1" max="16384" width="9.140625" style="859"/>
  </cols>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FBEBA-A237-4503-B346-EE296A56F487}">
  <sheetPr>
    <tabColor theme="5"/>
  </sheetPr>
  <dimension ref="A1:T34"/>
  <sheetViews>
    <sheetView zoomScaleNormal="100" workbookViewId="0">
      <selection activeCell="P16" sqref="A16:P16"/>
    </sheetView>
  </sheetViews>
  <sheetFormatPr defaultColWidth="9.140625" defaultRowHeight="15" x14ac:dyDescent="0.25"/>
  <cols>
    <col min="1" max="1" width="2.7109375" style="1" customWidth="1"/>
    <col min="2" max="2" width="30.7109375" style="1" bestFit="1" customWidth="1"/>
    <col min="3" max="3" width="12.85546875" style="63" customWidth="1"/>
    <col min="4" max="4" width="14.140625" style="63" customWidth="1"/>
    <col min="5" max="5" width="13.7109375" style="63" hidden="1" customWidth="1"/>
    <col min="6" max="6" width="12.7109375" style="63" hidden="1" customWidth="1"/>
    <col min="7" max="7" width="10.85546875" style="1" customWidth="1"/>
    <col min="8" max="9" width="9.140625" style="1"/>
    <col min="10" max="10" width="15" style="1" hidden="1" customWidth="1"/>
    <col min="11" max="15" width="0" style="1" hidden="1" customWidth="1"/>
    <col min="16" max="16" width="15" style="1" hidden="1" customWidth="1"/>
    <col min="17" max="20" width="0" style="1" hidden="1" customWidth="1"/>
    <col min="21" max="16384" width="9.140625" style="1"/>
  </cols>
  <sheetData>
    <row r="1" spans="1:20" x14ac:dyDescent="0.25">
      <c r="B1" s="71" t="s">
        <v>788</v>
      </c>
    </row>
    <row r="2" spans="1:20" ht="6" customHeight="1" x14ac:dyDescent="0.25">
      <c r="A2" s="66"/>
      <c r="J2" s="93" t="s">
        <v>789</v>
      </c>
      <c r="K2" s="62"/>
    </row>
    <row r="3" spans="1:20" x14ac:dyDescent="0.25">
      <c r="B3" s="76">
        <v>1</v>
      </c>
      <c r="C3" s="76">
        <v>2</v>
      </c>
      <c r="D3" s="76">
        <v>3</v>
      </c>
      <c r="E3" s="76">
        <v>4</v>
      </c>
      <c r="F3" s="76">
        <v>5</v>
      </c>
    </row>
    <row r="4" spans="1:20" ht="30" x14ac:dyDescent="0.25">
      <c r="B4" s="74" t="s">
        <v>250</v>
      </c>
      <c r="C4" s="80" t="s">
        <v>790</v>
      </c>
      <c r="D4" s="80" t="s">
        <v>791</v>
      </c>
      <c r="E4" s="80" t="s">
        <v>792</v>
      </c>
      <c r="F4" s="80" t="s">
        <v>793</v>
      </c>
      <c r="J4" s="1089" t="s">
        <v>794</v>
      </c>
      <c r="K4" s="1089"/>
      <c r="L4" s="1089"/>
      <c r="M4" s="1089"/>
      <c r="N4" s="1089"/>
      <c r="P4" s="1089" t="s">
        <v>795</v>
      </c>
      <c r="Q4" s="1089"/>
      <c r="R4" s="1089"/>
      <c r="S4" s="1089"/>
      <c r="T4" s="1089"/>
    </row>
    <row r="5" spans="1:20" hidden="1" x14ac:dyDescent="0.25">
      <c r="B5" s="95" t="s">
        <v>796</v>
      </c>
      <c r="C5" s="97">
        <v>4</v>
      </c>
      <c r="D5" s="97">
        <v>2</v>
      </c>
      <c r="E5" s="78">
        <v>0.93</v>
      </c>
      <c r="F5" s="78">
        <v>0.87</v>
      </c>
      <c r="J5" s="74" t="s">
        <v>797</v>
      </c>
      <c r="K5" s="73" t="s">
        <v>798</v>
      </c>
      <c r="L5" s="73" t="s">
        <v>799</v>
      </c>
      <c r="M5" s="73" t="s">
        <v>800</v>
      </c>
      <c r="N5" s="73" t="s">
        <v>801</v>
      </c>
      <c r="O5" s="65"/>
      <c r="P5" s="74" t="s">
        <v>797</v>
      </c>
      <c r="Q5" s="73" t="s">
        <v>798</v>
      </c>
      <c r="R5" s="73" t="s">
        <v>799</v>
      </c>
      <c r="S5" s="73" t="s">
        <v>800</v>
      </c>
      <c r="T5" s="73" t="s">
        <v>801</v>
      </c>
    </row>
    <row r="6" spans="1:20" hidden="1" x14ac:dyDescent="0.25">
      <c r="B6" s="95" t="s">
        <v>802</v>
      </c>
      <c r="C6" s="97">
        <v>7</v>
      </c>
      <c r="D6" s="97">
        <v>11</v>
      </c>
      <c r="E6" s="98">
        <v>0.93</v>
      </c>
      <c r="F6" s="98">
        <v>0.87</v>
      </c>
      <c r="J6" s="71" t="s">
        <v>790</v>
      </c>
      <c r="K6" s="68">
        <v>4</v>
      </c>
      <c r="L6" s="68">
        <v>7</v>
      </c>
      <c r="M6" s="68">
        <v>11</v>
      </c>
      <c r="N6" s="68">
        <v>19</v>
      </c>
      <c r="P6" s="71" t="s">
        <v>790</v>
      </c>
      <c r="Q6" s="68">
        <v>4</v>
      </c>
      <c r="R6" s="68">
        <v>7</v>
      </c>
      <c r="S6" s="68">
        <v>11</v>
      </c>
      <c r="T6" s="68">
        <v>19</v>
      </c>
    </row>
    <row r="7" spans="1:20" hidden="1" x14ac:dyDescent="0.25">
      <c r="B7" s="95" t="s">
        <v>803</v>
      </c>
      <c r="C7" s="97">
        <v>11</v>
      </c>
      <c r="D7" s="97">
        <v>19</v>
      </c>
      <c r="E7" s="98">
        <v>0.68</v>
      </c>
      <c r="F7" s="98">
        <v>0.77</v>
      </c>
      <c r="J7" s="71" t="s">
        <v>791</v>
      </c>
      <c r="K7" s="68">
        <v>2</v>
      </c>
      <c r="L7" s="68">
        <v>11</v>
      </c>
      <c r="M7" s="68">
        <v>19</v>
      </c>
      <c r="N7" s="68">
        <v>38</v>
      </c>
      <c r="P7" s="71" t="s">
        <v>791</v>
      </c>
      <c r="Q7" s="68">
        <v>2</v>
      </c>
      <c r="R7" s="68">
        <v>11</v>
      </c>
      <c r="S7" s="68">
        <v>19</v>
      </c>
      <c r="T7" s="68">
        <v>38</v>
      </c>
    </row>
    <row r="8" spans="1:20" hidden="1" x14ac:dyDescent="0.25">
      <c r="B8" s="95" t="s">
        <v>804</v>
      </c>
      <c r="C8" s="97">
        <v>19</v>
      </c>
      <c r="D8" s="97">
        <v>38</v>
      </c>
      <c r="E8" s="98">
        <v>0.28000000000000003</v>
      </c>
      <c r="F8" s="98">
        <v>0.49</v>
      </c>
      <c r="K8" s="63"/>
      <c r="L8" s="63"/>
      <c r="M8" s="63"/>
      <c r="N8" s="63"/>
      <c r="Q8" s="63"/>
      <c r="R8" s="63"/>
      <c r="S8" s="63"/>
      <c r="T8" s="63"/>
    </row>
    <row r="9" spans="1:20" hidden="1" x14ac:dyDescent="0.25">
      <c r="B9" s="95" t="s">
        <v>805</v>
      </c>
      <c r="C9" s="97">
        <v>4</v>
      </c>
      <c r="D9" s="97">
        <v>2</v>
      </c>
      <c r="E9" s="98">
        <v>0.93</v>
      </c>
      <c r="F9" s="98">
        <v>0.87</v>
      </c>
      <c r="J9" s="1089" t="s">
        <v>806</v>
      </c>
      <c r="K9" s="1089"/>
      <c r="L9" s="1089"/>
      <c r="M9" s="1089"/>
      <c r="N9" s="1089"/>
      <c r="P9" s="1089" t="s">
        <v>807</v>
      </c>
      <c r="Q9" s="1089"/>
      <c r="R9" s="1089"/>
      <c r="S9" s="1089"/>
      <c r="T9" s="1089"/>
    </row>
    <row r="10" spans="1:20" hidden="1" x14ac:dyDescent="0.25">
      <c r="B10" s="95" t="s">
        <v>808</v>
      </c>
      <c r="C10" s="97">
        <v>7</v>
      </c>
      <c r="D10" s="97">
        <v>11</v>
      </c>
      <c r="E10" s="78">
        <v>0.93</v>
      </c>
      <c r="F10" s="78">
        <v>0.87</v>
      </c>
      <c r="J10" s="71" t="s">
        <v>797</v>
      </c>
      <c r="K10" s="73" t="s">
        <v>798</v>
      </c>
      <c r="L10" s="73" t="s">
        <v>799</v>
      </c>
      <c r="M10" s="73" t="s">
        <v>800</v>
      </c>
      <c r="N10" s="73" t="s">
        <v>801</v>
      </c>
      <c r="P10" s="71" t="s">
        <v>797</v>
      </c>
      <c r="Q10" s="73" t="s">
        <v>798</v>
      </c>
      <c r="R10" s="73" t="s">
        <v>799</v>
      </c>
      <c r="S10" s="73" t="s">
        <v>800</v>
      </c>
      <c r="T10" s="73" t="s">
        <v>801</v>
      </c>
    </row>
    <row r="11" spans="1:20" hidden="1" x14ac:dyDescent="0.25">
      <c r="B11" s="95" t="s">
        <v>809</v>
      </c>
      <c r="C11" s="97">
        <v>11</v>
      </c>
      <c r="D11" s="97">
        <v>19</v>
      </c>
      <c r="E11" s="78">
        <v>0.68</v>
      </c>
      <c r="F11" s="78">
        <v>0.77</v>
      </c>
      <c r="J11" s="71" t="s">
        <v>810</v>
      </c>
      <c r="K11" s="70">
        <v>73</v>
      </c>
      <c r="L11" s="70">
        <v>70</v>
      </c>
      <c r="M11" s="70">
        <v>70</v>
      </c>
      <c r="N11" s="70">
        <v>70</v>
      </c>
      <c r="P11" s="71" t="s">
        <v>810</v>
      </c>
      <c r="Q11" s="70">
        <v>73</v>
      </c>
      <c r="R11" s="70">
        <v>70</v>
      </c>
      <c r="S11" s="70">
        <v>70</v>
      </c>
      <c r="T11" s="70">
        <v>70</v>
      </c>
    </row>
    <row r="12" spans="1:20" hidden="1" x14ac:dyDescent="0.25">
      <c r="B12" s="95" t="s">
        <v>811</v>
      </c>
      <c r="C12" s="97">
        <v>19</v>
      </c>
      <c r="D12" s="97">
        <v>38</v>
      </c>
      <c r="E12" s="78">
        <v>0.28000000000000003</v>
      </c>
      <c r="F12" s="78">
        <v>0.49</v>
      </c>
      <c r="J12" s="71" t="s">
        <v>812</v>
      </c>
      <c r="K12" s="70">
        <v>70</v>
      </c>
      <c r="L12" s="70">
        <v>70</v>
      </c>
      <c r="M12" s="70">
        <v>70</v>
      </c>
      <c r="N12" s="70">
        <v>70</v>
      </c>
      <c r="P12" s="71" t="s">
        <v>812</v>
      </c>
      <c r="Q12" s="70">
        <v>70</v>
      </c>
      <c r="R12" s="70">
        <v>70</v>
      </c>
      <c r="S12" s="70">
        <v>70</v>
      </c>
      <c r="T12" s="70">
        <v>70</v>
      </c>
    </row>
    <row r="13" spans="1:20" x14ac:dyDescent="0.25">
      <c r="B13" s="77" t="s">
        <v>257</v>
      </c>
      <c r="C13" s="68">
        <v>5</v>
      </c>
      <c r="D13" s="68">
        <v>12</v>
      </c>
      <c r="E13" s="79">
        <v>0.93</v>
      </c>
      <c r="F13" s="79">
        <v>0.87</v>
      </c>
      <c r="J13" s="71" t="s">
        <v>813</v>
      </c>
      <c r="K13" s="70">
        <v>70</v>
      </c>
      <c r="L13" s="70">
        <v>67</v>
      </c>
      <c r="M13" s="70">
        <v>67</v>
      </c>
      <c r="N13" s="70">
        <v>67</v>
      </c>
      <c r="P13" s="71" t="s">
        <v>813</v>
      </c>
      <c r="Q13" s="70">
        <v>70</v>
      </c>
      <c r="R13" s="70">
        <v>67</v>
      </c>
      <c r="S13" s="70">
        <v>67</v>
      </c>
      <c r="T13" s="70">
        <v>67</v>
      </c>
    </row>
    <row r="14" spans="1:20" x14ac:dyDescent="0.25">
      <c r="B14" s="77" t="s">
        <v>814</v>
      </c>
      <c r="C14" s="68">
        <v>7.5</v>
      </c>
      <c r="D14" s="68">
        <v>13.5</v>
      </c>
      <c r="E14" s="76">
        <v>0.72</v>
      </c>
      <c r="F14" s="76">
        <v>0.74</v>
      </c>
      <c r="J14" s="71" t="s">
        <v>815</v>
      </c>
      <c r="K14" s="70">
        <v>67</v>
      </c>
      <c r="L14" s="70">
        <v>67</v>
      </c>
      <c r="M14" s="70">
        <v>67</v>
      </c>
      <c r="N14" s="70">
        <v>67</v>
      </c>
      <c r="P14" s="71" t="s">
        <v>815</v>
      </c>
      <c r="Q14" s="70">
        <v>67</v>
      </c>
      <c r="R14" s="70">
        <v>67</v>
      </c>
      <c r="S14" s="70">
        <v>67</v>
      </c>
      <c r="T14" s="70">
        <v>67</v>
      </c>
    </row>
    <row r="15" spans="1:20" x14ac:dyDescent="0.25">
      <c r="B15" s="77" t="s">
        <v>816</v>
      </c>
      <c r="C15" s="68">
        <v>5</v>
      </c>
      <c r="D15" s="68">
        <v>12</v>
      </c>
      <c r="E15" s="76">
        <v>0.93</v>
      </c>
      <c r="F15" s="76">
        <v>0.87</v>
      </c>
    </row>
    <row r="16" spans="1:20" x14ac:dyDescent="0.25">
      <c r="B16" s="77" t="s">
        <v>817</v>
      </c>
      <c r="C16" s="68">
        <v>7.5</v>
      </c>
      <c r="D16" s="68">
        <v>13.5</v>
      </c>
      <c r="E16" s="76">
        <v>0.72</v>
      </c>
      <c r="F16" s="76">
        <v>0.73</v>
      </c>
      <c r="J16" s="1089" t="s">
        <v>818</v>
      </c>
      <c r="K16" s="1089"/>
      <c r="L16" s="1089"/>
      <c r="M16" s="1089"/>
      <c r="N16" s="1089"/>
      <c r="P16" s="1089" t="s">
        <v>819</v>
      </c>
      <c r="Q16" s="1089"/>
      <c r="R16" s="1089"/>
      <c r="S16" s="1089"/>
      <c r="T16" s="1089"/>
    </row>
    <row r="17" spans="2:20" x14ac:dyDescent="0.25">
      <c r="B17" s="77" t="s">
        <v>820</v>
      </c>
      <c r="C17" s="68">
        <v>7.5</v>
      </c>
      <c r="D17" s="68">
        <v>13.5</v>
      </c>
      <c r="E17" s="76">
        <v>0.72</v>
      </c>
      <c r="F17" s="76">
        <v>0.73</v>
      </c>
      <c r="J17" s="71" t="s">
        <v>797</v>
      </c>
      <c r="K17" s="72" t="s">
        <v>798</v>
      </c>
      <c r="L17" s="72" t="s">
        <v>799</v>
      </c>
      <c r="M17" s="72" t="s">
        <v>800</v>
      </c>
      <c r="N17" s="72" t="s">
        <v>801</v>
      </c>
      <c r="P17" s="71" t="s">
        <v>797</v>
      </c>
      <c r="Q17" s="72" t="s">
        <v>798</v>
      </c>
      <c r="R17" s="72" t="s">
        <v>799</v>
      </c>
      <c r="S17" s="72" t="s">
        <v>800</v>
      </c>
      <c r="T17" s="72" t="s">
        <v>801</v>
      </c>
    </row>
    <row r="18" spans="2:20" x14ac:dyDescent="0.25">
      <c r="B18" s="77" t="s">
        <v>821</v>
      </c>
      <c r="C18" s="68">
        <v>5</v>
      </c>
      <c r="D18" s="68">
        <v>12</v>
      </c>
      <c r="E18" s="79">
        <v>0.93</v>
      </c>
      <c r="F18" s="79">
        <v>0.87</v>
      </c>
      <c r="J18" s="71" t="s">
        <v>822</v>
      </c>
      <c r="K18" s="69">
        <v>0.93</v>
      </c>
      <c r="L18" s="69">
        <v>0.93</v>
      </c>
      <c r="M18" s="69">
        <v>0.68</v>
      </c>
      <c r="N18" s="69">
        <v>0.28000000000000003</v>
      </c>
      <c r="P18" s="71" t="s">
        <v>822</v>
      </c>
      <c r="Q18" s="69">
        <v>0.93</v>
      </c>
      <c r="R18" s="69">
        <v>0.93</v>
      </c>
      <c r="S18" s="69">
        <v>0.68</v>
      </c>
      <c r="T18" s="69">
        <v>0.28000000000000003</v>
      </c>
    </row>
    <row r="19" spans="2:20" x14ac:dyDescent="0.25">
      <c r="B19" s="77" t="s">
        <v>503</v>
      </c>
      <c r="C19" s="68">
        <v>5</v>
      </c>
      <c r="D19" s="68">
        <v>12</v>
      </c>
      <c r="E19" s="79">
        <v>0.93</v>
      </c>
      <c r="F19" s="79">
        <v>0.87</v>
      </c>
      <c r="J19" s="71" t="s">
        <v>468</v>
      </c>
      <c r="K19" s="69">
        <v>0.87</v>
      </c>
      <c r="L19" s="69">
        <v>0.87</v>
      </c>
      <c r="M19" s="69">
        <v>0.77</v>
      </c>
      <c r="N19" s="69">
        <v>0.49</v>
      </c>
      <c r="P19" s="71" t="s">
        <v>468</v>
      </c>
      <c r="Q19" s="69">
        <v>0.87</v>
      </c>
      <c r="R19" s="69">
        <v>0.87</v>
      </c>
      <c r="S19" s="69">
        <v>0.77</v>
      </c>
      <c r="T19" s="69">
        <v>0.49</v>
      </c>
    </row>
    <row r="20" spans="2:20" x14ac:dyDescent="0.25">
      <c r="B20" s="94" t="s">
        <v>507</v>
      </c>
      <c r="C20" s="68">
        <v>5</v>
      </c>
      <c r="D20" s="68">
        <v>12</v>
      </c>
      <c r="E20" s="79">
        <v>0.93</v>
      </c>
      <c r="F20" s="79">
        <v>0.87</v>
      </c>
      <c r="K20" s="63"/>
      <c r="L20" s="63"/>
      <c r="M20" s="63"/>
      <c r="N20" s="63"/>
      <c r="Q20" s="63"/>
      <c r="R20" s="63"/>
      <c r="S20" s="63"/>
      <c r="T20" s="63"/>
    </row>
    <row r="21" spans="2:20" x14ac:dyDescent="0.25">
      <c r="B21" s="77" t="s">
        <v>273</v>
      </c>
      <c r="C21" s="68">
        <v>5</v>
      </c>
      <c r="D21" s="68">
        <v>12</v>
      </c>
      <c r="E21" s="79">
        <v>0.93</v>
      </c>
      <c r="F21" s="79">
        <v>0.87</v>
      </c>
      <c r="J21" s="1089" t="s">
        <v>823</v>
      </c>
      <c r="K21" s="1089"/>
      <c r="L21" s="1089"/>
      <c r="M21" s="1089"/>
      <c r="N21" s="1089"/>
      <c r="P21" s="1089" t="s">
        <v>824</v>
      </c>
      <c r="Q21" s="1089"/>
      <c r="R21" s="1089"/>
      <c r="S21" s="1089"/>
      <c r="T21" s="1089"/>
    </row>
    <row r="22" spans="2:20" x14ac:dyDescent="0.25">
      <c r="B22" s="77" t="s">
        <v>825</v>
      </c>
      <c r="C22" s="68">
        <v>7.5</v>
      </c>
      <c r="D22" s="68">
        <v>13.5</v>
      </c>
      <c r="E22" s="76">
        <v>0.72</v>
      </c>
      <c r="F22" s="76">
        <v>0.73</v>
      </c>
      <c r="J22" s="71" t="s">
        <v>797</v>
      </c>
      <c r="K22" s="72" t="s">
        <v>798</v>
      </c>
      <c r="L22" s="72" t="s">
        <v>799</v>
      </c>
      <c r="M22" s="72" t="s">
        <v>800</v>
      </c>
      <c r="N22" s="72" t="s">
        <v>801</v>
      </c>
      <c r="P22" s="71" t="s">
        <v>797</v>
      </c>
      <c r="Q22" s="72" t="s">
        <v>798</v>
      </c>
      <c r="R22" s="72" t="s">
        <v>799</v>
      </c>
      <c r="S22" s="72" t="s">
        <v>800</v>
      </c>
      <c r="T22" s="72" t="s">
        <v>801</v>
      </c>
    </row>
    <row r="23" spans="2:20" x14ac:dyDescent="0.25">
      <c r="B23" s="77" t="s">
        <v>826</v>
      </c>
      <c r="C23" s="68">
        <v>7.5</v>
      </c>
      <c r="D23" s="68">
        <v>13.5</v>
      </c>
      <c r="E23" s="76">
        <v>0.72</v>
      </c>
      <c r="F23" s="76">
        <v>0.84</v>
      </c>
      <c r="J23" s="71" t="s">
        <v>827</v>
      </c>
      <c r="K23" s="69">
        <v>1</v>
      </c>
      <c r="L23" s="69">
        <v>1</v>
      </c>
      <c r="M23" s="69">
        <v>0.5</v>
      </c>
      <c r="N23" s="69">
        <v>0.35</v>
      </c>
      <c r="P23" s="71" t="s">
        <v>827</v>
      </c>
      <c r="Q23" s="69">
        <v>1</v>
      </c>
      <c r="R23" s="69">
        <v>1</v>
      </c>
      <c r="S23" s="69">
        <v>0.5</v>
      </c>
      <c r="T23" s="69">
        <v>0.35</v>
      </c>
    </row>
    <row r="24" spans="2:20" x14ac:dyDescent="0.25">
      <c r="B24" s="77" t="s">
        <v>828</v>
      </c>
      <c r="C24" s="68">
        <v>7.5</v>
      </c>
      <c r="D24" s="68">
        <v>13.5</v>
      </c>
      <c r="E24" s="76">
        <v>0.72</v>
      </c>
      <c r="F24" s="76">
        <v>0.84</v>
      </c>
    </row>
    <row r="25" spans="2:20" x14ac:dyDescent="0.25">
      <c r="B25" s="77" t="s">
        <v>829</v>
      </c>
      <c r="C25" s="68">
        <v>7.5</v>
      </c>
      <c r="D25" s="68">
        <v>13.5</v>
      </c>
      <c r="E25" s="76">
        <v>0.72</v>
      </c>
      <c r="F25" s="76">
        <v>0.84</v>
      </c>
    </row>
    <row r="26" spans="2:20" x14ac:dyDescent="0.25">
      <c r="B26" s="77" t="s">
        <v>830</v>
      </c>
      <c r="C26" s="68">
        <v>7.5</v>
      </c>
      <c r="D26" s="68">
        <v>13.5</v>
      </c>
      <c r="E26" s="76">
        <v>0.72</v>
      </c>
      <c r="F26" s="76">
        <v>0.73</v>
      </c>
    </row>
    <row r="27" spans="2:20" x14ac:dyDescent="0.25">
      <c r="B27" s="77" t="s">
        <v>831</v>
      </c>
      <c r="C27" s="68">
        <v>5</v>
      </c>
      <c r="D27" s="68">
        <v>12</v>
      </c>
      <c r="E27" s="79">
        <v>0.93</v>
      </c>
      <c r="F27" s="79">
        <v>0.87</v>
      </c>
    </row>
    <row r="28" spans="2:20" x14ac:dyDescent="0.25">
      <c r="B28" s="77" t="s">
        <v>279</v>
      </c>
      <c r="C28" s="68">
        <v>5</v>
      </c>
      <c r="D28" s="68">
        <v>12</v>
      </c>
      <c r="E28" s="69">
        <v>1.2</v>
      </c>
      <c r="F28" s="76">
        <v>0.87</v>
      </c>
    </row>
    <row r="29" spans="2:20" x14ac:dyDescent="0.25">
      <c r="B29" s="77" t="s">
        <v>832</v>
      </c>
      <c r="C29" s="68">
        <v>5</v>
      </c>
      <c r="D29" s="68">
        <v>12</v>
      </c>
      <c r="E29" s="69">
        <v>1.2</v>
      </c>
      <c r="F29" s="76">
        <v>0.87</v>
      </c>
    </row>
    <row r="30" spans="2:20" x14ac:dyDescent="0.25">
      <c r="B30" s="77" t="s">
        <v>833</v>
      </c>
      <c r="C30" s="68">
        <v>5</v>
      </c>
      <c r="D30" s="68">
        <v>12</v>
      </c>
      <c r="E30" s="76">
        <v>0.93</v>
      </c>
      <c r="F30" s="76">
        <v>0.87</v>
      </c>
    </row>
    <row r="31" spans="2:20" x14ac:dyDescent="0.25">
      <c r="B31" s="77" t="s">
        <v>509</v>
      </c>
      <c r="C31" s="68">
        <v>5</v>
      </c>
      <c r="D31" s="68">
        <v>12</v>
      </c>
      <c r="E31" s="76">
        <v>0.93</v>
      </c>
      <c r="F31" s="76">
        <v>0.87</v>
      </c>
    </row>
    <row r="32" spans="2:20" x14ac:dyDescent="0.25">
      <c r="B32" s="77" t="s">
        <v>834</v>
      </c>
      <c r="C32" s="68">
        <v>7.5</v>
      </c>
      <c r="D32" s="68">
        <v>13.5</v>
      </c>
      <c r="E32" s="76">
        <v>0.72</v>
      </c>
      <c r="F32" s="76">
        <v>0.73</v>
      </c>
    </row>
    <row r="33" spans="2:6" x14ac:dyDescent="0.25">
      <c r="B33" s="77" t="s">
        <v>296</v>
      </c>
      <c r="C33" s="68">
        <v>5</v>
      </c>
      <c r="D33" s="68">
        <v>12</v>
      </c>
      <c r="E33" s="76">
        <v>0.72</v>
      </c>
      <c r="F33" s="76">
        <v>0.84</v>
      </c>
    </row>
    <row r="34" spans="2:6" x14ac:dyDescent="0.25">
      <c r="B34" s="63"/>
    </row>
  </sheetData>
  <sheetProtection algorithmName="SHA-512" hashValue="TY+LVOUPqf9sXliGqJEGwXpSePdzBUBdOe6VhM7r42xaxd2IIKPZa5wmk+vo9eyhqMZj9sIJF18eMEvRfyazJQ==" saltValue="m1J6pf4JHTRP8Ilsrp/DLQ==" spinCount="100000" sheet="1" objects="1" scenarios="1"/>
  <mergeCells count="8">
    <mergeCell ref="J4:N4"/>
    <mergeCell ref="J9:N9"/>
    <mergeCell ref="J16:N16"/>
    <mergeCell ref="J21:N21"/>
    <mergeCell ref="P4:T4"/>
    <mergeCell ref="P9:T9"/>
    <mergeCell ref="P16:T16"/>
    <mergeCell ref="P21:T21"/>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E620D-B444-4140-853A-F1EBA20FE8D3}">
  <sheetPr>
    <tabColor theme="5"/>
  </sheetPr>
  <dimension ref="B1:O423"/>
  <sheetViews>
    <sheetView workbookViewId="0">
      <selection activeCell="P16" sqref="A16:P16"/>
    </sheetView>
  </sheetViews>
  <sheetFormatPr defaultColWidth="9.140625" defaultRowHeight="15" x14ac:dyDescent="0.25"/>
  <cols>
    <col min="1" max="1" width="3.5703125" style="100" customWidth="1"/>
    <col min="2" max="2" width="21.5703125" style="100" bestFit="1" customWidth="1"/>
    <col min="3" max="3" width="13.7109375" style="100" bestFit="1" customWidth="1"/>
    <col min="4" max="4" width="20.140625" style="100" bestFit="1" customWidth="1"/>
    <col min="5" max="5" width="13.140625" style="101" bestFit="1" customWidth="1"/>
    <col min="6" max="6" width="11.85546875" style="101" bestFit="1" customWidth="1"/>
    <col min="7" max="7" width="15.28515625" style="101" bestFit="1" customWidth="1"/>
    <col min="8" max="8" width="6.42578125" style="100" customWidth="1"/>
    <col min="9" max="9" width="54.28515625" style="100" bestFit="1" customWidth="1"/>
    <col min="10" max="10" width="13.140625" style="101" bestFit="1" customWidth="1"/>
    <col min="11" max="11" width="11.85546875" style="101" bestFit="1" customWidth="1"/>
    <col min="12" max="12" width="15.28515625" style="101" bestFit="1" customWidth="1"/>
    <col min="13" max="13" width="1" style="100" customWidth="1"/>
    <col min="14" max="14" width="8" style="100" customWidth="1"/>
    <col min="15" max="15" width="14.85546875" style="100" customWidth="1"/>
    <col min="16" max="16384" width="9.140625" style="100"/>
  </cols>
  <sheetData>
    <row r="1" spans="2:15" x14ac:dyDescent="0.25">
      <c r="B1" s="293" t="s">
        <v>835</v>
      </c>
      <c r="C1" s="294"/>
      <c r="D1" s="168"/>
      <c r="E1" s="168"/>
      <c r="F1" s="168"/>
      <c r="G1" s="168"/>
      <c r="H1" s="168"/>
      <c r="J1" s="170"/>
      <c r="K1" s="170"/>
      <c r="L1" s="170"/>
    </row>
    <row r="2" spans="2:15" ht="15.75" thickBot="1" x14ac:dyDescent="0.3">
      <c r="H2" s="168"/>
      <c r="I2" s="101">
        <v>1</v>
      </c>
      <c r="J2" s="195">
        <v>2</v>
      </c>
      <c r="K2" s="195">
        <v>3</v>
      </c>
      <c r="L2" s="195">
        <v>4</v>
      </c>
    </row>
    <row r="3" spans="2:15" ht="15.75" thickBot="1" x14ac:dyDescent="0.3">
      <c r="B3" s="196" t="s">
        <v>250</v>
      </c>
      <c r="C3" s="197" t="s">
        <v>445</v>
      </c>
      <c r="D3" s="198" t="s">
        <v>426</v>
      </c>
      <c r="E3" s="199" t="s">
        <v>836</v>
      </c>
      <c r="F3" s="199" t="s">
        <v>837</v>
      </c>
      <c r="G3" s="200" t="s">
        <v>838</v>
      </c>
      <c r="H3" s="169"/>
      <c r="I3" s="196" t="str">
        <f>B3&amp;", "&amp;C3&amp;", "&amp;D3</f>
        <v>Building Type, Climate, System</v>
      </c>
      <c r="J3" s="199" t="s">
        <v>836</v>
      </c>
      <c r="K3" s="199" t="s">
        <v>837</v>
      </c>
      <c r="L3" s="200" t="s">
        <v>838</v>
      </c>
    </row>
    <row r="4" spans="2:15" x14ac:dyDescent="0.25">
      <c r="B4" s="171" t="s">
        <v>257</v>
      </c>
      <c r="C4" s="172" t="s">
        <v>839</v>
      </c>
      <c r="D4" s="193" t="s">
        <v>428</v>
      </c>
      <c r="E4" s="174">
        <v>2222</v>
      </c>
      <c r="F4" s="175">
        <v>0.156</v>
      </c>
      <c r="G4" s="176">
        <v>0</v>
      </c>
      <c r="H4" s="169"/>
      <c r="I4" s="252" t="str">
        <f>B4&amp;C4&amp;D4</f>
        <v>AssemblyAlbanyAC With Electric Heat</v>
      </c>
      <c r="J4" s="253">
        <v>2222</v>
      </c>
      <c r="K4" s="254">
        <v>0.156</v>
      </c>
      <c r="L4" s="255">
        <v>0</v>
      </c>
      <c r="O4" s="100" t="str">
        <f>B4</f>
        <v>Assembly</v>
      </c>
    </row>
    <row r="5" spans="2:15" x14ac:dyDescent="0.25">
      <c r="B5" s="177" t="s">
        <v>257</v>
      </c>
      <c r="C5" s="178" t="s">
        <v>839</v>
      </c>
      <c r="D5" s="179" t="s">
        <v>434</v>
      </c>
      <c r="E5" s="180">
        <v>270</v>
      </c>
      <c r="F5" s="181">
        <v>0.156</v>
      </c>
      <c r="G5" s="182">
        <v>86.5</v>
      </c>
      <c r="H5" s="169"/>
      <c r="I5" s="177" t="str">
        <f t="shared" ref="I5:I68" si="0">B5&amp;C5&amp;D5</f>
        <v>AssemblyAlbanyAC With Fuel Heat</v>
      </c>
      <c r="J5" s="180">
        <v>270</v>
      </c>
      <c r="K5" s="181">
        <v>0.156</v>
      </c>
      <c r="L5" s="182">
        <v>86.5</v>
      </c>
      <c r="O5" s="100" t="str">
        <f>B39</f>
        <v>Big Box Retail</v>
      </c>
    </row>
    <row r="6" spans="2:15" x14ac:dyDescent="0.25">
      <c r="B6" s="177" t="s">
        <v>257</v>
      </c>
      <c r="C6" s="178" t="s">
        <v>839</v>
      </c>
      <c r="D6" s="194" t="s">
        <v>435</v>
      </c>
      <c r="E6" s="183">
        <v>1951</v>
      </c>
      <c r="F6" s="181">
        <v>0.156</v>
      </c>
      <c r="G6" s="182">
        <v>0</v>
      </c>
      <c r="H6" s="169"/>
      <c r="I6" s="177" t="str">
        <f t="shared" si="0"/>
        <v>AssemblyAlbanyAir Source Heat Pump</v>
      </c>
      <c r="J6" s="183">
        <v>1951</v>
      </c>
      <c r="K6" s="181">
        <v>0.156</v>
      </c>
      <c r="L6" s="182">
        <v>0</v>
      </c>
      <c r="O6" s="100" t="str">
        <f>B74</f>
        <v>Fast Food Restaurant</v>
      </c>
    </row>
    <row r="7" spans="2:15" x14ac:dyDescent="0.25">
      <c r="B7" s="177" t="s">
        <v>257</v>
      </c>
      <c r="C7" s="178" t="s">
        <v>839</v>
      </c>
      <c r="D7" s="194" t="s">
        <v>436</v>
      </c>
      <c r="E7" s="183">
        <v>1992</v>
      </c>
      <c r="F7" s="181">
        <v>0</v>
      </c>
      <c r="G7" s="182">
        <v>0</v>
      </c>
      <c r="H7" s="169"/>
      <c r="I7" s="177" t="str">
        <f t="shared" si="0"/>
        <v>AssemblyAlbanyElectric Heat Only</v>
      </c>
      <c r="J7" s="183">
        <v>1992</v>
      </c>
      <c r="K7" s="181">
        <v>0</v>
      </c>
      <c r="L7" s="182">
        <v>0</v>
      </c>
      <c r="O7" s="100" t="str">
        <f>B109</f>
        <v>Full Service Restaurant</v>
      </c>
    </row>
    <row r="8" spans="2:15" x14ac:dyDescent="0.25">
      <c r="B8" s="177" t="s">
        <v>257</v>
      </c>
      <c r="C8" s="178" t="s">
        <v>839</v>
      </c>
      <c r="D8" s="194" t="s">
        <v>437</v>
      </c>
      <c r="E8" s="180">
        <v>0</v>
      </c>
      <c r="F8" s="181">
        <v>0</v>
      </c>
      <c r="G8" s="182">
        <v>86.5</v>
      </c>
      <c r="H8" s="169"/>
      <c r="I8" s="177" t="str">
        <f t="shared" si="0"/>
        <v>AssemblyAlbanyFuel Heat Only</v>
      </c>
      <c r="J8" s="180">
        <v>0</v>
      </c>
      <c r="K8" s="181">
        <v>0</v>
      </c>
      <c r="L8" s="182">
        <v>86.5</v>
      </c>
      <c r="O8" s="100" t="str">
        <f>B144</f>
        <v>Grocery</v>
      </c>
    </row>
    <row r="9" spans="2:15" x14ac:dyDescent="0.25">
      <c r="B9" s="177" t="s">
        <v>257</v>
      </c>
      <c r="C9" s="178" t="s">
        <v>840</v>
      </c>
      <c r="D9" s="179" t="s">
        <v>428</v>
      </c>
      <c r="E9" s="183">
        <v>2345</v>
      </c>
      <c r="F9" s="181">
        <v>0.156</v>
      </c>
      <c r="G9" s="182">
        <v>0</v>
      </c>
      <c r="H9" s="169"/>
      <c r="I9" s="177" t="str">
        <f t="shared" si="0"/>
        <v>AssemblyBinghamtonAC With Electric Heat</v>
      </c>
      <c r="J9" s="183">
        <v>2345</v>
      </c>
      <c r="K9" s="181">
        <v>0.156</v>
      </c>
      <c r="L9" s="182">
        <v>0</v>
      </c>
      <c r="O9" s="100" t="str">
        <f>B179</f>
        <v>Light Industrial</v>
      </c>
    </row>
    <row r="10" spans="2:15" x14ac:dyDescent="0.25">
      <c r="B10" s="177" t="s">
        <v>257</v>
      </c>
      <c r="C10" s="178" t="s">
        <v>840</v>
      </c>
      <c r="D10" s="179" t="s">
        <v>434</v>
      </c>
      <c r="E10" s="180">
        <v>220</v>
      </c>
      <c r="F10" s="181">
        <v>0.156</v>
      </c>
      <c r="G10" s="182">
        <v>96.6</v>
      </c>
      <c r="H10" s="169"/>
      <c r="I10" s="177" t="str">
        <f t="shared" si="0"/>
        <v>AssemblyBinghamtonAC With Fuel Heat</v>
      </c>
      <c r="J10" s="180">
        <v>220</v>
      </c>
      <c r="K10" s="181">
        <v>0.156</v>
      </c>
      <c r="L10" s="182">
        <v>96.6</v>
      </c>
      <c r="O10" s="100" t="str">
        <f>B214</f>
        <v>Motel</v>
      </c>
    </row>
    <row r="11" spans="2:15" x14ac:dyDescent="0.25">
      <c r="B11" s="177" t="s">
        <v>257</v>
      </c>
      <c r="C11" s="178" t="s">
        <v>840</v>
      </c>
      <c r="D11" s="179" t="s">
        <v>435</v>
      </c>
      <c r="E11" s="183">
        <v>2278</v>
      </c>
      <c r="F11" s="181">
        <v>0.156</v>
      </c>
      <c r="G11" s="182">
        <v>0</v>
      </c>
      <c r="H11" s="169"/>
      <c r="I11" s="177" t="str">
        <f t="shared" si="0"/>
        <v>AssemblyBinghamtonAir Source Heat Pump</v>
      </c>
      <c r="J11" s="183">
        <v>2278</v>
      </c>
      <c r="K11" s="181">
        <v>0.156</v>
      </c>
      <c r="L11" s="182">
        <v>0</v>
      </c>
      <c r="O11" s="100" t="str">
        <f>B249</f>
        <v>Primary School</v>
      </c>
    </row>
    <row r="12" spans="2:15" x14ac:dyDescent="0.25">
      <c r="B12" s="177" t="s">
        <v>257</v>
      </c>
      <c r="C12" s="178" t="s">
        <v>840</v>
      </c>
      <c r="D12" s="179" t="s">
        <v>436</v>
      </c>
      <c r="E12" s="183">
        <v>2163</v>
      </c>
      <c r="F12" s="181">
        <v>0</v>
      </c>
      <c r="G12" s="182">
        <v>0</v>
      </c>
      <c r="H12" s="169"/>
      <c r="I12" s="177" t="str">
        <f t="shared" si="0"/>
        <v>AssemblyBinghamtonElectric Heat Only</v>
      </c>
      <c r="J12" s="183">
        <v>2163</v>
      </c>
      <c r="K12" s="181">
        <v>0</v>
      </c>
      <c r="L12" s="182">
        <v>0</v>
      </c>
      <c r="O12" s="100" t="str">
        <f>B284</f>
        <v>Religious Worship</v>
      </c>
    </row>
    <row r="13" spans="2:15" x14ac:dyDescent="0.25">
      <c r="B13" s="177" t="s">
        <v>257</v>
      </c>
      <c r="C13" s="178" t="s">
        <v>840</v>
      </c>
      <c r="D13" s="179" t="s">
        <v>437</v>
      </c>
      <c r="E13" s="180">
        <v>0</v>
      </c>
      <c r="F13" s="181">
        <v>0</v>
      </c>
      <c r="G13" s="182">
        <v>96.6</v>
      </c>
      <c r="H13" s="169"/>
      <c r="I13" s="177" t="str">
        <f t="shared" si="0"/>
        <v>AssemblyBinghamtonFuel Heat Only</v>
      </c>
      <c r="J13" s="180">
        <v>0</v>
      </c>
      <c r="K13" s="181">
        <v>0</v>
      </c>
      <c r="L13" s="182">
        <v>96.6</v>
      </c>
      <c r="O13" s="100" t="str">
        <f>B319</f>
        <v>Small Office</v>
      </c>
    </row>
    <row r="14" spans="2:15" x14ac:dyDescent="0.25">
      <c r="B14" s="177" t="s">
        <v>257</v>
      </c>
      <c r="C14" s="178" t="s">
        <v>841</v>
      </c>
      <c r="D14" s="179" t="s">
        <v>428</v>
      </c>
      <c r="E14" s="183">
        <v>2169</v>
      </c>
      <c r="F14" s="181">
        <v>0.156</v>
      </c>
      <c r="G14" s="182">
        <v>0</v>
      </c>
      <c r="H14" s="169"/>
      <c r="I14" s="177" t="str">
        <f t="shared" si="0"/>
        <v>AssemblyBuffaloAC With Electric Heat</v>
      </c>
      <c r="J14" s="183">
        <v>2169</v>
      </c>
      <c r="K14" s="181">
        <v>0.156</v>
      </c>
      <c r="L14" s="182">
        <v>0</v>
      </c>
      <c r="O14" s="100" t="str">
        <f>B354</f>
        <v>Small Retail</v>
      </c>
    </row>
    <row r="15" spans="2:15" x14ac:dyDescent="0.25">
      <c r="B15" s="177" t="s">
        <v>257</v>
      </c>
      <c r="C15" s="178" t="s">
        <v>841</v>
      </c>
      <c r="D15" s="179" t="s">
        <v>434</v>
      </c>
      <c r="E15" s="180">
        <v>235</v>
      </c>
      <c r="F15" s="181">
        <v>0.156</v>
      </c>
      <c r="G15" s="182">
        <v>88.2</v>
      </c>
      <c r="H15" s="169"/>
      <c r="I15" s="177" t="str">
        <f t="shared" si="0"/>
        <v>AssemblyBuffaloAC With Fuel Heat</v>
      </c>
      <c r="J15" s="180">
        <v>235</v>
      </c>
      <c r="K15" s="181">
        <v>0.156</v>
      </c>
      <c r="L15" s="182">
        <v>88.2</v>
      </c>
      <c r="O15" s="100" t="str">
        <f>B389</f>
        <v>Warehouse</v>
      </c>
    </row>
    <row r="16" spans="2:15" x14ac:dyDescent="0.25">
      <c r="B16" s="177" t="s">
        <v>257</v>
      </c>
      <c r="C16" s="178" t="s">
        <v>841</v>
      </c>
      <c r="D16" s="179" t="s">
        <v>435</v>
      </c>
      <c r="E16" s="183">
        <v>1703</v>
      </c>
      <c r="F16" s="181">
        <v>0.156</v>
      </c>
      <c r="G16" s="182">
        <v>0</v>
      </c>
      <c r="H16" s="169"/>
      <c r="I16" s="177" t="str">
        <f t="shared" si="0"/>
        <v>AssemblyBuffaloAir Source Heat Pump</v>
      </c>
      <c r="J16" s="183">
        <v>1703</v>
      </c>
      <c r="K16" s="181">
        <v>0.156</v>
      </c>
      <c r="L16" s="182">
        <v>0</v>
      </c>
    </row>
    <row r="17" spans="2:12" x14ac:dyDescent="0.25">
      <c r="B17" s="177" t="s">
        <v>257</v>
      </c>
      <c r="C17" s="178" t="s">
        <v>841</v>
      </c>
      <c r="D17" s="179" t="s">
        <v>436</v>
      </c>
      <c r="E17" s="183">
        <v>1985</v>
      </c>
      <c r="F17" s="181">
        <v>0</v>
      </c>
      <c r="G17" s="182">
        <v>0</v>
      </c>
      <c r="H17" s="169"/>
      <c r="I17" s="177" t="str">
        <f t="shared" si="0"/>
        <v>AssemblyBuffaloElectric Heat Only</v>
      </c>
      <c r="J17" s="183">
        <v>1985</v>
      </c>
      <c r="K17" s="181">
        <v>0</v>
      </c>
      <c r="L17" s="182">
        <v>0</v>
      </c>
    </row>
    <row r="18" spans="2:12" x14ac:dyDescent="0.25">
      <c r="B18" s="177" t="s">
        <v>257</v>
      </c>
      <c r="C18" s="178" t="s">
        <v>841</v>
      </c>
      <c r="D18" s="179" t="s">
        <v>437</v>
      </c>
      <c r="E18" s="180">
        <v>0</v>
      </c>
      <c r="F18" s="181">
        <v>0</v>
      </c>
      <c r="G18" s="182">
        <v>88.2</v>
      </c>
      <c r="H18" s="169"/>
      <c r="I18" s="177" t="str">
        <f t="shared" si="0"/>
        <v>AssemblyBuffaloFuel Heat Only</v>
      </c>
      <c r="J18" s="180">
        <v>0</v>
      </c>
      <c r="K18" s="181">
        <v>0</v>
      </c>
      <c r="L18" s="182">
        <v>88.2</v>
      </c>
    </row>
    <row r="19" spans="2:12" x14ac:dyDescent="0.25">
      <c r="B19" s="177" t="s">
        <v>257</v>
      </c>
      <c r="C19" s="178" t="s">
        <v>842</v>
      </c>
      <c r="D19" s="179" t="s">
        <v>428</v>
      </c>
      <c r="E19" s="183">
        <v>4296</v>
      </c>
      <c r="F19" s="181">
        <v>0.156</v>
      </c>
      <c r="G19" s="182">
        <v>0</v>
      </c>
      <c r="H19" s="169"/>
      <c r="I19" s="177" t="str">
        <f t="shared" si="0"/>
        <v>AssemblyMassenaAC With Electric Heat</v>
      </c>
      <c r="J19" s="183">
        <v>4296</v>
      </c>
      <c r="K19" s="181">
        <v>0.156</v>
      </c>
      <c r="L19" s="182">
        <v>0</v>
      </c>
    </row>
    <row r="20" spans="2:12" x14ac:dyDescent="0.25">
      <c r="B20" s="177" t="s">
        <v>257</v>
      </c>
      <c r="C20" s="178" t="s">
        <v>842</v>
      </c>
      <c r="D20" s="179" t="s">
        <v>434</v>
      </c>
      <c r="E20" s="180">
        <v>304</v>
      </c>
      <c r="F20" s="181">
        <v>0.156</v>
      </c>
      <c r="G20" s="182">
        <v>182.9</v>
      </c>
      <c r="H20" s="169"/>
      <c r="I20" s="177" t="str">
        <f t="shared" si="0"/>
        <v>AssemblyMassenaAC With Fuel Heat</v>
      </c>
      <c r="J20" s="180">
        <v>304</v>
      </c>
      <c r="K20" s="181">
        <v>0.156</v>
      </c>
      <c r="L20" s="182">
        <v>182.9</v>
      </c>
    </row>
    <row r="21" spans="2:12" x14ac:dyDescent="0.25">
      <c r="B21" s="177" t="s">
        <v>257</v>
      </c>
      <c r="C21" s="178" t="s">
        <v>842</v>
      </c>
      <c r="D21" s="179" t="s">
        <v>435</v>
      </c>
      <c r="E21" s="183">
        <v>3878</v>
      </c>
      <c r="F21" s="181">
        <v>0.156</v>
      </c>
      <c r="G21" s="182">
        <v>0</v>
      </c>
      <c r="H21" s="169"/>
      <c r="I21" s="177" t="str">
        <f t="shared" si="0"/>
        <v>AssemblyMassenaAir Source Heat Pump</v>
      </c>
      <c r="J21" s="183">
        <v>3878</v>
      </c>
      <c r="K21" s="181">
        <v>0.156</v>
      </c>
      <c r="L21" s="182">
        <v>0</v>
      </c>
    </row>
    <row r="22" spans="2:12" x14ac:dyDescent="0.25">
      <c r="B22" s="177" t="s">
        <v>257</v>
      </c>
      <c r="C22" s="178" t="s">
        <v>842</v>
      </c>
      <c r="D22" s="179" t="s">
        <v>436</v>
      </c>
      <c r="E22" s="183">
        <v>4083</v>
      </c>
      <c r="F22" s="181">
        <v>0</v>
      </c>
      <c r="G22" s="182">
        <v>0</v>
      </c>
      <c r="H22" s="169"/>
      <c r="I22" s="177" t="str">
        <f t="shared" si="0"/>
        <v>AssemblyMassenaElectric Heat Only</v>
      </c>
      <c r="J22" s="183">
        <v>4083</v>
      </c>
      <c r="K22" s="181">
        <v>0</v>
      </c>
      <c r="L22" s="182">
        <v>0</v>
      </c>
    </row>
    <row r="23" spans="2:12" x14ac:dyDescent="0.25">
      <c r="B23" s="177" t="s">
        <v>257</v>
      </c>
      <c r="C23" s="178" t="s">
        <v>842</v>
      </c>
      <c r="D23" s="179" t="s">
        <v>437</v>
      </c>
      <c r="E23" s="180">
        <v>0</v>
      </c>
      <c r="F23" s="181">
        <v>0</v>
      </c>
      <c r="G23" s="182">
        <v>182.9</v>
      </c>
      <c r="H23" s="169"/>
      <c r="I23" s="177" t="str">
        <f t="shared" si="0"/>
        <v>AssemblyMassenaFuel Heat Only</v>
      </c>
      <c r="J23" s="180">
        <v>0</v>
      </c>
      <c r="K23" s="181">
        <v>0</v>
      </c>
      <c r="L23" s="182">
        <v>182.9</v>
      </c>
    </row>
    <row r="24" spans="2:12" x14ac:dyDescent="0.25">
      <c r="B24" s="177" t="s">
        <v>257</v>
      </c>
      <c r="C24" s="178" t="s">
        <v>843</v>
      </c>
      <c r="D24" s="179" t="s">
        <v>428</v>
      </c>
      <c r="E24" s="183">
        <v>1048</v>
      </c>
      <c r="F24" s="181">
        <v>0.156</v>
      </c>
      <c r="G24" s="182">
        <v>0</v>
      </c>
      <c r="H24" s="169"/>
      <c r="I24" s="177" t="str">
        <f t="shared" si="0"/>
        <v>AssemblyNYCAC With Electric Heat</v>
      </c>
      <c r="J24" s="183">
        <v>1048</v>
      </c>
      <c r="K24" s="181">
        <v>0.156</v>
      </c>
      <c r="L24" s="182">
        <v>0</v>
      </c>
    </row>
    <row r="25" spans="2:12" x14ac:dyDescent="0.25">
      <c r="B25" s="177" t="s">
        <v>257</v>
      </c>
      <c r="C25" s="178" t="s">
        <v>843</v>
      </c>
      <c r="D25" s="179" t="s">
        <v>434</v>
      </c>
      <c r="E25" s="180">
        <v>389</v>
      </c>
      <c r="F25" s="181">
        <v>0.156</v>
      </c>
      <c r="G25" s="182">
        <v>30.1</v>
      </c>
      <c r="H25" s="169"/>
      <c r="I25" s="177" t="str">
        <f t="shared" si="0"/>
        <v>AssemblyNYCAC With Fuel Heat</v>
      </c>
      <c r="J25" s="180">
        <v>389</v>
      </c>
      <c r="K25" s="181">
        <v>0.156</v>
      </c>
      <c r="L25" s="182">
        <v>30.1</v>
      </c>
    </row>
    <row r="26" spans="2:12" x14ac:dyDescent="0.25">
      <c r="B26" s="177" t="s">
        <v>257</v>
      </c>
      <c r="C26" s="178" t="s">
        <v>843</v>
      </c>
      <c r="D26" s="179" t="s">
        <v>435</v>
      </c>
      <c r="E26" s="180">
        <v>825</v>
      </c>
      <c r="F26" s="181">
        <v>0.156</v>
      </c>
      <c r="G26" s="182">
        <v>0</v>
      </c>
      <c r="H26" s="169"/>
      <c r="I26" s="177" t="str">
        <f t="shared" si="0"/>
        <v>AssemblyNYCAir Source Heat Pump</v>
      </c>
      <c r="J26" s="180">
        <v>825</v>
      </c>
      <c r="K26" s="181">
        <v>0.156</v>
      </c>
      <c r="L26" s="182">
        <v>0</v>
      </c>
    </row>
    <row r="27" spans="2:12" x14ac:dyDescent="0.25">
      <c r="B27" s="177" t="s">
        <v>257</v>
      </c>
      <c r="C27" s="178" t="s">
        <v>843</v>
      </c>
      <c r="D27" s="179" t="s">
        <v>436</v>
      </c>
      <c r="E27" s="180">
        <v>714</v>
      </c>
      <c r="F27" s="181">
        <v>0</v>
      </c>
      <c r="G27" s="182">
        <v>0</v>
      </c>
      <c r="H27" s="169"/>
      <c r="I27" s="177" t="str">
        <f t="shared" si="0"/>
        <v>AssemblyNYCElectric Heat Only</v>
      </c>
      <c r="J27" s="180">
        <v>714</v>
      </c>
      <c r="K27" s="181">
        <v>0</v>
      </c>
      <c r="L27" s="182">
        <v>0</v>
      </c>
    </row>
    <row r="28" spans="2:12" x14ac:dyDescent="0.25">
      <c r="B28" s="177" t="s">
        <v>257</v>
      </c>
      <c r="C28" s="178" t="s">
        <v>843</v>
      </c>
      <c r="D28" s="179" t="s">
        <v>437</v>
      </c>
      <c r="E28" s="180">
        <v>0</v>
      </c>
      <c r="F28" s="181">
        <v>0</v>
      </c>
      <c r="G28" s="182">
        <v>30.1</v>
      </c>
      <c r="H28" s="169"/>
      <c r="I28" s="177" t="str">
        <f t="shared" si="0"/>
        <v>AssemblyNYCFuel Heat Only</v>
      </c>
      <c r="J28" s="180">
        <v>0</v>
      </c>
      <c r="K28" s="181">
        <v>0</v>
      </c>
      <c r="L28" s="182">
        <v>30.1</v>
      </c>
    </row>
    <row r="29" spans="2:12" x14ac:dyDescent="0.25">
      <c r="B29" s="177" t="s">
        <v>257</v>
      </c>
      <c r="C29" s="178" t="s">
        <v>844</v>
      </c>
      <c r="D29" s="179" t="s">
        <v>428</v>
      </c>
      <c r="E29" s="183">
        <v>2053</v>
      </c>
      <c r="F29" s="181">
        <v>0.156</v>
      </c>
      <c r="G29" s="182">
        <v>0</v>
      </c>
      <c r="H29" s="169"/>
      <c r="I29" s="177" t="str">
        <f t="shared" si="0"/>
        <v>AssemblyPoughkeepsieAC With Electric Heat</v>
      </c>
      <c r="J29" s="183">
        <v>2053</v>
      </c>
      <c r="K29" s="181">
        <v>0.156</v>
      </c>
      <c r="L29" s="182">
        <v>0</v>
      </c>
    </row>
    <row r="30" spans="2:12" x14ac:dyDescent="0.25">
      <c r="B30" s="177" t="s">
        <v>257</v>
      </c>
      <c r="C30" s="178" t="s">
        <v>844</v>
      </c>
      <c r="D30" s="179" t="s">
        <v>434</v>
      </c>
      <c r="E30" s="180">
        <v>262</v>
      </c>
      <c r="F30" s="181">
        <v>0.156</v>
      </c>
      <c r="G30" s="182">
        <v>83.4</v>
      </c>
      <c r="H30" s="169"/>
      <c r="I30" s="177" t="str">
        <f t="shared" si="0"/>
        <v>AssemblyPoughkeepsieAC With Fuel Heat</v>
      </c>
      <c r="J30" s="180">
        <v>262</v>
      </c>
      <c r="K30" s="181">
        <v>0.156</v>
      </c>
      <c r="L30" s="182">
        <v>83.4</v>
      </c>
    </row>
    <row r="31" spans="2:12" x14ac:dyDescent="0.25">
      <c r="B31" s="177" t="s">
        <v>257</v>
      </c>
      <c r="C31" s="178" t="s">
        <v>844</v>
      </c>
      <c r="D31" s="179" t="s">
        <v>435</v>
      </c>
      <c r="E31" s="183">
        <v>1861</v>
      </c>
      <c r="F31" s="181">
        <v>0.156</v>
      </c>
      <c r="G31" s="182">
        <v>0</v>
      </c>
      <c r="H31" s="169"/>
      <c r="I31" s="177" t="str">
        <f t="shared" si="0"/>
        <v>AssemblyPoughkeepsieAir Source Heat Pump</v>
      </c>
      <c r="J31" s="183">
        <v>1861</v>
      </c>
      <c r="K31" s="181">
        <v>0.156</v>
      </c>
      <c r="L31" s="182">
        <v>0</v>
      </c>
    </row>
    <row r="32" spans="2:12" x14ac:dyDescent="0.25">
      <c r="B32" s="177" t="s">
        <v>257</v>
      </c>
      <c r="C32" s="178" t="s">
        <v>844</v>
      </c>
      <c r="D32" s="179" t="s">
        <v>436</v>
      </c>
      <c r="E32" s="183">
        <v>1843</v>
      </c>
      <c r="F32" s="181">
        <v>0</v>
      </c>
      <c r="G32" s="182">
        <v>0</v>
      </c>
      <c r="H32" s="169"/>
      <c r="I32" s="177" t="str">
        <f t="shared" si="0"/>
        <v>AssemblyPoughkeepsieElectric Heat Only</v>
      </c>
      <c r="J32" s="183">
        <v>1843</v>
      </c>
      <c r="K32" s="181">
        <v>0</v>
      </c>
      <c r="L32" s="182">
        <v>0</v>
      </c>
    </row>
    <row r="33" spans="2:12" x14ac:dyDescent="0.25">
      <c r="B33" s="177" t="s">
        <v>257</v>
      </c>
      <c r="C33" s="178" t="s">
        <v>844</v>
      </c>
      <c r="D33" s="179" t="s">
        <v>437</v>
      </c>
      <c r="E33" s="180">
        <v>0</v>
      </c>
      <c r="F33" s="181">
        <v>0</v>
      </c>
      <c r="G33" s="182">
        <v>83.4</v>
      </c>
      <c r="H33" s="169"/>
      <c r="I33" s="177" t="str">
        <f t="shared" si="0"/>
        <v>AssemblyPoughkeepsieFuel Heat Only</v>
      </c>
      <c r="J33" s="180">
        <v>0</v>
      </c>
      <c r="K33" s="181">
        <v>0</v>
      </c>
      <c r="L33" s="182">
        <v>83.4</v>
      </c>
    </row>
    <row r="34" spans="2:12" x14ac:dyDescent="0.25">
      <c r="B34" s="177" t="s">
        <v>257</v>
      </c>
      <c r="C34" s="178" t="s">
        <v>845</v>
      </c>
      <c r="D34" s="179" t="s">
        <v>428</v>
      </c>
      <c r="E34" s="183">
        <v>1775</v>
      </c>
      <c r="F34" s="181">
        <v>0.156</v>
      </c>
      <c r="G34" s="182">
        <v>0</v>
      </c>
      <c r="H34" s="169"/>
      <c r="I34" s="177" t="str">
        <f t="shared" si="0"/>
        <v>AssemblySyracuseAC With Electric Heat</v>
      </c>
      <c r="J34" s="183">
        <v>1775</v>
      </c>
      <c r="K34" s="181">
        <v>0.156</v>
      </c>
      <c r="L34" s="182">
        <v>0</v>
      </c>
    </row>
    <row r="35" spans="2:12" x14ac:dyDescent="0.25">
      <c r="B35" s="177" t="s">
        <v>257</v>
      </c>
      <c r="C35" s="178" t="s">
        <v>845</v>
      </c>
      <c r="D35" s="179" t="s">
        <v>434</v>
      </c>
      <c r="E35" s="180">
        <v>267</v>
      </c>
      <c r="F35" s="181">
        <v>0.156</v>
      </c>
      <c r="G35" s="182">
        <v>68.7</v>
      </c>
      <c r="H35" s="169"/>
      <c r="I35" s="177" t="str">
        <f t="shared" si="0"/>
        <v>AssemblySyracuseAC With Fuel Heat</v>
      </c>
      <c r="J35" s="180">
        <v>267</v>
      </c>
      <c r="K35" s="181">
        <v>0.156</v>
      </c>
      <c r="L35" s="182">
        <v>68.7</v>
      </c>
    </row>
    <row r="36" spans="2:12" x14ac:dyDescent="0.25">
      <c r="B36" s="177" t="s">
        <v>257</v>
      </c>
      <c r="C36" s="178" t="s">
        <v>845</v>
      </c>
      <c r="D36" s="179" t="s">
        <v>435</v>
      </c>
      <c r="E36" s="183">
        <v>1852</v>
      </c>
      <c r="F36" s="181">
        <v>0.156</v>
      </c>
      <c r="G36" s="182">
        <v>0</v>
      </c>
      <c r="H36" s="169"/>
      <c r="I36" s="177" t="str">
        <f t="shared" si="0"/>
        <v>AssemblySyracuseAir Source Heat Pump</v>
      </c>
      <c r="J36" s="183">
        <v>1852</v>
      </c>
      <c r="K36" s="181">
        <v>0.156</v>
      </c>
      <c r="L36" s="182">
        <v>0</v>
      </c>
    </row>
    <row r="37" spans="2:12" x14ac:dyDescent="0.25">
      <c r="B37" s="177" t="s">
        <v>257</v>
      </c>
      <c r="C37" s="178" t="s">
        <v>845</v>
      </c>
      <c r="D37" s="179" t="s">
        <v>436</v>
      </c>
      <c r="E37" s="183">
        <v>1541</v>
      </c>
      <c r="F37" s="181">
        <v>0</v>
      </c>
      <c r="G37" s="182">
        <v>0</v>
      </c>
      <c r="H37" s="169"/>
      <c r="I37" s="177" t="str">
        <f t="shared" si="0"/>
        <v>AssemblySyracuseElectric Heat Only</v>
      </c>
      <c r="J37" s="183">
        <v>1541</v>
      </c>
      <c r="K37" s="181">
        <v>0</v>
      </c>
      <c r="L37" s="182">
        <v>0</v>
      </c>
    </row>
    <row r="38" spans="2:12" ht="15.75" thickBot="1" x14ac:dyDescent="0.3">
      <c r="B38" s="184" t="s">
        <v>257</v>
      </c>
      <c r="C38" s="185" t="s">
        <v>845</v>
      </c>
      <c r="D38" s="186" t="s">
        <v>437</v>
      </c>
      <c r="E38" s="187">
        <v>0</v>
      </c>
      <c r="F38" s="188">
        <v>0</v>
      </c>
      <c r="G38" s="189">
        <v>68.7</v>
      </c>
      <c r="H38" s="169"/>
      <c r="I38" s="184" t="str">
        <f t="shared" si="0"/>
        <v>AssemblySyracuseFuel Heat Only</v>
      </c>
      <c r="J38" s="187">
        <v>0</v>
      </c>
      <c r="K38" s="188">
        <v>0</v>
      </c>
      <c r="L38" s="189">
        <v>68.7</v>
      </c>
    </row>
    <row r="39" spans="2:12" x14ac:dyDescent="0.25">
      <c r="B39" s="171" t="s">
        <v>816</v>
      </c>
      <c r="C39" s="172" t="s">
        <v>839</v>
      </c>
      <c r="D39" s="173" t="s">
        <v>428</v>
      </c>
      <c r="E39" s="174">
        <v>1714</v>
      </c>
      <c r="F39" s="175">
        <v>0.156</v>
      </c>
      <c r="G39" s="190">
        <v>0</v>
      </c>
      <c r="H39" s="169"/>
      <c r="I39" s="171" t="str">
        <f t="shared" si="0"/>
        <v>Big Box RetailAlbanyAC With Electric Heat</v>
      </c>
      <c r="J39" s="174">
        <v>1714</v>
      </c>
      <c r="K39" s="175">
        <v>0.156</v>
      </c>
      <c r="L39" s="190">
        <v>0</v>
      </c>
    </row>
    <row r="40" spans="2:12" x14ac:dyDescent="0.25">
      <c r="B40" s="177" t="s">
        <v>816</v>
      </c>
      <c r="C40" s="178" t="s">
        <v>839</v>
      </c>
      <c r="D40" s="179" t="s">
        <v>434</v>
      </c>
      <c r="E40" s="180">
        <v>294</v>
      </c>
      <c r="F40" s="181">
        <v>0.156</v>
      </c>
      <c r="G40" s="191">
        <v>68.900000000000006</v>
      </c>
      <c r="H40" s="169"/>
      <c r="I40" s="177" t="str">
        <f t="shared" si="0"/>
        <v>Big Box RetailAlbanyAC With Fuel Heat</v>
      </c>
      <c r="J40" s="180">
        <v>294</v>
      </c>
      <c r="K40" s="181">
        <v>0.156</v>
      </c>
      <c r="L40" s="191">
        <v>68.900000000000006</v>
      </c>
    </row>
    <row r="41" spans="2:12" x14ac:dyDescent="0.25">
      <c r="B41" s="177" t="s">
        <v>816</v>
      </c>
      <c r="C41" s="178" t="s">
        <v>839</v>
      </c>
      <c r="D41" s="179" t="s">
        <v>435</v>
      </c>
      <c r="E41" s="183">
        <v>1520</v>
      </c>
      <c r="F41" s="181">
        <v>0.156</v>
      </c>
      <c r="G41" s="191">
        <v>0</v>
      </c>
      <c r="H41" s="169"/>
      <c r="I41" s="177" t="str">
        <f t="shared" si="0"/>
        <v>Big Box RetailAlbanyAir Source Heat Pump</v>
      </c>
      <c r="J41" s="183">
        <v>1520</v>
      </c>
      <c r="K41" s="181">
        <v>0.156</v>
      </c>
      <c r="L41" s="191">
        <v>0</v>
      </c>
    </row>
    <row r="42" spans="2:12" x14ac:dyDescent="0.25">
      <c r="B42" s="177" t="s">
        <v>816</v>
      </c>
      <c r="C42" s="178" t="s">
        <v>839</v>
      </c>
      <c r="D42" s="179" t="s">
        <v>436</v>
      </c>
      <c r="E42" s="183">
        <v>1563</v>
      </c>
      <c r="F42" s="181">
        <v>0</v>
      </c>
      <c r="G42" s="191">
        <v>0</v>
      </c>
      <c r="H42" s="169"/>
      <c r="I42" s="177" t="str">
        <f t="shared" si="0"/>
        <v>Big Box RetailAlbanyElectric Heat Only</v>
      </c>
      <c r="J42" s="183">
        <v>1563</v>
      </c>
      <c r="K42" s="181">
        <v>0</v>
      </c>
      <c r="L42" s="191">
        <v>0</v>
      </c>
    </row>
    <row r="43" spans="2:12" x14ac:dyDescent="0.25">
      <c r="B43" s="177" t="s">
        <v>816</v>
      </c>
      <c r="C43" s="178" t="s">
        <v>839</v>
      </c>
      <c r="D43" s="179" t="s">
        <v>437</v>
      </c>
      <c r="E43" s="180">
        <v>0</v>
      </c>
      <c r="F43" s="181">
        <v>0</v>
      </c>
      <c r="G43" s="191">
        <v>68.900000000000006</v>
      </c>
      <c r="H43" s="169"/>
      <c r="I43" s="177" t="str">
        <f t="shared" si="0"/>
        <v>Big Box RetailAlbanyFuel Heat Only</v>
      </c>
      <c r="J43" s="180">
        <v>0</v>
      </c>
      <c r="K43" s="181">
        <v>0</v>
      </c>
      <c r="L43" s="191">
        <v>68.900000000000006</v>
      </c>
    </row>
    <row r="44" spans="2:12" x14ac:dyDescent="0.25">
      <c r="B44" s="177" t="s">
        <v>816</v>
      </c>
      <c r="C44" s="178" t="s">
        <v>840</v>
      </c>
      <c r="D44" s="179" t="s">
        <v>428</v>
      </c>
      <c r="E44" s="183">
        <v>1493</v>
      </c>
      <c r="F44" s="181">
        <v>0.156</v>
      </c>
      <c r="G44" s="191">
        <v>0</v>
      </c>
      <c r="H44" s="169"/>
      <c r="I44" s="177" t="str">
        <f t="shared" si="0"/>
        <v>Big Box RetailBinghamtonAC With Electric Heat</v>
      </c>
      <c r="J44" s="183">
        <v>1493</v>
      </c>
      <c r="K44" s="181">
        <v>0.156</v>
      </c>
      <c r="L44" s="191">
        <v>0</v>
      </c>
    </row>
    <row r="45" spans="2:12" x14ac:dyDescent="0.25">
      <c r="B45" s="177" t="s">
        <v>816</v>
      </c>
      <c r="C45" s="178" t="s">
        <v>840</v>
      </c>
      <c r="D45" s="179" t="s">
        <v>434</v>
      </c>
      <c r="E45" s="180">
        <v>223</v>
      </c>
      <c r="F45" s="181">
        <v>0.156</v>
      </c>
      <c r="G45" s="191">
        <v>60.4</v>
      </c>
      <c r="H45" s="169"/>
      <c r="I45" s="177" t="str">
        <f t="shared" si="0"/>
        <v>Big Box RetailBinghamtonAC With Fuel Heat</v>
      </c>
      <c r="J45" s="180">
        <v>223</v>
      </c>
      <c r="K45" s="181">
        <v>0.156</v>
      </c>
      <c r="L45" s="191">
        <v>60.4</v>
      </c>
    </row>
    <row r="46" spans="2:12" x14ac:dyDescent="0.25">
      <c r="B46" s="177" t="s">
        <v>816</v>
      </c>
      <c r="C46" s="178" t="s">
        <v>840</v>
      </c>
      <c r="D46" s="179" t="s">
        <v>435</v>
      </c>
      <c r="E46" s="183">
        <v>1596</v>
      </c>
      <c r="F46" s="181">
        <v>0.156</v>
      </c>
      <c r="G46" s="191">
        <v>0</v>
      </c>
      <c r="H46" s="169"/>
      <c r="I46" s="177" t="str">
        <f t="shared" si="0"/>
        <v>Big Box RetailBinghamtonAir Source Heat Pump</v>
      </c>
      <c r="J46" s="183">
        <v>1596</v>
      </c>
      <c r="K46" s="181">
        <v>0.156</v>
      </c>
      <c r="L46" s="191">
        <v>0</v>
      </c>
    </row>
    <row r="47" spans="2:12" x14ac:dyDescent="0.25">
      <c r="B47" s="177" t="s">
        <v>816</v>
      </c>
      <c r="C47" s="178" t="s">
        <v>840</v>
      </c>
      <c r="D47" s="179" t="s">
        <v>436</v>
      </c>
      <c r="E47" s="183">
        <v>1324</v>
      </c>
      <c r="F47" s="181">
        <v>0</v>
      </c>
      <c r="G47" s="191">
        <v>0</v>
      </c>
      <c r="H47" s="169"/>
      <c r="I47" s="177" t="str">
        <f t="shared" si="0"/>
        <v>Big Box RetailBinghamtonElectric Heat Only</v>
      </c>
      <c r="J47" s="183">
        <v>1324</v>
      </c>
      <c r="K47" s="181">
        <v>0</v>
      </c>
      <c r="L47" s="191">
        <v>0</v>
      </c>
    </row>
    <row r="48" spans="2:12" x14ac:dyDescent="0.25">
      <c r="B48" s="177" t="s">
        <v>816</v>
      </c>
      <c r="C48" s="178" t="s">
        <v>840</v>
      </c>
      <c r="D48" s="179" t="s">
        <v>437</v>
      </c>
      <c r="E48" s="180">
        <v>0</v>
      </c>
      <c r="F48" s="181">
        <v>0</v>
      </c>
      <c r="G48" s="191">
        <v>60.4</v>
      </c>
      <c r="H48" s="169"/>
      <c r="I48" s="177" t="str">
        <f t="shared" si="0"/>
        <v>Big Box RetailBinghamtonFuel Heat Only</v>
      </c>
      <c r="J48" s="180">
        <v>0</v>
      </c>
      <c r="K48" s="181">
        <v>0</v>
      </c>
      <c r="L48" s="191">
        <v>60.4</v>
      </c>
    </row>
    <row r="49" spans="2:12" x14ac:dyDescent="0.25">
      <c r="B49" s="177" t="s">
        <v>816</v>
      </c>
      <c r="C49" s="178" t="s">
        <v>841</v>
      </c>
      <c r="D49" s="179" t="s">
        <v>428</v>
      </c>
      <c r="E49" s="183">
        <v>1794</v>
      </c>
      <c r="F49" s="181">
        <v>0.156</v>
      </c>
      <c r="G49" s="191">
        <v>0</v>
      </c>
      <c r="H49" s="169"/>
      <c r="I49" s="177" t="str">
        <f t="shared" si="0"/>
        <v>Big Box RetailBuffaloAC With Electric Heat</v>
      </c>
      <c r="J49" s="183">
        <v>1794</v>
      </c>
      <c r="K49" s="181">
        <v>0.156</v>
      </c>
      <c r="L49" s="191">
        <v>0</v>
      </c>
    </row>
    <row r="50" spans="2:12" x14ac:dyDescent="0.25">
      <c r="B50" s="177" t="s">
        <v>816</v>
      </c>
      <c r="C50" s="178" t="s">
        <v>841</v>
      </c>
      <c r="D50" s="179" t="s">
        <v>434</v>
      </c>
      <c r="E50" s="180">
        <v>250</v>
      </c>
      <c r="F50" s="181">
        <v>0.156</v>
      </c>
      <c r="G50" s="191">
        <v>72.5</v>
      </c>
      <c r="H50" s="169"/>
      <c r="I50" s="177" t="str">
        <f t="shared" si="0"/>
        <v>Big Box RetailBuffaloAC With Fuel Heat</v>
      </c>
      <c r="J50" s="180">
        <v>250</v>
      </c>
      <c r="K50" s="181">
        <v>0.156</v>
      </c>
      <c r="L50" s="191">
        <v>72.5</v>
      </c>
    </row>
    <row r="51" spans="2:12" x14ac:dyDescent="0.25">
      <c r="B51" s="177" t="s">
        <v>816</v>
      </c>
      <c r="C51" s="178" t="s">
        <v>841</v>
      </c>
      <c r="D51" s="179" t="s">
        <v>435</v>
      </c>
      <c r="E51" s="183">
        <v>1454</v>
      </c>
      <c r="F51" s="181">
        <v>0.156</v>
      </c>
      <c r="G51" s="191">
        <v>0</v>
      </c>
      <c r="H51" s="169"/>
      <c r="I51" s="177" t="str">
        <f t="shared" si="0"/>
        <v>Big Box RetailBuffaloAir Source Heat Pump</v>
      </c>
      <c r="J51" s="183">
        <v>1454</v>
      </c>
      <c r="K51" s="181">
        <v>0.156</v>
      </c>
      <c r="L51" s="191">
        <v>0</v>
      </c>
    </row>
    <row r="52" spans="2:12" x14ac:dyDescent="0.25">
      <c r="B52" s="177" t="s">
        <v>816</v>
      </c>
      <c r="C52" s="178" t="s">
        <v>841</v>
      </c>
      <c r="D52" s="179" t="s">
        <v>436</v>
      </c>
      <c r="E52" s="183">
        <v>1594</v>
      </c>
      <c r="F52" s="181">
        <v>0</v>
      </c>
      <c r="G52" s="191">
        <v>0</v>
      </c>
      <c r="H52" s="169"/>
      <c r="I52" s="177" t="str">
        <f t="shared" si="0"/>
        <v>Big Box RetailBuffaloElectric Heat Only</v>
      </c>
      <c r="J52" s="183">
        <v>1594</v>
      </c>
      <c r="K52" s="181">
        <v>0</v>
      </c>
      <c r="L52" s="191">
        <v>0</v>
      </c>
    </row>
    <row r="53" spans="2:12" x14ac:dyDescent="0.25">
      <c r="B53" s="177" t="s">
        <v>816</v>
      </c>
      <c r="C53" s="178" t="s">
        <v>841</v>
      </c>
      <c r="D53" s="179" t="s">
        <v>437</v>
      </c>
      <c r="E53" s="180">
        <v>0</v>
      </c>
      <c r="F53" s="181">
        <v>0</v>
      </c>
      <c r="G53" s="191">
        <v>72.5</v>
      </c>
      <c r="H53" s="169"/>
      <c r="I53" s="177" t="str">
        <f t="shared" si="0"/>
        <v>Big Box RetailBuffaloFuel Heat Only</v>
      </c>
      <c r="J53" s="180">
        <v>0</v>
      </c>
      <c r="K53" s="181">
        <v>0</v>
      </c>
      <c r="L53" s="191">
        <v>72.5</v>
      </c>
    </row>
    <row r="54" spans="2:12" x14ac:dyDescent="0.25">
      <c r="B54" s="177" t="s">
        <v>816</v>
      </c>
      <c r="C54" s="178" t="s">
        <v>842</v>
      </c>
      <c r="D54" s="179" t="s">
        <v>428</v>
      </c>
      <c r="E54" s="183">
        <v>1934</v>
      </c>
      <c r="F54" s="181">
        <v>0.156</v>
      </c>
      <c r="G54" s="191">
        <v>0</v>
      </c>
      <c r="H54" s="169"/>
      <c r="I54" s="177" t="str">
        <f t="shared" si="0"/>
        <v>Big Box RetailMassenaAC With Electric Heat</v>
      </c>
      <c r="J54" s="183">
        <v>1934</v>
      </c>
      <c r="K54" s="181">
        <v>0.156</v>
      </c>
      <c r="L54" s="191">
        <v>0</v>
      </c>
    </row>
    <row r="55" spans="2:12" x14ac:dyDescent="0.25">
      <c r="B55" s="177" t="s">
        <v>816</v>
      </c>
      <c r="C55" s="178" t="s">
        <v>842</v>
      </c>
      <c r="D55" s="179" t="s">
        <v>434</v>
      </c>
      <c r="E55" s="180">
        <v>284</v>
      </c>
      <c r="F55" s="181">
        <v>0.156</v>
      </c>
      <c r="G55" s="191">
        <v>78</v>
      </c>
      <c r="H55" s="169"/>
      <c r="I55" s="177" t="str">
        <f t="shared" si="0"/>
        <v>Big Box RetailMassenaAC With Fuel Heat</v>
      </c>
      <c r="J55" s="180">
        <v>284</v>
      </c>
      <c r="K55" s="181">
        <v>0.156</v>
      </c>
      <c r="L55" s="191">
        <v>78</v>
      </c>
    </row>
    <row r="56" spans="2:12" x14ac:dyDescent="0.25">
      <c r="B56" s="177" t="s">
        <v>816</v>
      </c>
      <c r="C56" s="178" t="s">
        <v>842</v>
      </c>
      <c r="D56" s="179" t="s">
        <v>435</v>
      </c>
      <c r="E56" s="183">
        <v>1750</v>
      </c>
      <c r="F56" s="181">
        <v>0.156</v>
      </c>
      <c r="G56" s="191">
        <v>0</v>
      </c>
      <c r="H56" s="169"/>
      <c r="I56" s="177" t="str">
        <f t="shared" si="0"/>
        <v>Big Box RetailMassenaAir Source Heat Pump</v>
      </c>
      <c r="J56" s="183">
        <v>1750</v>
      </c>
      <c r="K56" s="181">
        <v>0.156</v>
      </c>
      <c r="L56" s="191">
        <v>0</v>
      </c>
    </row>
    <row r="57" spans="2:12" x14ac:dyDescent="0.25">
      <c r="B57" s="177" t="s">
        <v>816</v>
      </c>
      <c r="C57" s="178" t="s">
        <v>842</v>
      </c>
      <c r="D57" s="179" t="s">
        <v>436</v>
      </c>
      <c r="E57" s="183">
        <v>1751</v>
      </c>
      <c r="F57" s="181">
        <v>0</v>
      </c>
      <c r="G57" s="191">
        <v>0</v>
      </c>
      <c r="H57" s="169"/>
      <c r="I57" s="177" t="str">
        <f t="shared" si="0"/>
        <v>Big Box RetailMassenaElectric Heat Only</v>
      </c>
      <c r="J57" s="183">
        <v>1751</v>
      </c>
      <c r="K57" s="181">
        <v>0</v>
      </c>
      <c r="L57" s="191">
        <v>0</v>
      </c>
    </row>
    <row r="58" spans="2:12" x14ac:dyDescent="0.25">
      <c r="B58" s="177" t="s">
        <v>816</v>
      </c>
      <c r="C58" s="178" t="s">
        <v>842</v>
      </c>
      <c r="D58" s="179" t="s">
        <v>437</v>
      </c>
      <c r="E58" s="180">
        <v>0</v>
      </c>
      <c r="F58" s="181">
        <v>0</v>
      </c>
      <c r="G58" s="191">
        <v>78</v>
      </c>
      <c r="H58" s="169"/>
      <c r="I58" s="177" t="str">
        <f t="shared" si="0"/>
        <v>Big Box RetailMassenaFuel Heat Only</v>
      </c>
      <c r="J58" s="180">
        <v>0</v>
      </c>
      <c r="K58" s="181">
        <v>0</v>
      </c>
      <c r="L58" s="191">
        <v>78</v>
      </c>
    </row>
    <row r="59" spans="2:12" x14ac:dyDescent="0.25">
      <c r="B59" s="177" t="s">
        <v>816</v>
      </c>
      <c r="C59" s="178" t="s">
        <v>843</v>
      </c>
      <c r="D59" s="179" t="s">
        <v>428</v>
      </c>
      <c r="E59" s="180">
        <v>860</v>
      </c>
      <c r="F59" s="181">
        <v>0.156</v>
      </c>
      <c r="G59" s="191">
        <v>0</v>
      </c>
      <c r="H59" s="169"/>
      <c r="I59" s="177" t="str">
        <f t="shared" si="0"/>
        <v>Big Box RetailNYCAC With Electric Heat</v>
      </c>
      <c r="J59" s="180">
        <v>860</v>
      </c>
      <c r="K59" s="181">
        <v>0.156</v>
      </c>
      <c r="L59" s="191">
        <v>0</v>
      </c>
    </row>
    <row r="60" spans="2:12" x14ac:dyDescent="0.25">
      <c r="B60" s="177" t="s">
        <v>816</v>
      </c>
      <c r="C60" s="178" t="s">
        <v>843</v>
      </c>
      <c r="D60" s="179" t="s">
        <v>434</v>
      </c>
      <c r="E60" s="180">
        <v>353</v>
      </c>
      <c r="F60" s="181">
        <v>0.156</v>
      </c>
      <c r="G60" s="191">
        <v>25</v>
      </c>
      <c r="H60" s="169"/>
      <c r="I60" s="177" t="str">
        <f t="shared" si="0"/>
        <v>Big Box RetailNYCAC With Fuel Heat</v>
      </c>
      <c r="J60" s="180">
        <v>353</v>
      </c>
      <c r="K60" s="181">
        <v>0.156</v>
      </c>
      <c r="L60" s="191">
        <v>25</v>
      </c>
    </row>
    <row r="61" spans="2:12" x14ac:dyDescent="0.25">
      <c r="B61" s="177" t="s">
        <v>816</v>
      </c>
      <c r="C61" s="178" t="s">
        <v>843</v>
      </c>
      <c r="D61" s="179" t="s">
        <v>435</v>
      </c>
      <c r="E61" s="180">
        <v>735</v>
      </c>
      <c r="F61" s="181">
        <v>0.156</v>
      </c>
      <c r="G61" s="191">
        <v>0</v>
      </c>
      <c r="H61" s="169"/>
      <c r="I61" s="177" t="str">
        <f t="shared" si="0"/>
        <v>Big Box RetailNYCAir Source Heat Pump</v>
      </c>
      <c r="J61" s="180">
        <v>735</v>
      </c>
      <c r="K61" s="181">
        <v>0.156</v>
      </c>
      <c r="L61" s="191">
        <v>0</v>
      </c>
    </row>
    <row r="62" spans="2:12" x14ac:dyDescent="0.25">
      <c r="B62" s="177" t="s">
        <v>816</v>
      </c>
      <c r="C62" s="178" t="s">
        <v>843</v>
      </c>
      <c r="D62" s="179" t="s">
        <v>436</v>
      </c>
      <c r="E62" s="180">
        <v>561</v>
      </c>
      <c r="F62" s="181">
        <v>0</v>
      </c>
      <c r="G62" s="191">
        <v>0</v>
      </c>
      <c r="H62" s="169"/>
      <c r="I62" s="177" t="str">
        <f t="shared" si="0"/>
        <v>Big Box RetailNYCElectric Heat Only</v>
      </c>
      <c r="J62" s="180">
        <v>561</v>
      </c>
      <c r="K62" s="181">
        <v>0</v>
      </c>
      <c r="L62" s="191">
        <v>0</v>
      </c>
    </row>
    <row r="63" spans="2:12" x14ac:dyDescent="0.25">
      <c r="B63" s="177" t="s">
        <v>816</v>
      </c>
      <c r="C63" s="178" t="s">
        <v>843</v>
      </c>
      <c r="D63" s="179" t="s">
        <v>437</v>
      </c>
      <c r="E63" s="180">
        <v>0</v>
      </c>
      <c r="F63" s="181">
        <v>0</v>
      </c>
      <c r="G63" s="191">
        <v>25</v>
      </c>
      <c r="H63" s="169"/>
      <c r="I63" s="177" t="str">
        <f t="shared" si="0"/>
        <v>Big Box RetailNYCFuel Heat Only</v>
      </c>
      <c r="J63" s="180">
        <v>0</v>
      </c>
      <c r="K63" s="181">
        <v>0</v>
      </c>
      <c r="L63" s="191">
        <v>25</v>
      </c>
    </row>
    <row r="64" spans="2:12" x14ac:dyDescent="0.25">
      <c r="B64" s="177" t="s">
        <v>816</v>
      </c>
      <c r="C64" s="178" t="s">
        <v>844</v>
      </c>
      <c r="D64" s="179" t="s">
        <v>428</v>
      </c>
      <c r="E64" s="183">
        <v>1137</v>
      </c>
      <c r="F64" s="181">
        <v>0.156</v>
      </c>
      <c r="G64" s="191">
        <v>0</v>
      </c>
      <c r="H64" s="169"/>
      <c r="I64" s="177" t="str">
        <f t="shared" si="0"/>
        <v>Big Box RetailPoughkeepsieAC With Electric Heat</v>
      </c>
      <c r="J64" s="183">
        <v>1137</v>
      </c>
      <c r="K64" s="181">
        <v>0.156</v>
      </c>
      <c r="L64" s="191">
        <v>0</v>
      </c>
    </row>
    <row r="65" spans="2:12" x14ac:dyDescent="0.25">
      <c r="B65" s="177" t="s">
        <v>816</v>
      </c>
      <c r="C65" s="178" t="s">
        <v>844</v>
      </c>
      <c r="D65" s="179" t="s">
        <v>434</v>
      </c>
      <c r="E65" s="180">
        <v>273</v>
      </c>
      <c r="F65" s="181">
        <v>0.156</v>
      </c>
      <c r="G65" s="191">
        <v>41</v>
      </c>
      <c r="H65" s="169"/>
      <c r="I65" s="177" t="str">
        <f t="shared" si="0"/>
        <v>Big Box RetailPoughkeepsieAC With Fuel Heat</v>
      </c>
      <c r="J65" s="180">
        <v>273</v>
      </c>
      <c r="K65" s="181">
        <v>0.156</v>
      </c>
      <c r="L65" s="191">
        <v>41</v>
      </c>
    </row>
    <row r="66" spans="2:12" x14ac:dyDescent="0.25">
      <c r="B66" s="177" t="s">
        <v>816</v>
      </c>
      <c r="C66" s="178" t="s">
        <v>844</v>
      </c>
      <c r="D66" s="179" t="s">
        <v>435</v>
      </c>
      <c r="E66" s="180">
        <v>916</v>
      </c>
      <c r="F66" s="181">
        <v>0.156</v>
      </c>
      <c r="G66" s="191">
        <v>0</v>
      </c>
      <c r="H66" s="169"/>
      <c r="I66" s="177" t="str">
        <f t="shared" si="0"/>
        <v>Big Box RetailPoughkeepsieAir Source Heat Pump</v>
      </c>
      <c r="J66" s="180">
        <v>916</v>
      </c>
      <c r="K66" s="181">
        <v>0.156</v>
      </c>
      <c r="L66" s="191">
        <v>0</v>
      </c>
    </row>
    <row r="67" spans="2:12" x14ac:dyDescent="0.25">
      <c r="B67" s="177" t="s">
        <v>816</v>
      </c>
      <c r="C67" s="178" t="s">
        <v>844</v>
      </c>
      <c r="D67" s="179" t="s">
        <v>436</v>
      </c>
      <c r="E67" s="180">
        <v>959</v>
      </c>
      <c r="F67" s="181">
        <v>0</v>
      </c>
      <c r="G67" s="191">
        <v>0</v>
      </c>
      <c r="H67" s="169"/>
      <c r="I67" s="177" t="str">
        <f t="shared" si="0"/>
        <v>Big Box RetailPoughkeepsieElectric Heat Only</v>
      </c>
      <c r="J67" s="180">
        <v>959</v>
      </c>
      <c r="K67" s="181">
        <v>0</v>
      </c>
      <c r="L67" s="191">
        <v>0</v>
      </c>
    </row>
    <row r="68" spans="2:12" x14ac:dyDescent="0.25">
      <c r="B68" s="177" t="s">
        <v>816</v>
      </c>
      <c r="C68" s="178" t="s">
        <v>844</v>
      </c>
      <c r="D68" s="179" t="s">
        <v>437</v>
      </c>
      <c r="E68" s="180">
        <v>0</v>
      </c>
      <c r="F68" s="181">
        <v>0</v>
      </c>
      <c r="G68" s="191">
        <v>41</v>
      </c>
      <c r="H68" s="169"/>
      <c r="I68" s="177" t="str">
        <f t="shared" si="0"/>
        <v>Big Box RetailPoughkeepsieFuel Heat Only</v>
      </c>
      <c r="J68" s="180">
        <v>0</v>
      </c>
      <c r="K68" s="181">
        <v>0</v>
      </c>
      <c r="L68" s="191">
        <v>41</v>
      </c>
    </row>
    <row r="69" spans="2:12" x14ac:dyDescent="0.25">
      <c r="B69" s="177" t="s">
        <v>816</v>
      </c>
      <c r="C69" s="178" t="s">
        <v>845</v>
      </c>
      <c r="D69" s="179" t="s">
        <v>428</v>
      </c>
      <c r="E69" s="183">
        <v>1433</v>
      </c>
      <c r="F69" s="181">
        <v>0.156</v>
      </c>
      <c r="G69" s="191">
        <v>0</v>
      </c>
      <c r="H69" s="169"/>
      <c r="I69" s="177" t="str">
        <f t="shared" ref="I69:I132" si="1">B69&amp;C69&amp;D69</f>
        <v>Big Box RetailSyracuseAC With Electric Heat</v>
      </c>
      <c r="J69" s="183">
        <v>1433</v>
      </c>
      <c r="K69" s="181">
        <v>0.156</v>
      </c>
      <c r="L69" s="191">
        <v>0</v>
      </c>
    </row>
    <row r="70" spans="2:12" x14ac:dyDescent="0.25">
      <c r="B70" s="177" t="s">
        <v>816</v>
      </c>
      <c r="C70" s="178" t="s">
        <v>845</v>
      </c>
      <c r="D70" s="179" t="s">
        <v>434</v>
      </c>
      <c r="E70" s="180">
        <v>281</v>
      </c>
      <c r="F70" s="181">
        <v>0.156</v>
      </c>
      <c r="G70" s="191">
        <v>54</v>
      </c>
      <c r="H70" s="169"/>
      <c r="I70" s="177" t="str">
        <f t="shared" si="1"/>
        <v>Big Box RetailSyracuseAC With Fuel Heat</v>
      </c>
      <c r="J70" s="180">
        <v>281</v>
      </c>
      <c r="K70" s="181">
        <v>0.156</v>
      </c>
      <c r="L70" s="191">
        <v>54</v>
      </c>
    </row>
    <row r="71" spans="2:12" x14ac:dyDescent="0.25">
      <c r="B71" s="177" t="s">
        <v>816</v>
      </c>
      <c r="C71" s="178" t="s">
        <v>845</v>
      </c>
      <c r="D71" s="179" t="s">
        <v>435</v>
      </c>
      <c r="E71" s="183">
        <v>1361</v>
      </c>
      <c r="F71" s="181">
        <v>0.156</v>
      </c>
      <c r="G71" s="191">
        <v>0</v>
      </c>
      <c r="H71" s="169"/>
      <c r="I71" s="177" t="str">
        <f t="shared" si="1"/>
        <v>Big Box RetailSyracuseAir Source Heat Pump</v>
      </c>
      <c r="J71" s="183">
        <v>1361</v>
      </c>
      <c r="K71" s="181">
        <v>0.156</v>
      </c>
      <c r="L71" s="191">
        <v>0</v>
      </c>
    </row>
    <row r="72" spans="2:12" x14ac:dyDescent="0.25">
      <c r="B72" s="177" t="s">
        <v>816</v>
      </c>
      <c r="C72" s="178" t="s">
        <v>845</v>
      </c>
      <c r="D72" s="179" t="s">
        <v>436</v>
      </c>
      <c r="E72" s="183">
        <v>1292</v>
      </c>
      <c r="F72" s="181">
        <v>0</v>
      </c>
      <c r="G72" s="191">
        <v>0</v>
      </c>
      <c r="H72" s="169"/>
      <c r="I72" s="177" t="str">
        <f t="shared" si="1"/>
        <v>Big Box RetailSyracuseElectric Heat Only</v>
      </c>
      <c r="J72" s="183">
        <v>1292</v>
      </c>
      <c r="K72" s="181">
        <v>0</v>
      </c>
      <c r="L72" s="191">
        <v>0</v>
      </c>
    </row>
    <row r="73" spans="2:12" ht="15.75" thickBot="1" x14ac:dyDescent="0.3">
      <c r="B73" s="184" t="s">
        <v>816</v>
      </c>
      <c r="C73" s="185" t="s">
        <v>845</v>
      </c>
      <c r="D73" s="186" t="s">
        <v>437</v>
      </c>
      <c r="E73" s="187">
        <v>0</v>
      </c>
      <c r="F73" s="188">
        <v>0</v>
      </c>
      <c r="G73" s="192">
        <v>54</v>
      </c>
      <c r="H73" s="169"/>
      <c r="I73" s="184" t="str">
        <f t="shared" si="1"/>
        <v>Big Box RetailSyracuseFuel Heat Only</v>
      </c>
      <c r="J73" s="187">
        <v>0</v>
      </c>
      <c r="K73" s="188">
        <v>0</v>
      </c>
      <c r="L73" s="192">
        <v>54</v>
      </c>
    </row>
    <row r="74" spans="2:12" x14ac:dyDescent="0.25">
      <c r="B74" s="171" t="s">
        <v>503</v>
      </c>
      <c r="C74" s="172" t="s">
        <v>839</v>
      </c>
      <c r="D74" s="173" t="s">
        <v>428</v>
      </c>
      <c r="E74" s="174">
        <v>2032</v>
      </c>
      <c r="F74" s="175">
        <v>0.156</v>
      </c>
      <c r="G74" s="190">
        <v>0</v>
      </c>
      <c r="H74" s="169"/>
      <c r="I74" s="171" t="str">
        <f t="shared" si="1"/>
        <v>Fast Food RestaurantAlbanyAC With Electric Heat</v>
      </c>
      <c r="J74" s="174">
        <v>2032</v>
      </c>
      <c r="K74" s="175">
        <v>0.156</v>
      </c>
      <c r="L74" s="190">
        <v>0</v>
      </c>
    </row>
    <row r="75" spans="2:12" x14ac:dyDescent="0.25">
      <c r="B75" s="177" t="s">
        <v>503</v>
      </c>
      <c r="C75" s="178" t="s">
        <v>839</v>
      </c>
      <c r="D75" s="179" t="s">
        <v>434</v>
      </c>
      <c r="E75" s="180">
        <v>298</v>
      </c>
      <c r="F75" s="181">
        <v>0.156</v>
      </c>
      <c r="G75" s="191">
        <v>81.2</v>
      </c>
      <c r="H75" s="169"/>
      <c r="I75" s="177" t="str">
        <f t="shared" si="1"/>
        <v>Fast Food RestaurantAlbanyAC With Fuel Heat</v>
      </c>
      <c r="J75" s="180">
        <v>298</v>
      </c>
      <c r="K75" s="181">
        <v>0.156</v>
      </c>
      <c r="L75" s="191">
        <v>81.2</v>
      </c>
    </row>
    <row r="76" spans="2:12" x14ac:dyDescent="0.25">
      <c r="B76" s="177" t="s">
        <v>503</v>
      </c>
      <c r="C76" s="178" t="s">
        <v>839</v>
      </c>
      <c r="D76" s="179" t="s">
        <v>435</v>
      </c>
      <c r="E76" s="183">
        <v>1504</v>
      </c>
      <c r="F76" s="181">
        <v>0.156</v>
      </c>
      <c r="G76" s="191">
        <v>0</v>
      </c>
      <c r="H76" s="169"/>
      <c r="I76" s="177" t="str">
        <f t="shared" si="1"/>
        <v>Fast Food RestaurantAlbanyAir Source Heat Pump</v>
      </c>
      <c r="J76" s="183">
        <v>1504</v>
      </c>
      <c r="K76" s="181">
        <v>0.156</v>
      </c>
      <c r="L76" s="191">
        <v>0</v>
      </c>
    </row>
    <row r="77" spans="2:12" x14ac:dyDescent="0.25">
      <c r="B77" s="177" t="s">
        <v>503</v>
      </c>
      <c r="C77" s="178" t="s">
        <v>839</v>
      </c>
      <c r="D77" s="179" t="s">
        <v>436</v>
      </c>
      <c r="E77" s="183">
        <v>1810</v>
      </c>
      <c r="F77" s="181">
        <v>0</v>
      </c>
      <c r="G77" s="191">
        <v>0</v>
      </c>
      <c r="H77" s="169"/>
      <c r="I77" s="177" t="str">
        <f t="shared" si="1"/>
        <v>Fast Food RestaurantAlbanyElectric Heat Only</v>
      </c>
      <c r="J77" s="183">
        <v>1810</v>
      </c>
      <c r="K77" s="181">
        <v>0</v>
      </c>
      <c r="L77" s="191">
        <v>0</v>
      </c>
    </row>
    <row r="78" spans="2:12" x14ac:dyDescent="0.25">
      <c r="B78" s="177" t="s">
        <v>503</v>
      </c>
      <c r="C78" s="178" t="s">
        <v>839</v>
      </c>
      <c r="D78" s="179" t="s">
        <v>437</v>
      </c>
      <c r="E78" s="180">
        <v>0</v>
      </c>
      <c r="F78" s="181">
        <v>0</v>
      </c>
      <c r="G78" s="191">
        <v>81.2</v>
      </c>
      <c r="H78" s="169"/>
      <c r="I78" s="177" t="str">
        <f t="shared" si="1"/>
        <v>Fast Food RestaurantAlbanyFuel Heat Only</v>
      </c>
      <c r="J78" s="180">
        <v>0</v>
      </c>
      <c r="K78" s="181">
        <v>0</v>
      </c>
      <c r="L78" s="191">
        <v>81.2</v>
      </c>
    </row>
    <row r="79" spans="2:12" x14ac:dyDescent="0.25">
      <c r="B79" s="177" t="s">
        <v>503</v>
      </c>
      <c r="C79" s="178" t="s">
        <v>840</v>
      </c>
      <c r="D79" s="179" t="s">
        <v>428</v>
      </c>
      <c r="E79" s="183">
        <v>2086</v>
      </c>
      <c r="F79" s="181">
        <v>0.156</v>
      </c>
      <c r="G79" s="191">
        <v>0</v>
      </c>
      <c r="H79" s="169"/>
      <c r="I79" s="177" t="str">
        <f t="shared" si="1"/>
        <v>Fast Food RestaurantBinghamtonAC With Electric Heat</v>
      </c>
      <c r="J79" s="183">
        <v>2086</v>
      </c>
      <c r="K79" s="181">
        <v>0.156</v>
      </c>
      <c r="L79" s="191">
        <v>0</v>
      </c>
    </row>
    <row r="80" spans="2:12" x14ac:dyDescent="0.25">
      <c r="B80" s="177" t="s">
        <v>503</v>
      </c>
      <c r="C80" s="178" t="s">
        <v>840</v>
      </c>
      <c r="D80" s="179" t="s">
        <v>434</v>
      </c>
      <c r="E80" s="180">
        <v>257</v>
      </c>
      <c r="F80" s="181">
        <v>0.156</v>
      </c>
      <c r="G80" s="191">
        <v>86</v>
      </c>
      <c r="H80" s="169"/>
      <c r="I80" s="177" t="str">
        <f t="shared" si="1"/>
        <v>Fast Food RestaurantBinghamtonAC With Fuel Heat</v>
      </c>
      <c r="J80" s="180">
        <v>257</v>
      </c>
      <c r="K80" s="181">
        <v>0.156</v>
      </c>
      <c r="L80" s="191">
        <v>86</v>
      </c>
    </row>
    <row r="81" spans="2:12" x14ac:dyDescent="0.25">
      <c r="B81" s="177" t="s">
        <v>503</v>
      </c>
      <c r="C81" s="178" t="s">
        <v>840</v>
      </c>
      <c r="D81" s="179" t="s">
        <v>435</v>
      </c>
      <c r="E81" s="183">
        <v>1544</v>
      </c>
      <c r="F81" s="181">
        <v>0.156</v>
      </c>
      <c r="G81" s="191">
        <v>0</v>
      </c>
      <c r="H81" s="169"/>
      <c r="I81" s="177" t="str">
        <f t="shared" si="1"/>
        <v>Fast Food RestaurantBinghamtonAir Source Heat Pump</v>
      </c>
      <c r="J81" s="183">
        <v>1544</v>
      </c>
      <c r="K81" s="181">
        <v>0.156</v>
      </c>
      <c r="L81" s="191">
        <v>0</v>
      </c>
    </row>
    <row r="82" spans="2:12" x14ac:dyDescent="0.25">
      <c r="B82" s="177" t="s">
        <v>503</v>
      </c>
      <c r="C82" s="178" t="s">
        <v>840</v>
      </c>
      <c r="D82" s="179" t="s">
        <v>436</v>
      </c>
      <c r="E82" s="183">
        <v>1814</v>
      </c>
      <c r="F82" s="181">
        <v>0</v>
      </c>
      <c r="G82" s="191">
        <v>0</v>
      </c>
      <c r="H82" s="169"/>
      <c r="I82" s="177" t="str">
        <f t="shared" si="1"/>
        <v>Fast Food RestaurantBinghamtonElectric Heat Only</v>
      </c>
      <c r="J82" s="183">
        <v>1814</v>
      </c>
      <c r="K82" s="181">
        <v>0</v>
      </c>
      <c r="L82" s="191">
        <v>0</v>
      </c>
    </row>
    <row r="83" spans="2:12" x14ac:dyDescent="0.25">
      <c r="B83" s="177" t="s">
        <v>503</v>
      </c>
      <c r="C83" s="178" t="s">
        <v>840</v>
      </c>
      <c r="D83" s="179" t="s">
        <v>437</v>
      </c>
      <c r="E83" s="180">
        <v>0</v>
      </c>
      <c r="F83" s="181">
        <v>0</v>
      </c>
      <c r="G83" s="191">
        <v>86</v>
      </c>
      <c r="H83" s="169"/>
      <c r="I83" s="177" t="str">
        <f t="shared" si="1"/>
        <v>Fast Food RestaurantBinghamtonFuel Heat Only</v>
      </c>
      <c r="J83" s="180">
        <v>0</v>
      </c>
      <c r="K83" s="181">
        <v>0</v>
      </c>
      <c r="L83" s="191">
        <v>86</v>
      </c>
    </row>
    <row r="84" spans="2:12" x14ac:dyDescent="0.25">
      <c r="B84" s="177" t="s">
        <v>503</v>
      </c>
      <c r="C84" s="178" t="s">
        <v>841</v>
      </c>
      <c r="D84" s="179" t="s">
        <v>428</v>
      </c>
      <c r="E84" s="183">
        <v>2302</v>
      </c>
      <c r="F84" s="181">
        <v>0.156</v>
      </c>
      <c r="G84" s="191">
        <v>0</v>
      </c>
      <c r="H84" s="169"/>
      <c r="I84" s="177" t="str">
        <f t="shared" si="1"/>
        <v>Fast Food RestaurantBuffaloAC With Electric Heat</v>
      </c>
      <c r="J84" s="183">
        <v>2302</v>
      </c>
      <c r="K84" s="181">
        <v>0.156</v>
      </c>
      <c r="L84" s="191">
        <v>0</v>
      </c>
    </row>
    <row r="85" spans="2:12" x14ac:dyDescent="0.25">
      <c r="B85" s="177" t="s">
        <v>503</v>
      </c>
      <c r="C85" s="178" t="s">
        <v>841</v>
      </c>
      <c r="D85" s="179" t="s">
        <v>434</v>
      </c>
      <c r="E85" s="180">
        <v>281</v>
      </c>
      <c r="F85" s="181">
        <v>0.156</v>
      </c>
      <c r="G85" s="191">
        <v>94.8</v>
      </c>
      <c r="H85" s="169"/>
      <c r="I85" s="177" t="str">
        <f t="shared" si="1"/>
        <v>Fast Food RestaurantBuffaloAC With Fuel Heat</v>
      </c>
      <c r="J85" s="180">
        <v>281</v>
      </c>
      <c r="K85" s="181">
        <v>0.156</v>
      </c>
      <c r="L85" s="191">
        <v>94.8</v>
      </c>
    </row>
    <row r="86" spans="2:12" x14ac:dyDescent="0.25">
      <c r="B86" s="177" t="s">
        <v>503</v>
      </c>
      <c r="C86" s="178" t="s">
        <v>841</v>
      </c>
      <c r="D86" s="179" t="s">
        <v>435</v>
      </c>
      <c r="E86" s="183">
        <v>1703</v>
      </c>
      <c r="F86" s="181">
        <v>0.156</v>
      </c>
      <c r="G86" s="191">
        <v>0</v>
      </c>
      <c r="H86" s="169"/>
      <c r="I86" s="177" t="str">
        <f t="shared" si="1"/>
        <v>Fast Food RestaurantBuffaloAir Source Heat Pump</v>
      </c>
      <c r="J86" s="183">
        <v>1703</v>
      </c>
      <c r="K86" s="181">
        <v>0.156</v>
      </c>
      <c r="L86" s="191">
        <v>0</v>
      </c>
    </row>
    <row r="87" spans="2:12" x14ac:dyDescent="0.25">
      <c r="B87" s="177" t="s">
        <v>503</v>
      </c>
      <c r="C87" s="178" t="s">
        <v>841</v>
      </c>
      <c r="D87" s="179" t="s">
        <v>436</v>
      </c>
      <c r="E87" s="183">
        <v>1789</v>
      </c>
      <c r="F87" s="181">
        <v>0</v>
      </c>
      <c r="G87" s="191">
        <v>0</v>
      </c>
      <c r="H87" s="169"/>
      <c r="I87" s="177" t="str">
        <f t="shared" si="1"/>
        <v>Fast Food RestaurantBuffaloElectric Heat Only</v>
      </c>
      <c r="J87" s="183">
        <v>1789</v>
      </c>
      <c r="K87" s="181">
        <v>0</v>
      </c>
      <c r="L87" s="191">
        <v>0</v>
      </c>
    </row>
    <row r="88" spans="2:12" x14ac:dyDescent="0.25">
      <c r="B88" s="177" t="s">
        <v>503</v>
      </c>
      <c r="C88" s="178" t="s">
        <v>841</v>
      </c>
      <c r="D88" s="179" t="s">
        <v>437</v>
      </c>
      <c r="E88" s="180">
        <v>0</v>
      </c>
      <c r="F88" s="181">
        <v>0</v>
      </c>
      <c r="G88" s="191">
        <v>94.8</v>
      </c>
      <c r="H88" s="169"/>
      <c r="I88" s="177" t="str">
        <f t="shared" si="1"/>
        <v>Fast Food RestaurantBuffaloFuel Heat Only</v>
      </c>
      <c r="J88" s="180">
        <v>0</v>
      </c>
      <c r="K88" s="181">
        <v>0</v>
      </c>
      <c r="L88" s="191">
        <v>94.8</v>
      </c>
    </row>
    <row r="89" spans="2:12" x14ac:dyDescent="0.25">
      <c r="B89" s="177" t="s">
        <v>503</v>
      </c>
      <c r="C89" s="178" t="s">
        <v>842</v>
      </c>
      <c r="D89" s="179" t="s">
        <v>428</v>
      </c>
      <c r="E89" s="183">
        <v>2158</v>
      </c>
      <c r="F89" s="181">
        <v>0.156</v>
      </c>
      <c r="G89" s="191">
        <v>0</v>
      </c>
      <c r="H89" s="169"/>
      <c r="I89" s="177" t="str">
        <f t="shared" si="1"/>
        <v>Fast Food RestaurantMassenaAC With Electric Heat</v>
      </c>
      <c r="J89" s="183">
        <v>2158</v>
      </c>
      <c r="K89" s="181">
        <v>0.156</v>
      </c>
      <c r="L89" s="191">
        <v>0</v>
      </c>
    </row>
    <row r="90" spans="2:12" x14ac:dyDescent="0.25">
      <c r="B90" s="177" t="s">
        <v>503</v>
      </c>
      <c r="C90" s="178" t="s">
        <v>842</v>
      </c>
      <c r="D90" s="179" t="s">
        <v>434</v>
      </c>
      <c r="E90" s="180">
        <v>284</v>
      </c>
      <c r="F90" s="181">
        <v>0.156</v>
      </c>
      <c r="G90" s="191">
        <v>87.1</v>
      </c>
      <c r="H90" s="169"/>
      <c r="I90" s="177" t="str">
        <f t="shared" si="1"/>
        <v>Fast Food RestaurantMassenaAC With Fuel Heat</v>
      </c>
      <c r="J90" s="180">
        <v>284</v>
      </c>
      <c r="K90" s="181">
        <v>0.156</v>
      </c>
      <c r="L90" s="191">
        <v>87.1</v>
      </c>
    </row>
    <row r="91" spans="2:12" x14ac:dyDescent="0.25">
      <c r="B91" s="177" t="s">
        <v>503</v>
      </c>
      <c r="C91" s="178" t="s">
        <v>842</v>
      </c>
      <c r="D91" s="179" t="s">
        <v>435</v>
      </c>
      <c r="E91" s="183">
        <v>1597</v>
      </c>
      <c r="F91" s="181">
        <v>0.156</v>
      </c>
      <c r="G91" s="191">
        <v>0</v>
      </c>
      <c r="H91" s="169"/>
      <c r="I91" s="177" t="str">
        <f t="shared" si="1"/>
        <v>Fast Food RestaurantMassenaAir Source Heat Pump</v>
      </c>
      <c r="J91" s="183">
        <v>1597</v>
      </c>
      <c r="K91" s="181">
        <v>0.156</v>
      </c>
      <c r="L91" s="191">
        <v>0</v>
      </c>
    </row>
    <row r="92" spans="2:12" x14ac:dyDescent="0.25">
      <c r="B92" s="177" t="s">
        <v>503</v>
      </c>
      <c r="C92" s="178" t="s">
        <v>842</v>
      </c>
      <c r="D92" s="179" t="s">
        <v>436</v>
      </c>
      <c r="E92" s="183">
        <v>1845</v>
      </c>
      <c r="F92" s="181">
        <v>0</v>
      </c>
      <c r="G92" s="191">
        <v>0</v>
      </c>
      <c r="H92" s="169"/>
      <c r="I92" s="177" t="str">
        <f t="shared" si="1"/>
        <v>Fast Food RestaurantMassenaElectric Heat Only</v>
      </c>
      <c r="J92" s="183">
        <v>1845</v>
      </c>
      <c r="K92" s="181">
        <v>0</v>
      </c>
      <c r="L92" s="191">
        <v>0</v>
      </c>
    </row>
    <row r="93" spans="2:12" x14ac:dyDescent="0.25">
      <c r="B93" s="177" t="s">
        <v>503</v>
      </c>
      <c r="C93" s="178" t="s">
        <v>842</v>
      </c>
      <c r="D93" s="179" t="s">
        <v>437</v>
      </c>
      <c r="E93" s="180">
        <v>0</v>
      </c>
      <c r="F93" s="181">
        <v>0</v>
      </c>
      <c r="G93" s="191">
        <v>87.1</v>
      </c>
      <c r="H93" s="169"/>
      <c r="I93" s="177" t="str">
        <f t="shared" si="1"/>
        <v>Fast Food RestaurantMassenaFuel Heat Only</v>
      </c>
      <c r="J93" s="180">
        <v>0</v>
      </c>
      <c r="K93" s="181">
        <v>0</v>
      </c>
      <c r="L93" s="191">
        <v>87.1</v>
      </c>
    </row>
    <row r="94" spans="2:12" x14ac:dyDescent="0.25">
      <c r="B94" s="177" t="s">
        <v>503</v>
      </c>
      <c r="C94" s="178" t="s">
        <v>843</v>
      </c>
      <c r="D94" s="179" t="s">
        <v>428</v>
      </c>
      <c r="E94" s="183">
        <v>1694</v>
      </c>
      <c r="F94" s="181">
        <v>0.156</v>
      </c>
      <c r="G94" s="191">
        <v>0.2</v>
      </c>
      <c r="H94" s="169"/>
      <c r="I94" s="177" t="str">
        <f t="shared" si="1"/>
        <v>Fast Food RestaurantNYCAC With Electric Heat</v>
      </c>
      <c r="J94" s="183">
        <v>1694</v>
      </c>
      <c r="K94" s="181">
        <v>0.156</v>
      </c>
      <c r="L94" s="191">
        <v>0.2</v>
      </c>
    </row>
    <row r="95" spans="2:12" x14ac:dyDescent="0.25">
      <c r="B95" s="177" t="s">
        <v>503</v>
      </c>
      <c r="C95" s="178" t="s">
        <v>843</v>
      </c>
      <c r="D95" s="179" t="s">
        <v>434</v>
      </c>
      <c r="E95" s="180">
        <v>382</v>
      </c>
      <c r="F95" s="181">
        <v>0.156</v>
      </c>
      <c r="G95" s="191">
        <v>64</v>
      </c>
      <c r="H95" s="169"/>
      <c r="I95" s="177" t="str">
        <f t="shared" si="1"/>
        <v>Fast Food RestaurantNYCAC With Fuel Heat</v>
      </c>
      <c r="J95" s="180">
        <v>382</v>
      </c>
      <c r="K95" s="181">
        <v>0.156</v>
      </c>
      <c r="L95" s="191">
        <v>64</v>
      </c>
    </row>
    <row r="96" spans="2:12" x14ac:dyDescent="0.25">
      <c r="B96" s="177" t="s">
        <v>503</v>
      </c>
      <c r="C96" s="178" t="s">
        <v>843</v>
      </c>
      <c r="D96" s="179" t="s">
        <v>435</v>
      </c>
      <c r="E96" s="183">
        <v>1254</v>
      </c>
      <c r="F96" s="181">
        <v>0.156</v>
      </c>
      <c r="G96" s="191">
        <v>0</v>
      </c>
      <c r="H96" s="169"/>
      <c r="I96" s="177" t="str">
        <f t="shared" si="1"/>
        <v>Fast Food RestaurantNYCAir Source Heat Pump</v>
      </c>
      <c r="J96" s="183">
        <v>1254</v>
      </c>
      <c r="K96" s="181">
        <v>0.156</v>
      </c>
      <c r="L96" s="191">
        <v>0</v>
      </c>
    </row>
    <row r="97" spans="2:12" x14ac:dyDescent="0.25">
      <c r="B97" s="177" t="s">
        <v>503</v>
      </c>
      <c r="C97" s="178" t="s">
        <v>843</v>
      </c>
      <c r="D97" s="179" t="s">
        <v>436</v>
      </c>
      <c r="E97" s="183">
        <v>1905</v>
      </c>
      <c r="F97" s="181">
        <v>0</v>
      </c>
      <c r="G97" s="191">
        <v>0</v>
      </c>
      <c r="H97" s="169"/>
      <c r="I97" s="177" t="str">
        <f t="shared" si="1"/>
        <v>Fast Food RestaurantNYCElectric Heat Only</v>
      </c>
      <c r="J97" s="183">
        <v>1905</v>
      </c>
      <c r="K97" s="181">
        <v>0</v>
      </c>
      <c r="L97" s="191">
        <v>0</v>
      </c>
    </row>
    <row r="98" spans="2:12" x14ac:dyDescent="0.25">
      <c r="B98" s="177" t="s">
        <v>503</v>
      </c>
      <c r="C98" s="178" t="s">
        <v>843</v>
      </c>
      <c r="D98" s="179" t="s">
        <v>437</v>
      </c>
      <c r="E98" s="180">
        <v>0</v>
      </c>
      <c r="F98" s="181">
        <v>0</v>
      </c>
      <c r="G98" s="191">
        <v>64</v>
      </c>
      <c r="H98" s="169"/>
      <c r="I98" s="177" t="str">
        <f t="shared" si="1"/>
        <v>Fast Food RestaurantNYCFuel Heat Only</v>
      </c>
      <c r="J98" s="180">
        <v>0</v>
      </c>
      <c r="K98" s="181">
        <v>0</v>
      </c>
      <c r="L98" s="191">
        <v>64</v>
      </c>
    </row>
    <row r="99" spans="2:12" x14ac:dyDescent="0.25">
      <c r="B99" s="177" t="s">
        <v>503</v>
      </c>
      <c r="C99" s="178" t="s">
        <v>844</v>
      </c>
      <c r="D99" s="179" t="s">
        <v>428</v>
      </c>
      <c r="E99" s="183">
        <v>1801</v>
      </c>
      <c r="F99" s="181">
        <v>0.156</v>
      </c>
      <c r="G99" s="191">
        <v>0</v>
      </c>
      <c r="H99" s="169"/>
      <c r="I99" s="177" t="str">
        <f t="shared" si="1"/>
        <v>Fast Food RestaurantPoughkeepsieAC With Electric Heat</v>
      </c>
      <c r="J99" s="183">
        <v>1801</v>
      </c>
      <c r="K99" s="181">
        <v>0.156</v>
      </c>
      <c r="L99" s="191">
        <v>0</v>
      </c>
    </row>
    <row r="100" spans="2:12" x14ac:dyDescent="0.25">
      <c r="B100" s="177" t="s">
        <v>503</v>
      </c>
      <c r="C100" s="178" t="s">
        <v>844</v>
      </c>
      <c r="D100" s="179" t="s">
        <v>434</v>
      </c>
      <c r="E100" s="180">
        <v>308</v>
      </c>
      <c r="F100" s="181">
        <v>0.156</v>
      </c>
      <c r="G100" s="191">
        <v>71.900000000000006</v>
      </c>
      <c r="H100" s="169"/>
      <c r="I100" s="177" t="str">
        <f t="shared" si="1"/>
        <v>Fast Food RestaurantPoughkeepsieAC With Fuel Heat</v>
      </c>
      <c r="J100" s="180">
        <v>308</v>
      </c>
      <c r="K100" s="181">
        <v>0.156</v>
      </c>
      <c r="L100" s="191">
        <v>71.900000000000006</v>
      </c>
    </row>
    <row r="101" spans="2:12" x14ac:dyDescent="0.25">
      <c r="B101" s="177" t="s">
        <v>503</v>
      </c>
      <c r="C101" s="178" t="s">
        <v>844</v>
      </c>
      <c r="D101" s="179" t="s">
        <v>435</v>
      </c>
      <c r="E101" s="183">
        <v>1333</v>
      </c>
      <c r="F101" s="181">
        <v>0.156</v>
      </c>
      <c r="G101" s="191">
        <v>0</v>
      </c>
      <c r="H101" s="169"/>
      <c r="I101" s="177" t="str">
        <f t="shared" si="1"/>
        <v>Fast Food RestaurantPoughkeepsieAir Source Heat Pump</v>
      </c>
      <c r="J101" s="183">
        <v>1333</v>
      </c>
      <c r="K101" s="181">
        <v>0.156</v>
      </c>
      <c r="L101" s="191">
        <v>0</v>
      </c>
    </row>
    <row r="102" spans="2:12" x14ac:dyDescent="0.25">
      <c r="B102" s="177" t="s">
        <v>503</v>
      </c>
      <c r="C102" s="178" t="s">
        <v>844</v>
      </c>
      <c r="D102" s="179" t="s">
        <v>436</v>
      </c>
      <c r="E102" s="183">
        <v>1927</v>
      </c>
      <c r="F102" s="181">
        <v>0</v>
      </c>
      <c r="G102" s="191">
        <v>0</v>
      </c>
      <c r="H102" s="169"/>
      <c r="I102" s="177" t="str">
        <f t="shared" si="1"/>
        <v>Fast Food RestaurantPoughkeepsieElectric Heat Only</v>
      </c>
      <c r="J102" s="183">
        <v>1927</v>
      </c>
      <c r="K102" s="181">
        <v>0</v>
      </c>
      <c r="L102" s="191">
        <v>0</v>
      </c>
    </row>
    <row r="103" spans="2:12" x14ac:dyDescent="0.25">
      <c r="B103" s="177" t="s">
        <v>503</v>
      </c>
      <c r="C103" s="178" t="s">
        <v>844</v>
      </c>
      <c r="D103" s="179" t="s">
        <v>437</v>
      </c>
      <c r="E103" s="180">
        <v>0</v>
      </c>
      <c r="F103" s="181">
        <v>0</v>
      </c>
      <c r="G103" s="191">
        <v>71.900000000000006</v>
      </c>
      <c r="H103" s="169"/>
      <c r="I103" s="177" t="str">
        <f t="shared" si="1"/>
        <v>Fast Food RestaurantPoughkeepsieFuel Heat Only</v>
      </c>
      <c r="J103" s="180">
        <v>0</v>
      </c>
      <c r="K103" s="181">
        <v>0</v>
      </c>
      <c r="L103" s="191">
        <v>71.900000000000006</v>
      </c>
    </row>
    <row r="104" spans="2:12" x14ac:dyDescent="0.25">
      <c r="B104" s="177" t="s">
        <v>503</v>
      </c>
      <c r="C104" s="178" t="s">
        <v>845</v>
      </c>
      <c r="D104" s="179" t="s">
        <v>428</v>
      </c>
      <c r="E104" s="183">
        <v>2066</v>
      </c>
      <c r="F104" s="181">
        <v>0.156</v>
      </c>
      <c r="G104" s="191">
        <v>0.2</v>
      </c>
      <c r="H104" s="169"/>
      <c r="I104" s="177" t="str">
        <f t="shared" si="1"/>
        <v>Fast Food RestaurantSyracuseAC With Electric Heat</v>
      </c>
      <c r="J104" s="183">
        <v>2066</v>
      </c>
      <c r="K104" s="181">
        <v>0.156</v>
      </c>
      <c r="L104" s="191">
        <v>0.2</v>
      </c>
    </row>
    <row r="105" spans="2:12" x14ac:dyDescent="0.25">
      <c r="B105" s="177" t="s">
        <v>503</v>
      </c>
      <c r="C105" s="178" t="s">
        <v>845</v>
      </c>
      <c r="D105" s="179" t="s">
        <v>434</v>
      </c>
      <c r="E105" s="180">
        <v>303</v>
      </c>
      <c r="F105" s="181">
        <v>0.156</v>
      </c>
      <c r="G105" s="191">
        <v>83.1</v>
      </c>
      <c r="H105" s="169"/>
      <c r="I105" s="177" t="str">
        <f t="shared" si="1"/>
        <v>Fast Food RestaurantSyracuseAC With Fuel Heat</v>
      </c>
      <c r="J105" s="180">
        <v>303</v>
      </c>
      <c r="K105" s="181">
        <v>0.156</v>
      </c>
      <c r="L105" s="191">
        <v>83.1</v>
      </c>
    </row>
    <row r="106" spans="2:12" x14ac:dyDescent="0.25">
      <c r="B106" s="177" t="s">
        <v>503</v>
      </c>
      <c r="C106" s="178" t="s">
        <v>845</v>
      </c>
      <c r="D106" s="179" t="s">
        <v>435</v>
      </c>
      <c r="E106" s="183">
        <v>1529</v>
      </c>
      <c r="F106" s="181">
        <v>0.156</v>
      </c>
      <c r="G106" s="191">
        <v>0</v>
      </c>
      <c r="H106" s="169"/>
      <c r="I106" s="177" t="str">
        <f t="shared" si="1"/>
        <v>Fast Food RestaurantSyracuseAir Source Heat Pump</v>
      </c>
      <c r="J106" s="183">
        <v>1529</v>
      </c>
      <c r="K106" s="181">
        <v>0.156</v>
      </c>
      <c r="L106" s="191">
        <v>0</v>
      </c>
    </row>
    <row r="107" spans="2:12" x14ac:dyDescent="0.25">
      <c r="B107" s="177" t="s">
        <v>503</v>
      </c>
      <c r="C107" s="178" t="s">
        <v>845</v>
      </c>
      <c r="D107" s="179" t="s">
        <v>436</v>
      </c>
      <c r="E107" s="183">
        <v>1867</v>
      </c>
      <c r="F107" s="181">
        <v>0</v>
      </c>
      <c r="G107" s="191">
        <v>0</v>
      </c>
      <c r="H107" s="169"/>
      <c r="I107" s="177" t="str">
        <f t="shared" si="1"/>
        <v>Fast Food RestaurantSyracuseElectric Heat Only</v>
      </c>
      <c r="J107" s="183">
        <v>1867</v>
      </c>
      <c r="K107" s="181">
        <v>0</v>
      </c>
      <c r="L107" s="191">
        <v>0</v>
      </c>
    </row>
    <row r="108" spans="2:12" ht="15.75" thickBot="1" x14ac:dyDescent="0.3">
      <c r="B108" s="184" t="s">
        <v>503</v>
      </c>
      <c r="C108" s="185" t="s">
        <v>845</v>
      </c>
      <c r="D108" s="186" t="s">
        <v>437</v>
      </c>
      <c r="E108" s="187">
        <v>0</v>
      </c>
      <c r="F108" s="188">
        <v>0</v>
      </c>
      <c r="G108" s="192">
        <v>83.1</v>
      </c>
      <c r="H108" s="169"/>
      <c r="I108" s="184" t="str">
        <f t="shared" si="1"/>
        <v>Fast Food RestaurantSyracuseFuel Heat Only</v>
      </c>
      <c r="J108" s="187">
        <v>0</v>
      </c>
      <c r="K108" s="188">
        <v>0</v>
      </c>
      <c r="L108" s="192">
        <v>83.1</v>
      </c>
    </row>
    <row r="109" spans="2:12" x14ac:dyDescent="0.25">
      <c r="B109" s="171" t="s">
        <v>507</v>
      </c>
      <c r="C109" s="172" t="s">
        <v>839</v>
      </c>
      <c r="D109" s="173" t="s">
        <v>428</v>
      </c>
      <c r="E109" s="174">
        <v>2670</v>
      </c>
      <c r="F109" s="175">
        <v>0.156</v>
      </c>
      <c r="G109" s="190">
        <v>0</v>
      </c>
      <c r="H109" s="169"/>
      <c r="I109" s="171" t="str">
        <f t="shared" si="1"/>
        <v>Full Service RestaurantAlbanyAC With Electric Heat</v>
      </c>
      <c r="J109" s="174">
        <v>2670</v>
      </c>
      <c r="K109" s="175">
        <v>0.156</v>
      </c>
      <c r="L109" s="190">
        <v>0</v>
      </c>
    </row>
    <row r="110" spans="2:12" x14ac:dyDescent="0.25">
      <c r="B110" s="177" t="s">
        <v>507</v>
      </c>
      <c r="C110" s="178" t="s">
        <v>839</v>
      </c>
      <c r="D110" s="179" t="s">
        <v>434</v>
      </c>
      <c r="E110" s="180">
        <v>380</v>
      </c>
      <c r="F110" s="181">
        <v>0.156</v>
      </c>
      <c r="G110" s="191">
        <v>108.6</v>
      </c>
      <c r="H110" s="169"/>
      <c r="I110" s="177" t="str">
        <f t="shared" si="1"/>
        <v>Full Service RestaurantAlbanyAC With Fuel Heat</v>
      </c>
      <c r="J110" s="180">
        <v>380</v>
      </c>
      <c r="K110" s="181">
        <v>0.156</v>
      </c>
      <c r="L110" s="191">
        <v>108.6</v>
      </c>
    </row>
    <row r="111" spans="2:12" x14ac:dyDescent="0.25">
      <c r="B111" s="177" t="s">
        <v>507</v>
      </c>
      <c r="C111" s="178" t="s">
        <v>839</v>
      </c>
      <c r="D111" s="179" t="s">
        <v>435</v>
      </c>
      <c r="E111" s="183">
        <v>1976</v>
      </c>
      <c r="F111" s="181">
        <v>0.156</v>
      </c>
      <c r="G111" s="191">
        <v>0</v>
      </c>
      <c r="H111" s="169"/>
      <c r="I111" s="177" t="str">
        <f t="shared" si="1"/>
        <v>Full Service RestaurantAlbanyAir Source Heat Pump</v>
      </c>
      <c r="J111" s="183">
        <v>1976</v>
      </c>
      <c r="K111" s="181">
        <v>0.156</v>
      </c>
      <c r="L111" s="191">
        <v>0</v>
      </c>
    </row>
    <row r="112" spans="2:12" x14ac:dyDescent="0.25">
      <c r="B112" s="177" t="s">
        <v>507</v>
      </c>
      <c r="C112" s="178" t="s">
        <v>839</v>
      </c>
      <c r="D112" s="179" t="s">
        <v>436</v>
      </c>
      <c r="E112" s="183">
        <v>2426</v>
      </c>
      <c r="F112" s="181">
        <v>0</v>
      </c>
      <c r="G112" s="191">
        <v>0</v>
      </c>
      <c r="H112" s="169"/>
      <c r="I112" s="177" t="str">
        <f t="shared" si="1"/>
        <v>Full Service RestaurantAlbanyElectric Heat Only</v>
      </c>
      <c r="J112" s="183">
        <v>2426</v>
      </c>
      <c r="K112" s="181">
        <v>0</v>
      </c>
      <c r="L112" s="191">
        <v>0</v>
      </c>
    </row>
    <row r="113" spans="2:12" x14ac:dyDescent="0.25">
      <c r="B113" s="177" t="s">
        <v>507</v>
      </c>
      <c r="C113" s="178" t="s">
        <v>839</v>
      </c>
      <c r="D113" s="179" t="s">
        <v>437</v>
      </c>
      <c r="E113" s="180">
        <v>0</v>
      </c>
      <c r="F113" s="181">
        <v>0</v>
      </c>
      <c r="G113" s="191">
        <v>108.6</v>
      </c>
      <c r="H113" s="169"/>
      <c r="I113" s="177" t="str">
        <f t="shared" si="1"/>
        <v>Full Service RestaurantAlbanyFuel Heat Only</v>
      </c>
      <c r="J113" s="180">
        <v>0</v>
      </c>
      <c r="K113" s="181">
        <v>0</v>
      </c>
      <c r="L113" s="191">
        <v>108.6</v>
      </c>
    </row>
    <row r="114" spans="2:12" x14ac:dyDescent="0.25">
      <c r="B114" s="177" t="s">
        <v>507</v>
      </c>
      <c r="C114" s="178" t="s">
        <v>840</v>
      </c>
      <c r="D114" s="179" t="s">
        <v>428</v>
      </c>
      <c r="E114" s="183">
        <v>2778</v>
      </c>
      <c r="F114" s="181">
        <v>0.156</v>
      </c>
      <c r="G114" s="191">
        <v>0</v>
      </c>
      <c r="H114" s="169"/>
      <c r="I114" s="177" t="str">
        <f t="shared" si="1"/>
        <v>Full Service RestaurantBinghamtonAC With Electric Heat</v>
      </c>
      <c r="J114" s="183">
        <v>2778</v>
      </c>
      <c r="K114" s="181">
        <v>0.156</v>
      </c>
      <c r="L114" s="191">
        <v>0</v>
      </c>
    </row>
    <row r="115" spans="2:12" x14ac:dyDescent="0.25">
      <c r="B115" s="177" t="s">
        <v>507</v>
      </c>
      <c r="C115" s="178" t="s">
        <v>840</v>
      </c>
      <c r="D115" s="179" t="s">
        <v>434</v>
      </c>
      <c r="E115" s="180">
        <v>338</v>
      </c>
      <c r="F115" s="181">
        <v>0.156</v>
      </c>
      <c r="G115" s="191">
        <v>115.2</v>
      </c>
      <c r="H115" s="169"/>
      <c r="I115" s="177" t="str">
        <f t="shared" si="1"/>
        <v>Full Service RestaurantBinghamtonAC With Fuel Heat</v>
      </c>
      <c r="J115" s="180">
        <v>338</v>
      </c>
      <c r="K115" s="181">
        <v>0.156</v>
      </c>
      <c r="L115" s="191">
        <v>115.2</v>
      </c>
    </row>
    <row r="116" spans="2:12" x14ac:dyDescent="0.25">
      <c r="B116" s="177" t="s">
        <v>507</v>
      </c>
      <c r="C116" s="178" t="s">
        <v>840</v>
      </c>
      <c r="D116" s="179" t="s">
        <v>435</v>
      </c>
      <c r="E116" s="183">
        <v>2056</v>
      </c>
      <c r="F116" s="181">
        <v>0.156</v>
      </c>
      <c r="G116" s="191">
        <v>0</v>
      </c>
      <c r="H116" s="169"/>
      <c r="I116" s="177" t="str">
        <f t="shared" si="1"/>
        <v>Full Service RestaurantBinghamtonAir Source Heat Pump</v>
      </c>
      <c r="J116" s="183">
        <v>2056</v>
      </c>
      <c r="K116" s="181">
        <v>0.156</v>
      </c>
      <c r="L116" s="191">
        <v>0</v>
      </c>
    </row>
    <row r="117" spans="2:12" x14ac:dyDescent="0.25">
      <c r="B117" s="177" t="s">
        <v>507</v>
      </c>
      <c r="C117" s="178" t="s">
        <v>840</v>
      </c>
      <c r="D117" s="179" t="s">
        <v>436</v>
      </c>
      <c r="E117" s="183">
        <v>2614</v>
      </c>
      <c r="F117" s="181">
        <v>0</v>
      </c>
      <c r="G117" s="191">
        <v>0</v>
      </c>
      <c r="H117" s="169"/>
      <c r="I117" s="177" t="str">
        <f t="shared" si="1"/>
        <v>Full Service RestaurantBinghamtonElectric Heat Only</v>
      </c>
      <c r="J117" s="183">
        <v>2614</v>
      </c>
      <c r="K117" s="181">
        <v>0</v>
      </c>
      <c r="L117" s="191">
        <v>0</v>
      </c>
    </row>
    <row r="118" spans="2:12" x14ac:dyDescent="0.25">
      <c r="B118" s="177" t="s">
        <v>507</v>
      </c>
      <c r="C118" s="178" t="s">
        <v>840</v>
      </c>
      <c r="D118" s="179" t="s">
        <v>437</v>
      </c>
      <c r="E118" s="180">
        <v>0</v>
      </c>
      <c r="F118" s="181">
        <v>0</v>
      </c>
      <c r="G118" s="191">
        <v>115.2</v>
      </c>
      <c r="H118" s="169"/>
      <c r="I118" s="177" t="str">
        <f t="shared" si="1"/>
        <v>Full Service RestaurantBinghamtonFuel Heat Only</v>
      </c>
      <c r="J118" s="180">
        <v>0</v>
      </c>
      <c r="K118" s="181">
        <v>0</v>
      </c>
      <c r="L118" s="191">
        <v>115.2</v>
      </c>
    </row>
    <row r="119" spans="2:12" x14ac:dyDescent="0.25">
      <c r="B119" s="177" t="s">
        <v>507</v>
      </c>
      <c r="C119" s="178" t="s">
        <v>841</v>
      </c>
      <c r="D119" s="179" t="s">
        <v>428</v>
      </c>
      <c r="E119" s="183">
        <v>2977</v>
      </c>
      <c r="F119" s="181">
        <v>0.156</v>
      </c>
      <c r="G119" s="191">
        <v>0</v>
      </c>
      <c r="H119" s="169"/>
      <c r="I119" s="177" t="str">
        <f t="shared" si="1"/>
        <v>Full Service RestaurantBuffaloAC With Electric Heat</v>
      </c>
      <c r="J119" s="183">
        <v>2977</v>
      </c>
      <c r="K119" s="181">
        <v>0.156</v>
      </c>
      <c r="L119" s="191">
        <v>0</v>
      </c>
    </row>
    <row r="120" spans="2:12" x14ac:dyDescent="0.25">
      <c r="B120" s="177" t="s">
        <v>507</v>
      </c>
      <c r="C120" s="178" t="s">
        <v>841</v>
      </c>
      <c r="D120" s="179" t="s">
        <v>434</v>
      </c>
      <c r="E120" s="180">
        <v>352</v>
      </c>
      <c r="F120" s="181">
        <v>0.156</v>
      </c>
      <c r="G120" s="191">
        <v>124.3</v>
      </c>
      <c r="H120" s="169"/>
      <c r="I120" s="177" t="str">
        <f t="shared" si="1"/>
        <v>Full Service RestaurantBuffaloAC With Fuel Heat</v>
      </c>
      <c r="J120" s="180">
        <v>352</v>
      </c>
      <c r="K120" s="181">
        <v>0.156</v>
      </c>
      <c r="L120" s="191">
        <v>124.3</v>
      </c>
    </row>
    <row r="121" spans="2:12" x14ac:dyDescent="0.25">
      <c r="B121" s="177" t="s">
        <v>507</v>
      </c>
      <c r="C121" s="178" t="s">
        <v>841</v>
      </c>
      <c r="D121" s="179" t="s">
        <v>435</v>
      </c>
      <c r="E121" s="183">
        <v>2203</v>
      </c>
      <c r="F121" s="181">
        <v>0.156</v>
      </c>
      <c r="G121" s="191">
        <v>0</v>
      </c>
      <c r="H121" s="169"/>
      <c r="I121" s="177" t="str">
        <f t="shared" si="1"/>
        <v>Full Service RestaurantBuffaloAir Source Heat Pump</v>
      </c>
      <c r="J121" s="183">
        <v>2203</v>
      </c>
      <c r="K121" s="181">
        <v>0.156</v>
      </c>
      <c r="L121" s="191">
        <v>0</v>
      </c>
    </row>
    <row r="122" spans="2:12" x14ac:dyDescent="0.25">
      <c r="B122" s="177" t="s">
        <v>507</v>
      </c>
      <c r="C122" s="178" t="s">
        <v>841</v>
      </c>
      <c r="D122" s="179" t="s">
        <v>436</v>
      </c>
      <c r="E122" s="183">
        <v>2751</v>
      </c>
      <c r="F122" s="181">
        <v>0</v>
      </c>
      <c r="G122" s="191">
        <v>0</v>
      </c>
      <c r="H122" s="169"/>
      <c r="I122" s="177" t="str">
        <f t="shared" si="1"/>
        <v>Full Service RestaurantBuffaloElectric Heat Only</v>
      </c>
      <c r="J122" s="183">
        <v>2751</v>
      </c>
      <c r="K122" s="181">
        <v>0</v>
      </c>
      <c r="L122" s="191">
        <v>0</v>
      </c>
    </row>
    <row r="123" spans="2:12" x14ac:dyDescent="0.25">
      <c r="B123" s="177" t="s">
        <v>507</v>
      </c>
      <c r="C123" s="178" t="s">
        <v>841</v>
      </c>
      <c r="D123" s="179" t="s">
        <v>437</v>
      </c>
      <c r="E123" s="180">
        <v>0</v>
      </c>
      <c r="F123" s="181">
        <v>0</v>
      </c>
      <c r="G123" s="191">
        <v>124.3</v>
      </c>
      <c r="H123" s="169"/>
      <c r="I123" s="177" t="str">
        <f t="shared" si="1"/>
        <v>Full Service RestaurantBuffaloFuel Heat Only</v>
      </c>
      <c r="J123" s="180">
        <v>0</v>
      </c>
      <c r="K123" s="181">
        <v>0</v>
      </c>
      <c r="L123" s="191">
        <v>124.3</v>
      </c>
    </row>
    <row r="124" spans="2:12" x14ac:dyDescent="0.25">
      <c r="B124" s="177" t="s">
        <v>507</v>
      </c>
      <c r="C124" s="178" t="s">
        <v>842</v>
      </c>
      <c r="D124" s="179" t="s">
        <v>428</v>
      </c>
      <c r="E124" s="183">
        <v>2812</v>
      </c>
      <c r="F124" s="181">
        <v>0.156</v>
      </c>
      <c r="G124" s="191">
        <v>0</v>
      </c>
      <c r="H124" s="169"/>
      <c r="I124" s="177" t="str">
        <f t="shared" si="1"/>
        <v>Full Service RestaurantMassenaAC With Electric Heat</v>
      </c>
      <c r="J124" s="183">
        <v>2812</v>
      </c>
      <c r="K124" s="181">
        <v>0.156</v>
      </c>
      <c r="L124" s="191">
        <v>0</v>
      </c>
    </row>
    <row r="125" spans="2:12" x14ac:dyDescent="0.25">
      <c r="B125" s="177" t="s">
        <v>507</v>
      </c>
      <c r="C125" s="178" t="s">
        <v>842</v>
      </c>
      <c r="D125" s="179" t="s">
        <v>434</v>
      </c>
      <c r="E125" s="180">
        <v>372</v>
      </c>
      <c r="F125" s="181">
        <v>0.156</v>
      </c>
      <c r="G125" s="191">
        <v>115.5</v>
      </c>
      <c r="H125" s="169"/>
      <c r="I125" s="177" t="str">
        <f t="shared" si="1"/>
        <v>Full Service RestaurantMassenaAC With Fuel Heat</v>
      </c>
      <c r="J125" s="180">
        <v>372</v>
      </c>
      <c r="K125" s="181">
        <v>0.156</v>
      </c>
      <c r="L125" s="191">
        <v>115.5</v>
      </c>
    </row>
    <row r="126" spans="2:12" x14ac:dyDescent="0.25">
      <c r="B126" s="177" t="s">
        <v>507</v>
      </c>
      <c r="C126" s="178" t="s">
        <v>842</v>
      </c>
      <c r="D126" s="179" t="s">
        <v>435</v>
      </c>
      <c r="E126" s="183">
        <v>2081</v>
      </c>
      <c r="F126" s="181">
        <v>0.156</v>
      </c>
      <c r="G126" s="191">
        <v>0</v>
      </c>
      <c r="H126" s="169"/>
      <c r="I126" s="177" t="str">
        <f t="shared" si="1"/>
        <v>Full Service RestaurantMassenaAir Source Heat Pump</v>
      </c>
      <c r="J126" s="183">
        <v>2081</v>
      </c>
      <c r="K126" s="181">
        <v>0.156</v>
      </c>
      <c r="L126" s="191">
        <v>0</v>
      </c>
    </row>
    <row r="127" spans="2:12" x14ac:dyDescent="0.25">
      <c r="B127" s="177" t="s">
        <v>507</v>
      </c>
      <c r="C127" s="178" t="s">
        <v>842</v>
      </c>
      <c r="D127" s="179" t="s">
        <v>436</v>
      </c>
      <c r="E127" s="183">
        <v>2618</v>
      </c>
      <c r="F127" s="181">
        <v>0</v>
      </c>
      <c r="G127" s="191">
        <v>0</v>
      </c>
      <c r="H127" s="169"/>
      <c r="I127" s="177" t="str">
        <f t="shared" si="1"/>
        <v>Full Service RestaurantMassenaElectric Heat Only</v>
      </c>
      <c r="J127" s="183">
        <v>2618</v>
      </c>
      <c r="K127" s="181">
        <v>0</v>
      </c>
      <c r="L127" s="191">
        <v>0</v>
      </c>
    </row>
    <row r="128" spans="2:12" x14ac:dyDescent="0.25">
      <c r="B128" s="177" t="s">
        <v>507</v>
      </c>
      <c r="C128" s="178" t="s">
        <v>842</v>
      </c>
      <c r="D128" s="179" t="s">
        <v>437</v>
      </c>
      <c r="E128" s="180">
        <v>0</v>
      </c>
      <c r="F128" s="181">
        <v>0</v>
      </c>
      <c r="G128" s="191">
        <v>115.5</v>
      </c>
      <c r="H128" s="169"/>
      <c r="I128" s="177" t="str">
        <f t="shared" si="1"/>
        <v>Full Service RestaurantMassenaFuel Heat Only</v>
      </c>
      <c r="J128" s="180">
        <v>0</v>
      </c>
      <c r="K128" s="181">
        <v>0</v>
      </c>
      <c r="L128" s="191">
        <v>115.5</v>
      </c>
    </row>
    <row r="129" spans="2:12" x14ac:dyDescent="0.25">
      <c r="B129" s="177" t="s">
        <v>507</v>
      </c>
      <c r="C129" s="178" t="s">
        <v>843</v>
      </c>
      <c r="D129" s="179" t="s">
        <v>428</v>
      </c>
      <c r="E129" s="183">
        <v>2325</v>
      </c>
      <c r="F129" s="181">
        <v>0.156</v>
      </c>
      <c r="G129" s="191">
        <v>0</v>
      </c>
      <c r="H129" s="169"/>
      <c r="I129" s="177" t="str">
        <f t="shared" si="1"/>
        <v>Full Service RestaurantNYCAC With Electric Heat</v>
      </c>
      <c r="J129" s="183">
        <v>2325</v>
      </c>
      <c r="K129" s="181">
        <v>0.156</v>
      </c>
      <c r="L129" s="191">
        <v>0</v>
      </c>
    </row>
    <row r="130" spans="2:12" x14ac:dyDescent="0.25">
      <c r="B130" s="177" t="s">
        <v>507</v>
      </c>
      <c r="C130" s="178" t="s">
        <v>843</v>
      </c>
      <c r="D130" s="179" t="s">
        <v>434</v>
      </c>
      <c r="E130" s="180">
        <v>449</v>
      </c>
      <c r="F130" s="181">
        <v>0.156</v>
      </c>
      <c r="G130" s="191">
        <v>91.7</v>
      </c>
      <c r="H130" s="169"/>
      <c r="I130" s="177" t="str">
        <f t="shared" si="1"/>
        <v>Full Service RestaurantNYCAC With Fuel Heat</v>
      </c>
      <c r="J130" s="180">
        <v>449</v>
      </c>
      <c r="K130" s="181">
        <v>0.156</v>
      </c>
      <c r="L130" s="191">
        <v>91.7</v>
      </c>
    </row>
    <row r="131" spans="2:12" x14ac:dyDescent="0.25">
      <c r="B131" s="177" t="s">
        <v>507</v>
      </c>
      <c r="C131" s="178" t="s">
        <v>843</v>
      </c>
      <c r="D131" s="179" t="s">
        <v>435</v>
      </c>
      <c r="E131" s="183">
        <v>1721</v>
      </c>
      <c r="F131" s="181">
        <v>0.156</v>
      </c>
      <c r="G131" s="191">
        <v>0</v>
      </c>
      <c r="H131" s="169"/>
      <c r="I131" s="177" t="str">
        <f t="shared" si="1"/>
        <v>Full Service RestaurantNYCAir Source Heat Pump</v>
      </c>
      <c r="J131" s="183">
        <v>1721</v>
      </c>
      <c r="K131" s="181">
        <v>0.156</v>
      </c>
      <c r="L131" s="191">
        <v>0</v>
      </c>
    </row>
    <row r="132" spans="2:12" x14ac:dyDescent="0.25">
      <c r="B132" s="177" t="s">
        <v>507</v>
      </c>
      <c r="C132" s="178" t="s">
        <v>843</v>
      </c>
      <c r="D132" s="179" t="s">
        <v>436</v>
      </c>
      <c r="E132" s="183">
        <v>2068</v>
      </c>
      <c r="F132" s="181">
        <v>0</v>
      </c>
      <c r="G132" s="191">
        <v>0</v>
      </c>
      <c r="H132" s="169"/>
      <c r="I132" s="177" t="str">
        <f t="shared" si="1"/>
        <v>Full Service RestaurantNYCElectric Heat Only</v>
      </c>
      <c r="J132" s="183">
        <v>2068</v>
      </c>
      <c r="K132" s="181">
        <v>0</v>
      </c>
      <c r="L132" s="191">
        <v>0</v>
      </c>
    </row>
    <row r="133" spans="2:12" x14ac:dyDescent="0.25">
      <c r="B133" s="177" t="s">
        <v>507</v>
      </c>
      <c r="C133" s="178" t="s">
        <v>843</v>
      </c>
      <c r="D133" s="179" t="s">
        <v>437</v>
      </c>
      <c r="E133" s="180">
        <v>0</v>
      </c>
      <c r="F133" s="181">
        <v>0</v>
      </c>
      <c r="G133" s="191">
        <v>91.7</v>
      </c>
      <c r="H133" s="169"/>
      <c r="I133" s="177" t="str">
        <f t="shared" ref="I133:I196" si="2">B133&amp;C133&amp;D133</f>
        <v>Full Service RestaurantNYCFuel Heat Only</v>
      </c>
      <c r="J133" s="180">
        <v>0</v>
      </c>
      <c r="K133" s="181">
        <v>0</v>
      </c>
      <c r="L133" s="191">
        <v>91.7</v>
      </c>
    </row>
    <row r="134" spans="2:12" x14ac:dyDescent="0.25">
      <c r="B134" s="177" t="s">
        <v>507</v>
      </c>
      <c r="C134" s="178" t="s">
        <v>844</v>
      </c>
      <c r="D134" s="179" t="s">
        <v>428</v>
      </c>
      <c r="E134" s="183">
        <v>2161</v>
      </c>
      <c r="F134" s="181">
        <v>0.156</v>
      </c>
      <c r="G134" s="191">
        <v>0</v>
      </c>
      <c r="H134" s="169"/>
      <c r="I134" s="177" t="str">
        <f t="shared" si="2"/>
        <v>Full Service RestaurantPoughkeepsieAC With Electric Heat</v>
      </c>
      <c r="J134" s="183">
        <v>2161</v>
      </c>
      <c r="K134" s="181">
        <v>0.156</v>
      </c>
      <c r="L134" s="191">
        <v>0</v>
      </c>
    </row>
    <row r="135" spans="2:12" x14ac:dyDescent="0.25">
      <c r="B135" s="177" t="s">
        <v>507</v>
      </c>
      <c r="C135" s="178" t="s">
        <v>844</v>
      </c>
      <c r="D135" s="179" t="s">
        <v>434</v>
      </c>
      <c r="E135" s="180">
        <v>373</v>
      </c>
      <c r="F135" s="181">
        <v>0.156</v>
      </c>
      <c r="G135" s="191">
        <v>87.6</v>
      </c>
      <c r="H135" s="169"/>
      <c r="I135" s="177" t="str">
        <f t="shared" si="2"/>
        <v>Full Service RestaurantPoughkeepsieAC With Fuel Heat</v>
      </c>
      <c r="J135" s="180">
        <v>373</v>
      </c>
      <c r="K135" s="181">
        <v>0.156</v>
      </c>
      <c r="L135" s="191">
        <v>87.6</v>
      </c>
    </row>
    <row r="136" spans="2:12" x14ac:dyDescent="0.25">
      <c r="B136" s="177" t="s">
        <v>507</v>
      </c>
      <c r="C136" s="178" t="s">
        <v>844</v>
      </c>
      <c r="D136" s="179" t="s">
        <v>435</v>
      </c>
      <c r="E136" s="183">
        <v>1599</v>
      </c>
      <c r="F136" s="181">
        <v>0.156</v>
      </c>
      <c r="G136" s="191">
        <v>0</v>
      </c>
      <c r="H136" s="169"/>
      <c r="I136" s="177" t="str">
        <f t="shared" si="2"/>
        <v>Full Service RestaurantPoughkeepsieAir Source Heat Pump</v>
      </c>
      <c r="J136" s="183">
        <v>1599</v>
      </c>
      <c r="K136" s="181">
        <v>0.156</v>
      </c>
      <c r="L136" s="191">
        <v>0</v>
      </c>
    </row>
    <row r="137" spans="2:12" x14ac:dyDescent="0.25">
      <c r="B137" s="177" t="s">
        <v>507</v>
      </c>
      <c r="C137" s="178" t="s">
        <v>844</v>
      </c>
      <c r="D137" s="179" t="s">
        <v>436</v>
      </c>
      <c r="E137" s="183">
        <v>1921</v>
      </c>
      <c r="F137" s="181">
        <v>0</v>
      </c>
      <c r="G137" s="191">
        <v>0</v>
      </c>
      <c r="H137" s="169"/>
      <c r="I137" s="177" t="str">
        <f t="shared" si="2"/>
        <v>Full Service RestaurantPoughkeepsieElectric Heat Only</v>
      </c>
      <c r="J137" s="183">
        <v>1921</v>
      </c>
      <c r="K137" s="181">
        <v>0</v>
      </c>
      <c r="L137" s="191">
        <v>0</v>
      </c>
    </row>
    <row r="138" spans="2:12" x14ac:dyDescent="0.25">
      <c r="B138" s="177" t="s">
        <v>507</v>
      </c>
      <c r="C138" s="178" t="s">
        <v>844</v>
      </c>
      <c r="D138" s="179" t="s">
        <v>437</v>
      </c>
      <c r="E138" s="180">
        <v>0</v>
      </c>
      <c r="F138" s="181">
        <v>0</v>
      </c>
      <c r="G138" s="191">
        <v>87.6</v>
      </c>
      <c r="H138" s="169"/>
      <c r="I138" s="177" t="str">
        <f t="shared" si="2"/>
        <v>Full Service RestaurantPoughkeepsieFuel Heat Only</v>
      </c>
      <c r="J138" s="180">
        <v>0</v>
      </c>
      <c r="K138" s="181">
        <v>0</v>
      </c>
      <c r="L138" s="191">
        <v>87.6</v>
      </c>
    </row>
    <row r="139" spans="2:12" x14ac:dyDescent="0.25">
      <c r="B139" s="177" t="s">
        <v>507</v>
      </c>
      <c r="C139" s="178" t="s">
        <v>845</v>
      </c>
      <c r="D139" s="179" t="s">
        <v>428</v>
      </c>
      <c r="E139" s="183">
        <v>3060</v>
      </c>
      <c r="F139" s="181">
        <v>0.156</v>
      </c>
      <c r="G139" s="191">
        <v>0</v>
      </c>
      <c r="H139" s="169"/>
      <c r="I139" s="177" t="str">
        <f t="shared" si="2"/>
        <v>Full Service RestaurantSyracuseAC With Electric Heat</v>
      </c>
      <c r="J139" s="183">
        <v>3060</v>
      </c>
      <c r="K139" s="181">
        <v>0.156</v>
      </c>
      <c r="L139" s="191">
        <v>0</v>
      </c>
    </row>
    <row r="140" spans="2:12" x14ac:dyDescent="0.25">
      <c r="B140" s="177" t="s">
        <v>507</v>
      </c>
      <c r="C140" s="178" t="s">
        <v>845</v>
      </c>
      <c r="D140" s="179" t="s">
        <v>434</v>
      </c>
      <c r="E140" s="180">
        <v>407</v>
      </c>
      <c r="F140" s="181">
        <v>0.156</v>
      </c>
      <c r="G140" s="191">
        <v>127.3</v>
      </c>
      <c r="H140" s="169"/>
      <c r="I140" s="177" t="str">
        <f t="shared" si="2"/>
        <v>Full Service RestaurantSyracuseAC With Fuel Heat</v>
      </c>
      <c r="J140" s="180">
        <v>407</v>
      </c>
      <c r="K140" s="181">
        <v>0.156</v>
      </c>
      <c r="L140" s="191">
        <v>127.3</v>
      </c>
    </row>
    <row r="141" spans="2:12" x14ac:dyDescent="0.25">
      <c r="B141" s="177" t="s">
        <v>507</v>
      </c>
      <c r="C141" s="178" t="s">
        <v>845</v>
      </c>
      <c r="D141" s="179" t="s">
        <v>435</v>
      </c>
      <c r="E141" s="183">
        <v>2264</v>
      </c>
      <c r="F141" s="181">
        <v>0.156</v>
      </c>
      <c r="G141" s="191">
        <v>0</v>
      </c>
      <c r="H141" s="169"/>
      <c r="I141" s="177" t="str">
        <f t="shared" si="2"/>
        <v>Full Service RestaurantSyracuseAir Source Heat Pump</v>
      </c>
      <c r="J141" s="183">
        <v>2264</v>
      </c>
      <c r="K141" s="181">
        <v>0.156</v>
      </c>
      <c r="L141" s="191">
        <v>0</v>
      </c>
    </row>
    <row r="142" spans="2:12" x14ac:dyDescent="0.25">
      <c r="B142" s="177" t="s">
        <v>507</v>
      </c>
      <c r="C142" s="178" t="s">
        <v>845</v>
      </c>
      <c r="D142" s="179" t="s">
        <v>436</v>
      </c>
      <c r="E142" s="183">
        <v>2874</v>
      </c>
      <c r="F142" s="181">
        <v>0</v>
      </c>
      <c r="G142" s="191">
        <v>0</v>
      </c>
      <c r="H142" s="169"/>
      <c r="I142" s="177" t="str">
        <f t="shared" si="2"/>
        <v>Full Service RestaurantSyracuseElectric Heat Only</v>
      </c>
      <c r="J142" s="183">
        <v>2874</v>
      </c>
      <c r="K142" s="181">
        <v>0</v>
      </c>
      <c r="L142" s="191">
        <v>0</v>
      </c>
    </row>
    <row r="143" spans="2:12" ht="15.75" thickBot="1" x14ac:dyDescent="0.3">
      <c r="B143" s="184" t="s">
        <v>507</v>
      </c>
      <c r="C143" s="185" t="s">
        <v>845</v>
      </c>
      <c r="D143" s="186" t="s">
        <v>437</v>
      </c>
      <c r="E143" s="187">
        <v>0</v>
      </c>
      <c r="F143" s="188">
        <v>0</v>
      </c>
      <c r="G143" s="192">
        <v>127.3</v>
      </c>
      <c r="H143" s="169"/>
      <c r="I143" s="184" t="str">
        <f t="shared" si="2"/>
        <v>Full Service RestaurantSyracuseFuel Heat Only</v>
      </c>
      <c r="J143" s="187">
        <v>0</v>
      </c>
      <c r="K143" s="188">
        <v>0</v>
      </c>
      <c r="L143" s="192">
        <v>127.3</v>
      </c>
    </row>
    <row r="144" spans="2:12" x14ac:dyDescent="0.25">
      <c r="B144" s="171" t="s">
        <v>273</v>
      </c>
      <c r="C144" s="172" t="s">
        <v>839</v>
      </c>
      <c r="D144" s="173" t="s">
        <v>428</v>
      </c>
      <c r="E144" s="174">
        <v>1714</v>
      </c>
      <c r="F144" s="175">
        <v>0.156</v>
      </c>
      <c r="G144" s="176">
        <v>0</v>
      </c>
      <c r="H144" s="169"/>
      <c r="I144" s="171" t="str">
        <f t="shared" si="2"/>
        <v>GroceryAlbanyAC With Electric Heat</v>
      </c>
      <c r="J144" s="174">
        <v>1714</v>
      </c>
      <c r="K144" s="175">
        <v>0.156</v>
      </c>
      <c r="L144" s="176">
        <v>0</v>
      </c>
    </row>
    <row r="145" spans="2:12" x14ac:dyDescent="0.25">
      <c r="B145" s="177" t="s">
        <v>273</v>
      </c>
      <c r="C145" s="178" t="s">
        <v>839</v>
      </c>
      <c r="D145" s="179" t="s">
        <v>434</v>
      </c>
      <c r="E145" s="180">
        <v>294</v>
      </c>
      <c r="F145" s="181">
        <v>0.156</v>
      </c>
      <c r="G145" s="182">
        <v>68.900000000000006</v>
      </c>
      <c r="H145" s="169"/>
      <c r="I145" s="177" t="str">
        <f t="shared" si="2"/>
        <v>GroceryAlbanyAC With Fuel Heat</v>
      </c>
      <c r="J145" s="180">
        <v>294</v>
      </c>
      <c r="K145" s="181">
        <v>0.156</v>
      </c>
      <c r="L145" s="182">
        <v>68.900000000000006</v>
      </c>
    </row>
    <row r="146" spans="2:12" x14ac:dyDescent="0.25">
      <c r="B146" s="177" t="s">
        <v>273</v>
      </c>
      <c r="C146" s="178" t="s">
        <v>839</v>
      </c>
      <c r="D146" s="179" t="s">
        <v>435</v>
      </c>
      <c r="E146" s="183">
        <v>1520</v>
      </c>
      <c r="F146" s="181">
        <v>0.156</v>
      </c>
      <c r="G146" s="182">
        <v>0</v>
      </c>
      <c r="H146" s="169"/>
      <c r="I146" s="177" t="str">
        <f t="shared" si="2"/>
        <v>GroceryAlbanyAir Source Heat Pump</v>
      </c>
      <c r="J146" s="183">
        <v>1520</v>
      </c>
      <c r="K146" s="181">
        <v>0.156</v>
      </c>
      <c r="L146" s="182">
        <v>0</v>
      </c>
    </row>
    <row r="147" spans="2:12" x14ac:dyDescent="0.25">
      <c r="B147" s="177" t="s">
        <v>273</v>
      </c>
      <c r="C147" s="178" t="s">
        <v>839</v>
      </c>
      <c r="D147" s="179" t="s">
        <v>436</v>
      </c>
      <c r="E147" s="183">
        <v>1563</v>
      </c>
      <c r="F147" s="181">
        <v>0</v>
      </c>
      <c r="G147" s="182">
        <v>0</v>
      </c>
      <c r="H147" s="169"/>
      <c r="I147" s="177" t="str">
        <f t="shared" si="2"/>
        <v>GroceryAlbanyElectric Heat Only</v>
      </c>
      <c r="J147" s="183">
        <v>1563</v>
      </c>
      <c r="K147" s="181">
        <v>0</v>
      </c>
      <c r="L147" s="182">
        <v>0</v>
      </c>
    </row>
    <row r="148" spans="2:12" x14ac:dyDescent="0.25">
      <c r="B148" s="177" t="s">
        <v>273</v>
      </c>
      <c r="C148" s="178" t="s">
        <v>839</v>
      </c>
      <c r="D148" s="179" t="s">
        <v>437</v>
      </c>
      <c r="E148" s="180">
        <v>0</v>
      </c>
      <c r="F148" s="181">
        <v>0</v>
      </c>
      <c r="G148" s="182">
        <v>68.900000000000006</v>
      </c>
      <c r="H148" s="169"/>
      <c r="I148" s="177" t="str">
        <f t="shared" si="2"/>
        <v>GroceryAlbanyFuel Heat Only</v>
      </c>
      <c r="J148" s="180">
        <v>0</v>
      </c>
      <c r="K148" s="181">
        <v>0</v>
      </c>
      <c r="L148" s="182">
        <v>68.900000000000006</v>
      </c>
    </row>
    <row r="149" spans="2:12" x14ac:dyDescent="0.25">
      <c r="B149" s="177" t="s">
        <v>273</v>
      </c>
      <c r="C149" s="178" t="s">
        <v>840</v>
      </c>
      <c r="D149" s="179" t="s">
        <v>428</v>
      </c>
      <c r="E149" s="183">
        <v>1493</v>
      </c>
      <c r="F149" s="181">
        <v>0.156</v>
      </c>
      <c r="G149" s="182">
        <v>0</v>
      </c>
      <c r="H149" s="169"/>
      <c r="I149" s="177" t="str">
        <f t="shared" si="2"/>
        <v>GroceryBinghamtonAC With Electric Heat</v>
      </c>
      <c r="J149" s="183">
        <v>1493</v>
      </c>
      <c r="K149" s="181">
        <v>0.156</v>
      </c>
      <c r="L149" s="182">
        <v>0</v>
      </c>
    </row>
    <row r="150" spans="2:12" x14ac:dyDescent="0.25">
      <c r="B150" s="177" t="s">
        <v>273</v>
      </c>
      <c r="C150" s="178" t="s">
        <v>840</v>
      </c>
      <c r="D150" s="179" t="s">
        <v>434</v>
      </c>
      <c r="E150" s="180">
        <v>223</v>
      </c>
      <c r="F150" s="181">
        <v>0.156</v>
      </c>
      <c r="G150" s="182">
        <v>60.4</v>
      </c>
      <c r="H150" s="169"/>
      <c r="I150" s="177" t="str">
        <f t="shared" si="2"/>
        <v>GroceryBinghamtonAC With Fuel Heat</v>
      </c>
      <c r="J150" s="180">
        <v>223</v>
      </c>
      <c r="K150" s="181">
        <v>0.156</v>
      </c>
      <c r="L150" s="182">
        <v>60.4</v>
      </c>
    </row>
    <row r="151" spans="2:12" x14ac:dyDescent="0.25">
      <c r="B151" s="177" t="s">
        <v>273</v>
      </c>
      <c r="C151" s="178" t="s">
        <v>840</v>
      </c>
      <c r="D151" s="179" t="s">
        <v>435</v>
      </c>
      <c r="E151" s="183">
        <v>1596</v>
      </c>
      <c r="F151" s="181">
        <v>0.156</v>
      </c>
      <c r="G151" s="182">
        <v>0</v>
      </c>
      <c r="H151" s="169"/>
      <c r="I151" s="177" t="str">
        <f t="shared" si="2"/>
        <v>GroceryBinghamtonAir Source Heat Pump</v>
      </c>
      <c r="J151" s="183">
        <v>1596</v>
      </c>
      <c r="K151" s="181">
        <v>0.156</v>
      </c>
      <c r="L151" s="182">
        <v>0</v>
      </c>
    </row>
    <row r="152" spans="2:12" x14ac:dyDescent="0.25">
      <c r="B152" s="177" t="s">
        <v>273</v>
      </c>
      <c r="C152" s="178" t="s">
        <v>840</v>
      </c>
      <c r="D152" s="179" t="s">
        <v>436</v>
      </c>
      <c r="E152" s="183">
        <v>1324</v>
      </c>
      <c r="F152" s="181">
        <v>0</v>
      </c>
      <c r="G152" s="182">
        <v>0</v>
      </c>
      <c r="H152" s="169"/>
      <c r="I152" s="177" t="str">
        <f t="shared" si="2"/>
        <v>GroceryBinghamtonElectric Heat Only</v>
      </c>
      <c r="J152" s="183">
        <v>1324</v>
      </c>
      <c r="K152" s="181">
        <v>0</v>
      </c>
      <c r="L152" s="182">
        <v>0</v>
      </c>
    </row>
    <row r="153" spans="2:12" x14ac:dyDescent="0.25">
      <c r="B153" s="177" t="s">
        <v>273</v>
      </c>
      <c r="C153" s="178" t="s">
        <v>840</v>
      </c>
      <c r="D153" s="179" t="s">
        <v>437</v>
      </c>
      <c r="E153" s="180">
        <v>0</v>
      </c>
      <c r="F153" s="181">
        <v>0</v>
      </c>
      <c r="G153" s="182">
        <v>60.4</v>
      </c>
      <c r="H153" s="169"/>
      <c r="I153" s="177" t="str">
        <f t="shared" si="2"/>
        <v>GroceryBinghamtonFuel Heat Only</v>
      </c>
      <c r="J153" s="180">
        <v>0</v>
      </c>
      <c r="K153" s="181">
        <v>0</v>
      </c>
      <c r="L153" s="182">
        <v>60.4</v>
      </c>
    </row>
    <row r="154" spans="2:12" x14ac:dyDescent="0.25">
      <c r="B154" s="177" t="s">
        <v>273</v>
      </c>
      <c r="C154" s="178" t="s">
        <v>841</v>
      </c>
      <c r="D154" s="179" t="s">
        <v>428</v>
      </c>
      <c r="E154" s="183">
        <v>1794</v>
      </c>
      <c r="F154" s="181">
        <v>0.156</v>
      </c>
      <c r="G154" s="182">
        <v>0</v>
      </c>
      <c r="H154" s="169"/>
      <c r="I154" s="177" t="str">
        <f t="shared" si="2"/>
        <v>GroceryBuffaloAC With Electric Heat</v>
      </c>
      <c r="J154" s="183">
        <v>1794</v>
      </c>
      <c r="K154" s="181">
        <v>0.156</v>
      </c>
      <c r="L154" s="182">
        <v>0</v>
      </c>
    </row>
    <row r="155" spans="2:12" x14ac:dyDescent="0.25">
      <c r="B155" s="177" t="s">
        <v>273</v>
      </c>
      <c r="C155" s="178" t="s">
        <v>841</v>
      </c>
      <c r="D155" s="179" t="s">
        <v>434</v>
      </c>
      <c r="E155" s="180">
        <v>250</v>
      </c>
      <c r="F155" s="181">
        <v>0.156</v>
      </c>
      <c r="G155" s="182">
        <v>72.5</v>
      </c>
      <c r="H155" s="169"/>
      <c r="I155" s="177" t="str">
        <f t="shared" si="2"/>
        <v>GroceryBuffaloAC With Fuel Heat</v>
      </c>
      <c r="J155" s="180">
        <v>250</v>
      </c>
      <c r="K155" s="181">
        <v>0.156</v>
      </c>
      <c r="L155" s="182">
        <v>72.5</v>
      </c>
    </row>
    <row r="156" spans="2:12" x14ac:dyDescent="0.25">
      <c r="B156" s="177" t="s">
        <v>273</v>
      </c>
      <c r="C156" s="178" t="s">
        <v>841</v>
      </c>
      <c r="D156" s="179" t="s">
        <v>435</v>
      </c>
      <c r="E156" s="183">
        <v>1454</v>
      </c>
      <c r="F156" s="181">
        <v>0.156</v>
      </c>
      <c r="G156" s="182">
        <v>0</v>
      </c>
      <c r="H156" s="169"/>
      <c r="I156" s="177" t="str">
        <f t="shared" si="2"/>
        <v>GroceryBuffaloAir Source Heat Pump</v>
      </c>
      <c r="J156" s="183">
        <v>1454</v>
      </c>
      <c r="K156" s="181">
        <v>0.156</v>
      </c>
      <c r="L156" s="182">
        <v>0</v>
      </c>
    </row>
    <row r="157" spans="2:12" x14ac:dyDescent="0.25">
      <c r="B157" s="177" t="s">
        <v>273</v>
      </c>
      <c r="C157" s="178" t="s">
        <v>841</v>
      </c>
      <c r="D157" s="179" t="s">
        <v>436</v>
      </c>
      <c r="E157" s="183">
        <v>1594</v>
      </c>
      <c r="F157" s="181">
        <v>0</v>
      </c>
      <c r="G157" s="182">
        <v>0</v>
      </c>
      <c r="H157" s="169"/>
      <c r="I157" s="177" t="str">
        <f t="shared" si="2"/>
        <v>GroceryBuffaloElectric Heat Only</v>
      </c>
      <c r="J157" s="183">
        <v>1594</v>
      </c>
      <c r="K157" s="181">
        <v>0</v>
      </c>
      <c r="L157" s="182">
        <v>0</v>
      </c>
    </row>
    <row r="158" spans="2:12" x14ac:dyDescent="0.25">
      <c r="B158" s="177" t="s">
        <v>273</v>
      </c>
      <c r="C158" s="178" t="s">
        <v>841</v>
      </c>
      <c r="D158" s="179" t="s">
        <v>437</v>
      </c>
      <c r="E158" s="180">
        <v>0</v>
      </c>
      <c r="F158" s="181">
        <v>0</v>
      </c>
      <c r="G158" s="182">
        <v>72.5</v>
      </c>
      <c r="H158" s="169"/>
      <c r="I158" s="177" t="str">
        <f t="shared" si="2"/>
        <v>GroceryBuffaloFuel Heat Only</v>
      </c>
      <c r="J158" s="180">
        <v>0</v>
      </c>
      <c r="K158" s="181">
        <v>0</v>
      </c>
      <c r="L158" s="182">
        <v>72.5</v>
      </c>
    </row>
    <row r="159" spans="2:12" x14ac:dyDescent="0.25">
      <c r="B159" s="177" t="s">
        <v>273</v>
      </c>
      <c r="C159" s="178" t="s">
        <v>842</v>
      </c>
      <c r="D159" s="179" t="s">
        <v>428</v>
      </c>
      <c r="E159" s="183">
        <v>1934</v>
      </c>
      <c r="F159" s="181">
        <v>0.156</v>
      </c>
      <c r="G159" s="182">
        <v>0</v>
      </c>
      <c r="H159" s="169"/>
      <c r="I159" s="177" t="str">
        <f t="shared" si="2"/>
        <v>GroceryMassenaAC With Electric Heat</v>
      </c>
      <c r="J159" s="183">
        <v>1934</v>
      </c>
      <c r="K159" s="181">
        <v>0.156</v>
      </c>
      <c r="L159" s="182">
        <v>0</v>
      </c>
    </row>
    <row r="160" spans="2:12" x14ac:dyDescent="0.25">
      <c r="B160" s="177" t="s">
        <v>273</v>
      </c>
      <c r="C160" s="178" t="s">
        <v>842</v>
      </c>
      <c r="D160" s="179" t="s">
        <v>434</v>
      </c>
      <c r="E160" s="180">
        <v>284</v>
      </c>
      <c r="F160" s="181">
        <v>0.156</v>
      </c>
      <c r="G160" s="182">
        <v>78</v>
      </c>
      <c r="H160" s="169"/>
      <c r="I160" s="177" t="str">
        <f t="shared" si="2"/>
        <v>GroceryMassenaAC With Fuel Heat</v>
      </c>
      <c r="J160" s="180">
        <v>284</v>
      </c>
      <c r="K160" s="181">
        <v>0.156</v>
      </c>
      <c r="L160" s="182">
        <v>78</v>
      </c>
    </row>
    <row r="161" spans="2:12" x14ac:dyDescent="0.25">
      <c r="B161" s="177" t="s">
        <v>273</v>
      </c>
      <c r="C161" s="178" t="s">
        <v>842</v>
      </c>
      <c r="D161" s="179" t="s">
        <v>435</v>
      </c>
      <c r="E161" s="183">
        <v>1750</v>
      </c>
      <c r="F161" s="181">
        <v>0.156</v>
      </c>
      <c r="G161" s="182">
        <v>0</v>
      </c>
      <c r="H161" s="169"/>
      <c r="I161" s="177" t="str">
        <f t="shared" si="2"/>
        <v>GroceryMassenaAir Source Heat Pump</v>
      </c>
      <c r="J161" s="183">
        <v>1750</v>
      </c>
      <c r="K161" s="181">
        <v>0.156</v>
      </c>
      <c r="L161" s="182">
        <v>0</v>
      </c>
    </row>
    <row r="162" spans="2:12" x14ac:dyDescent="0.25">
      <c r="B162" s="177" t="s">
        <v>273</v>
      </c>
      <c r="C162" s="178" t="s">
        <v>842</v>
      </c>
      <c r="D162" s="179" t="s">
        <v>436</v>
      </c>
      <c r="E162" s="183">
        <v>1751</v>
      </c>
      <c r="F162" s="181">
        <v>0</v>
      </c>
      <c r="G162" s="182">
        <v>0</v>
      </c>
      <c r="H162" s="169"/>
      <c r="I162" s="177" t="str">
        <f t="shared" si="2"/>
        <v>GroceryMassenaElectric Heat Only</v>
      </c>
      <c r="J162" s="183">
        <v>1751</v>
      </c>
      <c r="K162" s="181">
        <v>0</v>
      </c>
      <c r="L162" s="182">
        <v>0</v>
      </c>
    </row>
    <row r="163" spans="2:12" x14ac:dyDescent="0.25">
      <c r="B163" s="177" t="s">
        <v>273</v>
      </c>
      <c r="C163" s="178" t="s">
        <v>842</v>
      </c>
      <c r="D163" s="179" t="s">
        <v>437</v>
      </c>
      <c r="E163" s="180">
        <v>0</v>
      </c>
      <c r="F163" s="181">
        <v>0</v>
      </c>
      <c r="G163" s="182">
        <v>78</v>
      </c>
      <c r="H163" s="169"/>
      <c r="I163" s="177" t="str">
        <f t="shared" si="2"/>
        <v>GroceryMassenaFuel Heat Only</v>
      </c>
      <c r="J163" s="180">
        <v>0</v>
      </c>
      <c r="K163" s="181">
        <v>0</v>
      </c>
      <c r="L163" s="182">
        <v>78</v>
      </c>
    </row>
    <row r="164" spans="2:12" x14ac:dyDescent="0.25">
      <c r="B164" s="177" t="s">
        <v>273</v>
      </c>
      <c r="C164" s="178" t="s">
        <v>843</v>
      </c>
      <c r="D164" s="179" t="s">
        <v>428</v>
      </c>
      <c r="E164" s="183">
        <v>860</v>
      </c>
      <c r="F164" s="181">
        <v>0.156</v>
      </c>
      <c r="G164" s="182">
        <v>0</v>
      </c>
      <c r="H164" s="169"/>
      <c r="I164" s="177" t="str">
        <f t="shared" si="2"/>
        <v>GroceryNYCAC With Electric Heat</v>
      </c>
      <c r="J164" s="183">
        <v>860</v>
      </c>
      <c r="K164" s="181">
        <v>0.156</v>
      </c>
      <c r="L164" s="182">
        <v>0</v>
      </c>
    </row>
    <row r="165" spans="2:12" x14ac:dyDescent="0.25">
      <c r="B165" s="177" t="s">
        <v>273</v>
      </c>
      <c r="C165" s="178" t="s">
        <v>843</v>
      </c>
      <c r="D165" s="179" t="s">
        <v>434</v>
      </c>
      <c r="E165" s="180">
        <v>353</v>
      </c>
      <c r="F165" s="181">
        <v>0.156</v>
      </c>
      <c r="G165" s="182">
        <v>25</v>
      </c>
      <c r="H165" s="169"/>
      <c r="I165" s="177" t="str">
        <f t="shared" si="2"/>
        <v>GroceryNYCAC With Fuel Heat</v>
      </c>
      <c r="J165" s="180">
        <v>353</v>
      </c>
      <c r="K165" s="181">
        <v>0.156</v>
      </c>
      <c r="L165" s="182">
        <v>25</v>
      </c>
    </row>
    <row r="166" spans="2:12" x14ac:dyDescent="0.25">
      <c r="B166" s="177" t="s">
        <v>273</v>
      </c>
      <c r="C166" s="178" t="s">
        <v>843</v>
      </c>
      <c r="D166" s="179" t="s">
        <v>435</v>
      </c>
      <c r="E166" s="180">
        <v>735</v>
      </c>
      <c r="F166" s="181">
        <v>0.156</v>
      </c>
      <c r="G166" s="182">
        <v>0</v>
      </c>
      <c r="H166" s="169"/>
      <c r="I166" s="177" t="str">
        <f t="shared" si="2"/>
        <v>GroceryNYCAir Source Heat Pump</v>
      </c>
      <c r="J166" s="180">
        <v>735</v>
      </c>
      <c r="K166" s="181">
        <v>0.156</v>
      </c>
      <c r="L166" s="182">
        <v>0</v>
      </c>
    </row>
    <row r="167" spans="2:12" x14ac:dyDescent="0.25">
      <c r="B167" s="177" t="s">
        <v>273</v>
      </c>
      <c r="C167" s="178" t="s">
        <v>843</v>
      </c>
      <c r="D167" s="179" t="s">
        <v>436</v>
      </c>
      <c r="E167" s="180">
        <v>561</v>
      </c>
      <c r="F167" s="181">
        <v>0</v>
      </c>
      <c r="G167" s="182">
        <v>0</v>
      </c>
      <c r="H167" s="169"/>
      <c r="I167" s="177" t="str">
        <f t="shared" si="2"/>
        <v>GroceryNYCElectric Heat Only</v>
      </c>
      <c r="J167" s="180">
        <v>561</v>
      </c>
      <c r="K167" s="181">
        <v>0</v>
      </c>
      <c r="L167" s="182">
        <v>0</v>
      </c>
    </row>
    <row r="168" spans="2:12" x14ac:dyDescent="0.25">
      <c r="B168" s="177" t="s">
        <v>273</v>
      </c>
      <c r="C168" s="178" t="s">
        <v>843</v>
      </c>
      <c r="D168" s="179" t="s">
        <v>437</v>
      </c>
      <c r="E168" s="180">
        <v>0</v>
      </c>
      <c r="F168" s="181">
        <v>0</v>
      </c>
      <c r="G168" s="182">
        <v>25</v>
      </c>
      <c r="H168" s="169"/>
      <c r="I168" s="177" t="str">
        <f t="shared" si="2"/>
        <v>GroceryNYCFuel Heat Only</v>
      </c>
      <c r="J168" s="180">
        <v>0</v>
      </c>
      <c r="K168" s="181">
        <v>0</v>
      </c>
      <c r="L168" s="182">
        <v>25</v>
      </c>
    </row>
    <row r="169" spans="2:12" x14ac:dyDescent="0.25">
      <c r="B169" s="177" t="s">
        <v>273</v>
      </c>
      <c r="C169" s="178" t="s">
        <v>844</v>
      </c>
      <c r="D169" s="179" t="s">
        <v>428</v>
      </c>
      <c r="E169" s="183">
        <v>1137</v>
      </c>
      <c r="F169" s="181">
        <v>0.156</v>
      </c>
      <c r="G169" s="182">
        <v>0</v>
      </c>
      <c r="H169" s="169"/>
      <c r="I169" s="177" t="str">
        <f t="shared" si="2"/>
        <v>GroceryPoughkeepsieAC With Electric Heat</v>
      </c>
      <c r="J169" s="183">
        <v>1137</v>
      </c>
      <c r="K169" s="181">
        <v>0.156</v>
      </c>
      <c r="L169" s="182">
        <v>0</v>
      </c>
    </row>
    <row r="170" spans="2:12" x14ac:dyDescent="0.25">
      <c r="B170" s="177" t="s">
        <v>273</v>
      </c>
      <c r="C170" s="178" t="s">
        <v>844</v>
      </c>
      <c r="D170" s="179" t="s">
        <v>434</v>
      </c>
      <c r="E170" s="180">
        <v>273</v>
      </c>
      <c r="F170" s="181">
        <v>0.156</v>
      </c>
      <c r="G170" s="182">
        <v>41</v>
      </c>
      <c r="H170" s="169"/>
      <c r="I170" s="177" t="str">
        <f t="shared" si="2"/>
        <v>GroceryPoughkeepsieAC With Fuel Heat</v>
      </c>
      <c r="J170" s="180">
        <v>273</v>
      </c>
      <c r="K170" s="181">
        <v>0.156</v>
      </c>
      <c r="L170" s="182">
        <v>41</v>
      </c>
    </row>
    <row r="171" spans="2:12" x14ac:dyDescent="0.25">
      <c r="B171" s="177" t="s">
        <v>273</v>
      </c>
      <c r="C171" s="178" t="s">
        <v>844</v>
      </c>
      <c r="D171" s="179" t="s">
        <v>435</v>
      </c>
      <c r="E171" s="183">
        <v>916</v>
      </c>
      <c r="F171" s="181">
        <v>0.156</v>
      </c>
      <c r="G171" s="182">
        <v>0</v>
      </c>
      <c r="H171" s="169"/>
      <c r="I171" s="177" t="str">
        <f t="shared" si="2"/>
        <v>GroceryPoughkeepsieAir Source Heat Pump</v>
      </c>
      <c r="J171" s="183">
        <v>916</v>
      </c>
      <c r="K171" s="181">
        <v>0.156</v>
      </c>
      <c r="L171" s="182">
        <v>0</v>
      </c>
    </row>
    <row r="172" spans="2:12" x14ac:dyDescent="0.25">
      <c r="B172" s="177" t="s">
        <v>273</v>
      </c>
      <c r="C172" s="178" t="s">
        <v>844</v>
      </c>
      <c r="D172" s="179" t="s">
        <v>436</v>
      </c>
      <c r="E172" s="183">
        <v>959</v>
      </c>
      <c r="F172" s="181">
        <v>0</v>
      </c>
      <c r="G172" s="182">
        <v>0</v>
      </c>
      <c r="H172" s="169"/>
      <c r="I172" s="177" t="str">
        <f t="shared" si="2"/>
        <v>GroceryPoughkeepsieElectric Heat Only</v>
      </c>
      <c r="J172" s="183">
        <v>959</v>
      </c>
      <c r="K172" s="181">
        <v>0</v>
      </c>
      <c r="L172" s="182">
        <v>0</v>
      </c>
    </row>
    <row r="173" spans="2:12" x14ac:dyDescent="0.25">
      <c r="B173" s="177" t="s">
        <v>273</v>
      </c>
      <c r="C173" s="178" t="s">
        <v>844</v>
      </c>
      <c r="D173" s="179" t="s">
        <v>437</v>
      </c>
      <c r="E173" s="180">
        <v>0</v>
      </c>
      <c r="F173" s="181">
        <v>0</v>
      </c>
      <c r="G173" s="182">
        <v>41</v>
      </c>
      <c r="H173" s="169"/>
      <c r="I173" s="177" t="str">
        <f t="shared" si="2"/>
        <v>GroceryPoughkeepsieFuel Heat Only</v>
      </c>
      <c r="J173" s="180">
        <v>0</v>
      </c>
      <c r="K173" s="181">
        <v>0</v>
      </c>
      <c r="L173" s="182">
        <v>41</v>
      </c>
    </row>
    <row r="174" spans="2:12" x14ac:dyDescent="0.25">
      <c r="B174" s="177" t="s">
        <v>273</v>
      </c>
      <c r="C174" s="178" t="s">
        <v>845</v>
      </c>
      <c r="D174" s="179" t="s">
        <v>428</v>
      </c>
      <c r="E174" s="183">
        <v>1433</v>
      </c>
      <c r="F174" s="181">
        <v>0.156</v>
      </c>
      <c r="G174" s="182">
        <v>0</v>
      </c>
      <c r="H174" s="169"/>
      <c r="I174" s="177" t="str">
        <f t="shared" si="2"/>
        <v>GrocerySyracuseAC With Electric Heat</v>
      </c>
      <c r="J174" s="183">
        <v>1433</v>
      </c>
      <c r="K174" s="181">
        <v>0.156</v>
      </c>
      <c r="L174" s="182">
        <v>0</v>
      </c>
    </row>
    <row r="175" spans="2:12" x14ac:dyDescent="0.25">
      <c r="B175" s="177" t="s">
        <v>273</v>
      </c>
      <c r="C175" s="178" t="s">
        <v>845</v>
      </c>
      <c r="D175" s="179" t="s">
        <v>434</v>
      </c>
      <c r="E175" s="180">
        <v>281</v>
      </c>
      <c r="F175" s="181">
        <v>0.156</v>
      </c>
      <c r="G175" s="182">
        <v>54</v>
      </c>
      <c r="H175" s="169"/>
      <c r="I175" s="177" t="str">
        <f t="shared" si="2"/>
        <v>GrocerySyracuseAC With Fuel Heat</v>
      </c>
      <c r="J175" s="180">
        <v>281</v>
      </c>
      <c r="K175" s="181">
        <v>0.156</v>
      </c>
      <c r="L175" s="182">
        <v>54</v>
      </c>
    </row>
    <row r="176" spans="2:12" x14ac:dyDescent="0.25">
      <c r="B176" s="177" t="s">
        <v>273</v>
      </c>
      <c r="C176" s="178" t="s">
        <v>845</v>
      </c>
      <c r="D176" s="179" t="s">
        <v>435</v>
      </c>
      <c r="E176" s="183">
        <v>1361</v>
      </c>
      <c r="F176" s="181">
        <v>0.156</v>
      </c>
      <c r="G176" s="182">
        <v>0</v>
      </c>
      <c r="H176" s="169"/>
      <c r="I176" s="177" t="str">
        <f t="shared" si="2"/>
        <v>GrocerySyracuseAir Source Heat Pump</v>
      </c>
      <c r="J176" s="183">
        <v>1361</v>
      </c>
      <c r="K176" s="181">
        <v>0.156</v>
      </c>
      <c r="L176" s="182">
        <v>0</v>
      </c>
    </row>
    <row r="177" spans="2:12" x14ac:dyDescent="0.25">
      <c r="B177" s="177" t="s">
        <v>273</v>
      </c>
      <c r="C177" s="178" t="s">
        <v>845</v>
      </c>
      <c r="D177" s="179" t="s">
        <v>436</v>
      </c>
      <c r="E177" s="183">
        <v>1292</v>
      </c>
      <c r="F177" s="181">
        <v>0</v>
      </c>
      <c r="G177" s="182">
        <v>0</v>
      </c>
      <c r="H177" s="169"/>
      <c r="I177" s="177" t="str">
        <f t="shared" si="2"/>
        <v>GrocerySyracuseElectric Heat Only</v>
      </c>
      <c r="J177" s="183">
        <v>1292</v>
      </c>
      <c r="K177" s="181">
        <v>0</v>
      </c>
      <c r="L177" s="182">
        <v>0</v>
      </c>
    </row>
    <row r="178" spans="2:12" ht="15.75" thickBot="1" x14ac:dyDescent="0.3">
      <c r="B178" s="184" t="s">
        <v>273</v>
      </c>
      <c r="C178" s="185" t="s">
        <v>845</v>
      </c>
      <c r="D178" s="186" t="s">
        <v>437</v>
      </c>
      <c r="E178" s="187">
        <v>0</v>
      </c>
      <c r="F178" s="188">
        <v>0</v>
      </c>
      <c r="G178" s="189">
        <v>54</v>
      </c>
      <c r="H178" s="169"/>
      <c r="I178" s="184" t="str">
        <f t="shared" si="2"/>
        <v>GrocerySyracuseFuel Heat Only</v>
      </c>
      <c r="J178" s="187">
        <v>0</v>
      </c>
      <c r="K178" s="188">
        <v>0</v>
      </c>
      <c r="L178" s="189">
        <v>54</v>
      </c>
    </row>
    <row r="179" spans="2:12" x14ac:dyDescent="0.25">
      <c r="B179" s="171" t="s">
        <v>831</v>
      </c>
      <c r="C179" s="172" t="s">
        <v>839</v>
      </c>
      <c r="D179" s="173" t="s">
        <v>428</v>
      </c>
      <c r="E179" s="174">
        <v>967</v>
      </c>
      <c r="F179" s="175">
        <v>0.156</v>
      </c>
      <c r="G179" s="176">
        <v>0</v>
      </c>
      <c r="H179" s="169"/>
      <c r="I179" s="171" t="str">
        <f t="shared" si="2"/>
        <v>Light IndustrialAlbanyAC With Electric Heat</v>
      </c>
      <c r="J179" s="174">
        <v>967</v>
      </c>
      <c r="K179" s="175">
        <v>0.156</v>
      </c>
      <c r="L179" s="176">
        <v>0</v>
      </c>
    </row>
    <row r="180" spans="2:12" x14ac:dyDescent="0.25">
      <c r="B180" s="177" t="s">
        <v>831</v>
      </c>
      <c r="C180" s="178" t="s">
        <v>839</v>
      </c>
      <c r="D180" s="179" t="s">
        <v>434</v>
      </c>
      <c r="E180" s="180">
        <v>239</v>
      </c>
      <c r="F180" s="181">
        <v>0.156</v>
      </c>
      <c r="G180" s="182">
        <v>34.6</v>
      </c>
      <c r="H180" s="169"/>
      <c r="I180" s="177" t="str">
        <f t="shared" si="2"/>
        <v>Light IndustrialAlbanyAC With Fuel Heat</v>
      </c>
      <c r="J180" s="180">
        <v>239</v>
      </c>
      <c r="K180" s="181">
        <v>0.156</v>
      </c>
      <c r="L180" s="182">
        <v>34.6</v>
      </c>
    </row>
    <row r="181" spans="2:12" x14ac:dyDescent="0.25">
      <c r="B181" s="177" t="s">
        <v>831</v>
      </c>
      <c r="C181" s="178" t="s">
        <v>839</v>
      </c>
      <c r="D181" s="179" t="s">
        <v>435</v>
      </c>
      <c r="E181" s="183">
        <v>838</v>
      </c>
      <c r="F181" s="181">
        <v>0.156</v>
      </c>
      <c r="G181" s="182">
        <v>0</v>
      </c>
      <c r="H181" s="169"/>
      <c r="I181" s="177" t="str">
        <f t="shared" si="2"/>
        <v>Light IndustrialAlbanyAir Source Heat Pump</v>
      </c>
      <c r="J181" s="183">
        <v>838</v>
      </c>
      <c r="K181" s="181">
        <v>0.156</v>
      </c>
      <c r="L181" s="182">
        <v>0</v>
      </c>
    </row>
    <row r="182" spans="2:12" x14ac:dyDescent="0.25">
      <c r="B182" s="177" t="s">
        <v>831</v>
      </c>
      <c r="C182" s="178" t="s">
        <v>839</v>
      </c>
      <c r="D182" s="179" t="s">
        <v>436</v>
      </c>
      <c r="E182" s="183">
        <v>764</v>
      </c>
      <c r="F182" s="181">
        <v>0</v>
      </c>
      <c r="G182" s="182">
        <v>0</v>
      </c>
      <c r="H182" s="169"/>
      <c r="I182" s="177" t="str">
        <f t="shared" si="2"/>
        <v>Light IndustrialAlbanyElectric Heat Only</v>
      </c>
      <c r="J182" s="183">
        <v>764</v>
      </c>
      <c r="K182" s="181">
        <v>0</v>
      </c>
      <c r="L182" s="182">
        <v>0</v>
      </c>
    </row>
    <row r="183" spans="2:12" x14ac:dyDescent="0.25">
      <c r="B183" s="177" t="s">
        <v>831</v>
      </c>
      <c r="C183" s="178" t="s">
        <v>839</v>
      </c>
      <c r="D183" s="179" t="s">
        <v>437</v>
      </c>
      <c r="E183" s="180">
        <v>0</v>
      </c>
      <c r="F183" s="181">
        <v>0</v>
      </c>
      <c r="G183" s="182">
        <v>34.6</v>
      </c>
      <c r="H183" s="169"/>
      <c r="I183" s="177" t="str">
        <f t="shared" si="2"/>
        <v>Light IndustrialAlbanyFuel Heat Only</v>
      </c>
      <c r="J183" s="180">
        <v>0</v>
      </c>
      <c r="K183" s="181">
        <v>0</v>
      </c>
      <c r="L183" s="182">
        <v>34.6</v>
      </c>
    </row>
    <row r="184" spans="2:12" x14ac:dyDescent="0.25">
      <c r="B184" s="177" t="s">
        <v>831</v>
      </c>
      <c r="C184" s="178" t="s">
        <v>840</v>
      </c>
      <c r="D184" s="179" t="s">
        <v>428</v>
      </c>
      <c r="E184" s="183">
        <v>1092</v>
      </c>
      <c r="F184" s="181">
        <v>0.156</v>
      </c>
      <c r="G184" s="182">
        <v>0</v>
      </c>
      <c r="H184" s="169"/>
      <c r="I184" s="177" t="str">
        <f t="shared" si="2"/>
        <v>Light IndustrialBinghamtonAC With Electric Heat</v>
      </c>
      <c r="J184" s="183">
        <v>1092</v>
      </c>
      <c r="K184" s="181">
        <v>0.156</v>
      </c>
      <c r="L184" s="182">
        <v>0</v>
      </c>
    </row>
    <row r="185" spans="2:12" x14ac:dyDescent="0.25">
      <c r="B185" s="177" t="s">
        <v>831</v>
      </c>
      <c r="C185" s="178" t="s">
        <v>840</v>
      </c>
      <c r="D185" s="179" t="s">
        <v>434</v>
      </c>
      <c r="E185" s="180">
        <v>200</v>
      </c>
      <c r="F185" s="181">
        <v>0.156</v>
      </c>
      <c r="G185" s="182">
        <v>40.4</v>
      </c>
      <c r="H185" s="169"/>
      <c r="I185" s="177" t="str">
        <f t="shared" si="2"/>
        <v>Light IndustrialBinghamtonAC With Fuel Heat</v>
      </c>
      <c r="J185" s="180">
        <v>200</v>
      </c>
      <c r="K185" s="181">
        <v>0.156</v>
      </c>
      <c r="L185" s="182">
        <v>40.4</v>
      </c>
    </row>
    <row r="186" spans="2:12" x14ac:dyDescent="0.25">
      <c r="B186" s="177" t="s">
        <v>831</v>
      </c>
      <c r="C186" s="178" t="s">
        <v>840</v>
      </c>
      <c r="D186" s="179" t="s">
        <v>435</v>
      </c>
      <c r="E186" s="183">
        <v>875</v>
      </c>
      <c r="F186" s="181">
        <v>0.156</v>
      </c>
      <c r="G186" s="182">
        <v>0</v>
      </c>
      <c r="H186" s="169"/>
      <c r="I186" s="177" t="str">
        <f t="shared" si="2"/>
        <v>Light IndustrialBinghamtonAir Source Heat Pump</v>
      </c>
      <c r="J186" s="183">
        <v>875</v>
      </c>
      <c r="K186" s="181">
        <v>0.156</v>
      </c>
      <c r="L186" s="182">
        <v>0</v>
      </c>
    </row>
    <row r="187" spans="2:12" x14ac:dyDescent="0.25">
      <c r="B187" s="177" t="s">
        <v>831</v>
      </c>
      <c r="C187" s="178" t="s">
        <v>840</v>
      </c>
      <c r="D187" s="179" t="s">
        <v>436</v>
      </c>
      <c r="E187" s="183">
        <v>922</v>
      </c>
      <c r="F187" s="181">
        <v>0</v>
      </c>
      <c r="G187" s="182">
        <v>0</v>
      </c>
      <c r="H187" s="169"/>
      <c r="I187" s="177" t="str">
        <f t="shared" si="2"/>
        <v>Light IndustrialBinghamtonElectric Heat Only</v>
      </c>
      <c r="J187" s="183">
        <v>922</v>
      </c>
      <c r="K187" s="181">
        <v>0</v>
      </c>
      <c r="L187" s="182">
        <v>0</v>
      </c>
    </row>
    <row r="188" spans="2:12" x14ac:dyDescent="0.25">
      <c r="B188" s="177" t="s">
        <v>831</v>
      </c>
      <c r="C188" s="178" t="s">
        <v>840</v>
      </c>
      <c r="D188" s="179" t="s">
        <v>437</v>
      </c>
      <c r="E188" s="180">
        <v>0</v>
      </c>
      <c r="F188" s="181">
        <v>0</v>
      </c>
      <c r="G188" s="182">
        <v>40.4</v>
      </c>
      <c r="H188" s="169"/>
      <c r="I188" s="177" t="str">
        <f t="shared" si="2"/>
        <v>Light IndustrialBinghamtonFuel Heat Only</v>
      </c>
      <c r="J188" s="180">
        <v>0</v>
      </c>
      <c r="K188" s="181">
        <v>0</v>
      </c>
      <c r="L188" s="182">
        <v>40.4</v>
      </c>
    </row>
    <row r="189" spans="2:12" x14ac:dyDescent="0.25">
      <c r="B189" s="177" t="s">
        <v>831</v>
      </c>
      <c r="C189" s="178" t="s">
        <v>841</v>
      </c>
      <c r="D189" s="179" t="s">
        <v>428</v>
      </c>
      <c r="E189" s="183">
        <v>1202</v>
      </c>
      <c r="F189" s="181">
        <v>0.156</v>
      </c>
      <c r="G189" s="182">
        <v>0</v>
      </c>
      <c r="H189" s="169"/>
      <c r="I189" s="177" t="str">
        <f t="shared" si="2"/>
        <v>Light IndustrialBuffaloAC With Electric Heat</v>
      </c>
      <c r="J189" s="183">
        <v>1202</v>
      </c>
      <c r="K189" s="181">
        <v>0.156</v>
      </c>
      <c r="L189" s="182">
        <v>0</v>
      </c>
    </row>
    <row r="190" spans="2:12" x14ac:dyDescent="0.25">
      <c r="B190" s="177" t="s">
        <v>831</v>
      </c>
      <c r="C190" s="178" t="s">
        <v>841</v>
      </c>
      <c r="D190" s="179" t="s">
        <v>434</v>
      </c>
      <c r="E190" s="180">
        <v>233</v>
      </c>
      <c r="F190" s="181">
        <v>0.156</v>
      </c>
      <c r="G190" s="182">
        <v>48.3</v>
      </c>
      <c r="H190" s="169"/>
      <c r="I190" s="177" t="str">
        <f t="shared" si="2"/>
        <v>Light IndustrialBuffaloAC With Fuel Heat</v>
      </c>
      <c r="J190" s="180">
        <v>233</v>
      </c>
      <c r="K190" s="181">
        <v>0.156</v>
      </c>
      <c r="L190" s="182">
        <v>48.3</v>
      </c>
    </row>
    <row r="191" spans="2:12" x14ac:dyDescent="0.25">
      <c r="B191" s="177" t="s">
        <v>831</v>
      </c>
      <c r="C191" s="178" t="s">
        <v>841</v>
      </c>
      <c r="D191" s="179" t="s">
        <v>435</v>
      </c>
      <c r="E191" s="183">
        <v>923</v>
      </c>
      <c r="F191" s="181">
        <v>0.156</v>
      </c>
      <c r="G191" s="182">
        <v>0</v>
      </c>
      <c r="H191" s="169"/>
      <c r="I191" s="177" t="str">
        <f t="shared" si="2"/>
        <v>Light IndustrialBuffaloAir Source Heat Pump</v>
      </c>
      <c r="J191" s="183">
        <v>923</v>
      </c>
      <c r="K191" s="181">
        <v>0.156</v>
      </c>
      <c r="L191" s="182">
        <v>0</v>
      </c>
    </row>
    <row r="192" spans="2:12" x14ac:dyDescent="0.25">
      <c r="B192" s="177" t="s">
        <v>831</v>
      </c>
      <c r="C192" s="178" t="s">
        <v>841</v>
      </c>
      <c r="D192" s="179" t="s">
        <v>436</v>
      </c>
      <c r="E192" s="183">
        <v>1050</v>
      </c>
      <c r="F192" s="181">
        <v>0</v>
      </c>
      <c r="G192" s="182">
        <v>0</v>
      </c>
      <c r="H192" s="169"/>
      <c r="I192" s="177" t="str">
        <f t="shared" si="2"/>
        <v>Light IndustrialBuffaloElectric Heat Only</v>
      </c>
      <c r="J192" s="183">
        <v>1050</v>
      </c>
      <c r="K192" s="181">
        <v>0</v>
      </c>
      <c r="L192" s="182">
        <v>0</v>
      </c>
    </row>
    <row r="193" spans="2:12" x14ac:dyDescent="0.25">
      <c r="B193" s="177" t="s">
        <v>831</v>
      </c>
      <c r="C193" s="178" t="s">
        <v>841</v>
      </c>
      <c r="D193" s="179" t="s">
        <v>437</v>
      </c>
      <c r="E193" s="180">
        <v>0</v>
      </c>
      <c r="F193" s="181">
        <v>0</v>
      </c>
      <c r="G193" s="182">
        <v>48.3</v>
      </c>
      <c r="H193" s="169"/>
      <c r="I193" s="177" t="str">
        <f t="shared" si="2"/>
        <v>Light IndustrialBuffaloFuel Heat Only</v>
      </c>
      <c r="J193" s="180">
        <v>0</v>
      </c>
      <c r="K193" s="181">
        <v>0</v>
      </c>
      <c r="L193" s="182">
        <v>48.3</v>
      </c>
    </row>
    <row r="194" spans="2:12" x14ac:dyDescent="0.25">
      <c r="B194" s="177" t="s">
        <v>831</v>
      </c>
      <c r="C194" s="178" t="s">
        <v>842</v>
      </c>
      <c r="D194" s="179" t="s">
        <v>428</v>
      </c>
      <c r="E194" s="183">
        <v>1138</v>
      </c>
      <c r="F194" s="181">
        <v>0.156</v>
      </c>
      <c r="G194" s="182">
        <v>0</v>
      </c>
      <c r="H194" s="169"/>
      <c r="I194" s="177" t="str">
        <f t="shared" si="2"/>
        <v>Light IndustrialMassenaAC With Electric Heat</v>
      </c>
      <c r="J194" s="183">
        <v>1138</v>
      </c>
      <c r="K194" s="181">
        <v>0.156</v>
      </c>
      <c r="L194" s="182">
        <v>0</v>
      </c>
    </row>
    <row r="195" spans="2:12" x14ac:dyDescent="0.25">
      <c r="B195" s="177" t="s">
        <v>831</v>
      </c>
      <c r="C195" s="178" t="s">
        <v>842</v>
      </c>
      <c r="D195" s="179" t="s">
        <v>434</v>
      </c>
      <c r="E195" s="180">
        <v>219</v>
      </c>
      <c r="F195" s="181">
        <v>0.156</v>
      </c>
      <c r="G195" s="182">
        <v>43.6</v>
      </c>
      <c r="H195" s="169"/>
      <c r="I195" s="177" t="str">
        <f t="shared" si="2"/>
        <v>Light IndustrialMassenaAC With Fuel Heat</v>
      </c>
      <c r="J195" s="180">
        <v>219</v>
      </c>
      <c r="K195" s="181">
        <v>0.156</v>
      </c>
      <c r="L195" s="182">
        <v>43.6</v>
      </c>
    </row>
    <row r="196" spans="2:12" x14ac:dyDescent="0.25">
      <c r="B196" s="177" t="s">
        <v>831</v>
      </c>
      <c r="C196" s="178" t="s">
        <v>842</v>
      </c>
      <c r="D196" s="179" t="s">
        <v>435</v>
      </c>
      <c r="E196" s="183">
        <v>980</v>
      </c>
      <c r="F196" s="181">
        <v>0.156</v>
      </c>
      <c r="G196" s="182">
        <v>0</v>
      </c>
      <c r="H196" s="169"/>
      <c r="I196" s="177" t="str">
        <f t="shared" si="2"/>
        <v>Light IndustrialMassenaAir Source Heat Pump</v>
      </c>
      <c r="J196" s="183">
        <v>980</v>
      </c>
      <c r="K196" s="181">
        <v>0.156</v>
      </c>
      <c r="L196" s="182">
        <v>0</v>
      </c>
    </row>
    <row r="197" spans="2:12" x14ac:dyDescent="0.25">
      <c r="B197" s="177" t="s">
        <v>831</v>
      </c>
      <c r="C197" s="178" t="s">
        <v>842</v>
      </c>
      <c r="D197" s="179" t="s">
        <v>436</v>
      </c>
      <c r="E197" s="183">
        <v>943</v>
      </c>
      <c r="F197" s="181">
        <v>0</v>
      </c>
      <c r="G197" s="182">
        <v>0</v>
      </c>
      <c r="H197" s="169"/>
      <c r="I197" s="177" t="str">
        <f t="shared" ref="I197:I260" si="3">B197&amp;C197&amp;D197</f>
        <v>Light IndustrialMassenaElectric Heat Only</v>
      </c>
      <c r="J197" s="183">
        <v>943</v>
      </c>
      <c r="K197" s="181">
        <v>0</v>
      </c>
      <c r="L197" s="182">
        <v>0</v>
      </c>
    </row>
    <row r="198" spans="2:12" x14ac:dyDescent="0.25">
      <c r="B198" s="177" t="s">
        <v>831</v>
      </c>
      <c r="C198" s="178" t="s">
        <v>842</v>
      </c>
      <c r="D198" s="179" t="s">
        <v>437</v>
      </c>
      <c r="E198" s="180">
        <v>0</v>
      </c>
      <c r="F198" s="181">
        <v>0</v>
      </c>
      <c r="G198" s="182">
        <v>43.6</v>
      </c>
      <c r="H198" s="169"/>
      <c r="I198" s="177" t="str">
        <f t="shared" si="3"/>
        <v>Light IndustrialMassenaFuel Heat Only</v>
      </c>
      <c r="J198" s="180">
        <v>0</v>
      </c>
      <c r="K198" s="181">
        <v>0</v>
      </c>
      <c r="L198" s="182">
        <v>43.6</v>
      </c>
    </row>
    <row r="199" spans="2:12" x14ac:dyDescent="0.25">
      <c r="B199" s="177" t="s">
        <v>831</v>
      </c>
      <c r="C199" s="178" t="s">
        <v>843</v>
      </c>
      <c r="D199" s="179" t="s">
        <v>428</v>
      </c>
      <c r="E199" s="183">
        <v>717</v>
      </c>
      <c r="F199" s="181">
        <v>0.156</v>
      </c>
      <c r="G199" s="182">
        <v>0</v>
      </c>
      <c r="H199" s="169"/>
      <c r="I199" s="177" t="str">
        <f t="shared" si="3"/>
        <v>Light IndustrialNYCAC With Electric Heat</v>
      </c>
      <c r="J199" s="183">
        <v>717</v>
      </c>
      <c r="K199" s="181">
        <v>0.156</v>
      </c>
      <c r="L199" s="182">
        <v>0</v>
      </c>
    </row>
    <row r="200" spans="2:12" x14ac:dyDescent="0.25">
      <c r="B200" s="177" t="s">
        <v>831</v>
      </c>
      <c r="C200" s="178" t="s">
        <v>843</v>
      </c>
      <c r="D200" s="179" t="s">
        <v>434</v>
      </c>
      <c r="E200" s="180">
        <v>318</v>
      </c>
      <c r="F200" s="181">
        <v>0.156</v>
      </c>
      <c r="G200" s="182">
        <v>19.600000000000001</v>
      </c>
      <c r="H200" s="169"/>
      <c r="I200" s="177" t="str">
        <f t="shared" si="3"/>
        <v>Light IndustrialNYCAC With Fuel Heat</v>
      </c>
      <c r="J200" s="180">
        <v>318</v>
      </c>
      <c r="K200" s="181">
        <v>0.156</v>
      </c>
      <c r="L200" s="182">
        <v>19.600000000000001</v>
      </c>
    </row>
    <row r="201" spans="2:12" x14ac:dyDescent="0.25">
      <c r="B201" s="177" t="s">
        <v>831</v>
      </c>
      <c r="C201" s="178" t="s">
        <v>843</v>
      </c>
      <c r="D201" s="179" t="s">
        <v>435</v>
      </c>
      <c r="E201" s="180">
        <v>613</v>
      </c>
      <c r="F201" s="181">
        <v>0.156</v>
      </c>
      <c r="G201" s="182">
        <v>0</v>
      </c>
      <c r="H201" s="169"/>
      <c r="I201" s="177" t="str">
        <f t="shared" si="3"/>
        <v>Light IndustrialNYCAir Source Heat Pump</v>
      </c>
      <c r="J201" s="180">
        <v>613</v>
      </c>
      <c r="K201" s="181">
        <v>0.156</v>
      </c>
      <c r="L201" s="182">
        <v>0</v>
      </c>
    </row>
    <row r="202" spans="2:12" x14ac:dyDescent="0.25">
      <c r="B202" s="177" t="s">
        <v>831</v>
      </c>
      <c r="C202" s="178" t="s">
        <v>843</v>
      </c>
      <c r="D202" s="179" t="s">
        <v>436</v>
      </c>
      <c r="E202" s="180">
        <v>442</v>
      </c>
      <c r="F202" s="181">
        <v>0</v>
      </c>
      <c r="G202" s="182">
        <v>0</v>
      </c>
      <c r="H202" s="169"/>
      <c r="I202" s="177" t="str">
        <f t="shared" si="3"/>
        <v>Light IndustrialNYCElectric Heat Only</v>
      </c>
      <c r="J202" s="180">
        <v>442</v>
      </c>
      <c r="K202" s="181">
        <v>0</v>
      </c>
      <c r="L202" s="182">
        <v>0</v>
      </c>
    </row>
    <row r="203" spans="2:12" x14ac:dyDescent="0.25">
      <c r="B203" s="177" t="s">
        <v>831</v>
      </c>
      <c r="C203" s="178" t="s">
        <v>843</v>
      </c>
      <c r="D203" s="179" t="s">
        <v>437</v>
      </c>
      <c r="E203" s="180">
        <v>0</v>
      </c>
      <c r="F203" s="181">
        <v>0</v>
      </c>
      <c r="G203" s="182">
        <v>19.600000000000001</v>
      </c>
      <c r="H203" s="169"/>
      <c r="I203" s="177" t="str">
        <f t="shared" si="3"/>
        <v>Light IndustrialNYCFuel Heat Only</v>
      </c>
      <c r="J203" s="180">
        <v>0</v>
      </c>
      <c r="K203" s="181">
        <v>0</v>
      </c>
      <c r="L203" s="182">
        <v>19.600000000000001</v>
      </c>
    </row>
    <row r="204" spans="2:12" x14ac:dyDescent="0.25">
      <c r="B204" s="177" t="s">
        <v>831</v>
      </c>
      <c r="C204" s="178" t="s">
        <v>844</v>
      </c>
      <c r="D204" s="179" t="s">
        <v>428</v>
      </c>
      <c r="E204" s="183">
        <v>636</v>
      </c>
      <c r="F204" s="181">
        <v>0.156</v>
      </c>
      <c r="G204" s="182">
        <v>0</v>
      </c>
      <c r="H204" s="169"/>
      <c r="I204" s="177" t="str">
        <f t="shared" si="3"/>
        <v>Light IndustrialPoughkeepsieAC With Electric Heat</v>
      </c>
      <c r="J204" s="183">
        <v>636</v>
      </c>
      <c r="K204" s="181">
        <v>0.156</v>
      </c>
      <c r="L204" s="182">
        <v>0</v>
      </c>
    </row>
    <row r="205" spans="2:12" x14ac:dyDescent="0.25">
      <c r="B205" s="177" t="s">
        <v>831</v>
      </c>
      <c r="C205" s="178" t="s">
        <v>844</v>
      </c>
      <c r="D205" s="179" t="s">
        <v>434</v>
      </c>
      <c r="E205" s="180">
        <v>216</v>
      </c>
      <c r="F205" s="181">
        <v>0.156</v>
      </c>
      <c r="G205" s="182">
        <v>19.600000000000001</v>
      </c>
      <c r="H205" s="169"/>
      <c r="I205" s="177" t="str">
        <f t="shared" si="3"/>
        <v>Light IndustrialPoughkeepsieAC With Fuel Heat</v>
      </c>
      <c r="J205" s="180">
        <v>216</v>
      </c>
      <c r="K205" s="181">
        <v>0.156</v>
      </c>
      <c r="L205" s="182">
        <v>19.600000000000001</v>
      </c>
    </row>
    <row r="206" spans="2:12" x14ac:dyDescent="0.25">
      <c r="B206" s="177" t="s">
        <v>831</v>
      </c>
      <c r="C206" s="178" t="s">
        <v>844</v>
      </c>
      <c r="D206" s="179" t="s">
        <v>435</v>
      </c>
      <c r="E206" s="183">
        <v>521</v>
      </c>
      <c r="F206" s="181">
        <v>0.156</v>
      </c>
      <c r="G206" s="182">
        <v>0</v>
      </c>
      <c r="H206" s="169"/>
      <c r="I206" s="177" t="str">
        <f t="shared" si="3"/>
        <v>Light IndustrialPoughkeepsieAir Source Heat Pump</v>
      </c>
      <c r="J206" s="183">
        <v>521</v>
      </c>
      <c r="K206" s="181">
        <v>0.156</v>
      </c>
      <c r="L206" s="182">
        <v>0</v>
      </c>
    </row>
    <row r="207" spans="2:12" x14ac:dyDescent="0.25">
      <c r="B207" s="177" t="s">
        <v>831</v>
      </c>
      <c r="C207" s="178" t="s">
        <v>844</v>
      </c>
      <c r="D207" s="179" t="s">
        <v>436</v>
      </c>
      <c r="E207" s="183">
        <v>450</v>
      </c>
      <c r="F207" s="181">
        <v>0</v>
      </c>
      <c r="G207" s="182">
        <v>0</v>
      </c>
      <c r="H207" s="169"/>
      <c r="I207" s="177" t="str">
        <f t="shared" si="3"/>
        <v>Light IndustrialPoughkeepsieElectric Heat Only</v>
      </c>
      <c r="J207" s="183">
        <v>450</v>
      </c>
      <c r="K207" s="181">
        <v>0</v>
      </c>
      <c r="L207" s="182">
        <v>0</v>
      </c>
    </row>
    <row r="208" spans="2:12" x14ac:dyDescent="0.25">
      <c r="B208" s="177" t="s">
        <v>831</v>
      </c>
      <c r="C208" s="178" t="s">
        <v>844</v>
      </c>
      <c r="D208" s="179" t="s">
        <v>437</v>
      </c>
      <c r="E208" s="180">
        <v>0</v>
      </c>
      <c r="F208" s="181">
        <v>0</v>
      </c>
      <c r="G208" s="182">
        <v>19.600000000000001</v>
      </c>
      <c r="H208" s="169"/>
      <c r="I208" s="177" t="str">
        <f t="shared" si="3"/>
        <v>Light IndustrialPoughkeepsieFuel Heat Only</v>
      </c>
      <c r="J208" s="180">
        <v>0</v>
      </c>
      <c r="K208" s="181">
        <v>0</v>
      </c>
      <c r="L208" s="182">
        <v>19.600000000000001</v>
      </c>
    </row>
    <row r="209" spans="2:12" x14ac:dyDescent="0.25">
      <c r="B209" s="177" t="s">
        <v>831</v>
      </c>
      <c r="C209" s="178" t="s">
        <v>845</v>
      </c>
      <c r="D209" s="179" t="s">
        <v>428</v>
      </c>
      <c r="E209" s="183">
        <v>974</v>
      </c>
      <c r="F209" s="181">
        <v>0.156</v>
      </c>
      <c r="G209" s="182">
        <v>0</v>
      </c>
      <c r="H209" s="169"/>
      <c r="I209" s="177" t="str">
        <f t="shared" si="3"/>
        <v>Light IndustrialSyracuseAC With Electric Heat</v>
      </c>
      <c r="J209" s="183">
        <v>974</v>
      </c>
      <c r="K209" s="181">
        <v>0.156</v>
      </c>
      <c r="L209" s="182">
        <v>0</v>
      </c>
    </row>
    <row r="210" spans="2:12" x14ac:dyDescent="0.25">
      <c r="B210" s="177" t="s">
        <v>831</v>
      </c>
      <c r="C210" s="178" t="s">
        <v>845</v>
      </c>
      <c r="D210" s="179" t="s">
        <v>434</v>
      </c>
      <c r="E210" s="180">
        <v>219</v>
      </c>
      <c r="F210" s="181">
        <v>0.156</v>
      </c>
      <c r="G210" s="182">
        <v>35.200000000000003</v>
      </c>
      <c r="H210" s="169"/>
      <c r="I210" s="177" t="str">
        <f t="shared" si="3"/>
        <v>Light IndustrialSyracuseAC With Fuel Heat</v>
      </c>
      <c r="J210" s="180">
        <v>219</v>
      </c>
      <c r="K210" s="181">
        <v>0.156</v>
      </c>
      <c r="L210" s="182">
        <v>35.200000000000003</v>
      </c>
    </row>
    <row r="211" spans="2:12" x14ac:dyDescent="0.25">
      <c r="B211" s="177" t="s">
        <v>831</v>
      </c>
      <c r="C211" s="178" t="s">
        <v>845</v>
      </c>
      <c r="D211" s="179" t="s">
        <v>435</v>
      </c>
      <c r="E211" s="183">
        <v>837</v>
      </c>
      <c r="F211" s="181">
        <v>0.156</v>
      </c>
      <c r="G211" s="182">
        <v>0</v>
      </c>
      <c r="H211" s="169"/>
      <c r="I211" s="177" t="str">
        <f t="shared" si="3"/>
        <v>Light IndustrialSyracuseAir Source Heat Pump</v>
      </c>
      <c r="J211" s="183">
        <v>837</v>
      </c>
      <c r="K211" s="181">
        <v>0.156</v>
      </c>
      <c r="L211" s="182">
        <v>0</v>
      </c>
    </row>
    <row r="212" spans="2:12" x14ac:dyDescent="0.25">
      <c r="B212" s="177" t="s">
        <v>831</v>
      </c>
      <c r="C212" s="178" t="s">
        <v>845</v>
      </c>
      <c r="D212" s="179" t="s">
        <v>436</v>
      </c>
      <c r="E212" s="183">
        <v>781</v>
      </c>
      <c r="F212" s="181">
        <v>0</v>
      </c>
      <c r="G212" s="182">
        <v>0</v>
      </c>
      <c r="H212" s="169"/>
      <c r="I212" s="177" t="str">
        <f t="shared" si="3"/>
        <v>Light IndustrialSyracuseElectric Heat Only</v>
      </c>
      <c r="J212" s="183">
        <v>781</v>
      </c>
      <c r="K212" s="181">
        <v>0</v>
      </c>
      <c r="L212" s="182">
        <v>0</v>
      </c>
    </row>
    <row r="213" spans="2:12" ht="15.75" thickBot="1" x14ac:dyDescent="0.3">
      <c r="B213" s="184" t="s">
        <v>831</v>
      </c>
      <c r="C213" s="185" t="s">
        <v>845</v>
      </c>
      <c r="D213" s="186" t="s">
        <v>437</v>
      </c>
      <c r="E213" s="187">
        <v>0</v>
      </c>
      <c r="F213" s="188">
        <v>0</v>
      </c>
      <c r="G213" s="189">
        <v>35.200000000000003</v>
      </c>
      <c r="H213" s="169"/>
      <c r="I213" s="184" t="str">
        <f t="shared" si="3"/>
        <v>Light IndustrialSyracuseFuel Heat Only</v>
      </c>
      <c r="J213" s="187">
        <v>0</v>
      </c>
      <c r="K213" s="188">
        <v>0</v>
      </c>
      <c r="L213" s="189">
        <v>35.200000000000003</v>
      </c>
    </row>
    <row r="214" spans="2:12" x14ac:dyDescent="0.25">
      <c r="B214" s="171" t="s">
        <v>279</v>
      </c>
      <c r="C214" s="172" t="s">
        <v>839</v>
      </c>
      <c r="D214" s="173" t="s">
        <v>428</v>
      </c>
      <c r="E214" s="174">
        <v>1828</v>
      </c>
      <c r="F214" s="175">
        <v>0.156</v>
      </c>
      <c r="G214" s="176">
        <v>0</v>
      </c>
      <c r="H214" s="169"/>
      <c r="I214" s="171" t="str">
        <f t="shared" si="3"/>
        <v>MotelAlbanyAC With Electric Heat</v>
      </c>
      <c r="J214" s="174">
        <v>1828</v>
      </c>
      <c r="K214" s="175">
        <v>0.156</v>
      </c>
      <c r="L214" s="176">
        <v>0</v>
      </c>
    </row>
    <row r="215" spans="2:12" x14ac:dyDescent="0.25">
      <c r="B215" s="177" t="s">
        <v>279</v>
      </c>
      <c r="C215" s="178" t="s">
        <v>839</v>
      </c>
      <c r="D215" s="179" t="s">
        <v>434</v>
      </c>
      <c r="E215" s="180">
        <v>326</v>
      </c>
      <c r="F215" s="181">
        <v>0.156</v>
      </c>
      <c r="G215" s="182">
        <v>70.099999999999994</v>
      </c>
      <c r="H215" s="169"/>
      <c r="I215" s="177" t="str">
        <f t="shared" si="3"/>
        <v>MotelAlbanyAC With Fuel Heat</v>
      </c>
      <c r="J215" s="180">
        <v>326</v>
      </c>
      <c r="K215" s="181">
        <v>0.156</v>
      </c>
      <c r="L215" s="182">
        <v>70.099999999999994</v>
      </c>
    </row>
    <row r="216" spans="2:12" x14ac:dyDescent="0.25">
      <c r="B216" s="177" t="s">
        <v>279</v>
      </c>
      <c r="C216" s="178" t="s">
        <v>839</v>
      </c>
      <c r="D216" s="179" t="s">
        <v>435</v>
      </c>
      <c r="E216" s="183">
        <v>1478</v>
      </c>
      <c r="F216" s="181">
        <v>0.156</v>
      </c>
      <c r="G216" s="182">
        <v>0</v>
      </c>
      <c r="H216" s="169"/>
      <c r="I216" s="177" t="str">
        <f t="shared" si="3"/>
        <v>MotelAlbanyAir Source Heat Pump</v>
      </c>
      <c r="J216" s="183">
        <v>1478</v>
      </c>
      <c r="K216" s="181">
        <v>0.156</v>
      </c>
      <c r="L216" s="182">
        <v>0</v>
      </c>
    </row>
    <row r="217" spans="2:12" x14ac:dyDescent="0.25">
      <c r="B217" s="177" t="s">
        <v>279</v>
      </c>
      <c r="C217" s="178" t="s">
        <v>839</v>
      </c>
      <c r="D217" s="179" t="s">
        <v>436</v>
      </c>
      <c r="E217" s="183">
        <v>1572</v>
      </c>
      <c r="F217" s="181">
        <v>0</v>
      </c>
      <c r="G217" s="182">
        <v>0</v>
      </c>
      <c r="H217" s="169"/>
      <c r="I217" s="177" t="str">
        <f t="shared" si="3"/>
        <v>MotelAlbanyElectric Heat Only</v>
      </c>
      <c r="J217" s="183">
        <v>1572</v>
      </c>
      <c r="K217" s="181">
        <v>0</v>
      </c>
      <c r="L217" s="182">
        <v>0</v>
      </c>
    </row>
    <row r="218" spans="2:12" x14ac:dyDescent="0.25">
      <c r="B218" s="177" t="s">
        <v>279</v>
      </c>
      <c r="C218" s="178" t="s">
        <v>839</v>
      </c>
      <c r="D218" s="179" t="s">
        <v>437</v>
      </c>
      <c r="E218" s="180">
        <v>0</v>
      </c>
      <c r="F218" s="181">
        <v>0</v>
      </c>
      <c r="G218" s="182">
        <v>70.099999999999994</v>
      </c>
      <c r="H218" s="169"/>
      <c r="I218" s="177" t="str">
        <f t="shared" si="3"/>
        <v>MotelAlbanyFuel Heat Only</v>
      </c>
      <c r="J218" s="180">
        <v>0</v>
      </c>
      <c r="K218" s="181">
        <v>0</v>
      </c>
      <c r="L218" s="182">
        <v>70.099999999999994</v>
      </c>
    </row>
    <row r="219" spans="2:12" x14ac:dyDescent="0.25">
      <c r="B219" s="177" t="s">
        <v>279</v>
      </c>
      <c r="C219" s="178" t="s">
        <v>840</v>
      </c>
      <c r="D219" s="179" t="s">
        <v>428</v>
      </c>
      <c r="E219" s="183">
        <v>1863</v>
      </c>
      <c r="F219" s="181">
        <v>0.156</v>
      </c>
      <c r="G219" s="182">
        <v>0</v>
      </c>
      <c r="H219" s="169"/>
      <c r="I219" s="177" t="str">
        <f t="shared" si="3"/>
        <v>MotelBinghamtonAC With Electric Heat</v>
      </c>
      <c r="J219" s="183">
        <v>1863</v>
      </c>
      <c r="K219" s="181">
        <v>0.156</v>
      </c>
      <c r="L219" s="182">
        <v>0</v>
      </c>
    </row>
    <row r="220" spans="2:12" x14ac:dyDescent="0.25">
      <c r="B220" s="177" t="s">
        <v>279</v>
      </c>
      <c r="C220" s="178" t="s">
        <v>840</v>
      </c>
      <c r="D220" s="179" t="s">
        <v>434</v>
      </c>
      <c r="E220" s="180">
        <v>273</v>
      </c>
      <c r="F220" s="181">
        <v>0.156</v>
      </c>
      <c r="G220" s="182">
        <v>74.2</v>
      </c>
      <c r="H220" s="169"/>
      <c r="I220" s="177" t="str">
        <f t="shared" si="3"/>
        <v>MotelBinghamtonAC With Fuel Heat</v>
      </c>
      <c r="J220" s="180">
        <v>273</v>
      </c>
      <c r="K220" s="181">
        <v>0.156</v>
      </c>
      <c r="L220" s="182">
        <v>74.2</v>
      </c>
    </row>
    <row r="221" spans="2:12" x14ac:dyDescent="0.25">
      <c r="B221" s="177" t="s">
        <v>279</v>
      </c>
      <c r="C221" s="178" t="s">
        <v>840</v>
      </c>
      <c r="D221" s="179" t="s">
        <v>435</v>
      </c>
      <c r="E221" s="183">
        <v>1580</v>
      </c>
      <c r="F221" s="181">
        <v>0.156</v>
      </c>
      <c r="G221" s="182">
        <v>0</v>
      </c>
      <c r="H221" s="169"/>
      <c r="I221" s="177" t="str">
        <f t="shared" si="3"/>
        <v>MotelBinghamtonAir Source Heat Pump</v>
      </c>
      <c r="J221" s="183">
        <v>1580</v>
      </c>
      <c r="K221" s="181">
        <v>0.156</v>
      </c>
      <c r="L221" s="182">
        <v>0</v>
      </c>
    </row>
    <row r="222" spans="2:12" x14ac:dyDescent="0.25">
      <c r="B222" s="177" t="s">
        <v>279</v>
      </c>
      <c r="C222" s="178" t="s">
        <v>840</v>
      </c>
      <c r="D222" s="179" t="s">
        <v>436</v>
      </c>
      <c r="E222" s="183">
        <v>1636</v>
      </c>
      <c r="F222" s="181">
        <v>0</v>
      </c>
      <c r="G222" s="182">
        <v>0</v>
      </c>
      <c r="H222" s="169"/>
      <c r="I222" s="177" t="str">
        <f t="shared" si="3"/>
        <v>MotelBinghamtonElectric Heat Only</v>
      </c>
      <c r="J222" s="183">
        <v>1636</v>
      </c>
      <c r="K222" s="181">
        <v>0</v>
      </c>
      <c r="L222" s="182">
        <v>0</v>
      </c>
    </row>
    <row r="223" spans="2:12" x14ac:dyDescent="0.25">
      <c r="B223" s="177" t="s">
        <v>279</v>
      </c>
      <c r="C223" s="178" t="s">
        <v>840</v>
      </c>
      <c r="D223" s="179" t="s">
        <v>437</v>
      </c>
      <c r="E223" s="180">
        <v>0</v>
      </c>
      <c r="F223" s="181">
        <v>0</v>
      </c>
      <c r="G223" s="182">
        <v>74.2</v>
      </c>
      <c r="H223" s="169"/>
      <c r="I223" s="177" t="str">
        <f t="shared" si="3"/>
        <v>MotelBinghamtonFuel Heat Only</v>
      </c>
      <c r="J223" s="180">
        <v>0</v>
      </c>
      <c r="K223" s="181">
        <v>0</v>
      </c>
      <c r="L223" s="182">
        <v>74.2</v>
      </c>
    </row>
    <row r="224" spans="2:12" x14ac:dyDescent="0.25">
      <c r="B224" s="177" t="s">
        <v>279</v>
      </c>
      <c r="C224" s="178" t="s">
        <v>841</v>
      </c>
      <c r="D224" s="179" t="s">
        <v>428</v>
      </c>
      <c r="E224" s="183">
        <v>1977</v>
      </c>
      <c r="F224" s="181">
        <v>0.156</v>
      </c>
      <c r="G224" s="182">
        <v>0</v>
      </c>
      <c r="H224" s="169"/>
      <c r="I224" s="177" t="str">
        <f t="shared" si="3"/>
        <v>MotelBuffaloAC With Electric Heat</v>
      </c>
      <c r="J224" s="183">
        <v>1977</v>
      </c>
      <c r="K224" s="181">
        <v>0.156</v>
      </c>
      <c r="L224" s="182">
        <v>0</v>
      </c>
    </row>
    <row r="225" spans="2:12" x14ac:dyDescent="0.25">
      <c r="B225" s="177" t="s">
        <v>279</v>
      </c>
      <c r="C225" s="178" t="s">
        <v>841</v>
      </c>
      <c r="D225" s="179" t="s">
        <v>434</v>
      </c>
      <c r="E225" s="180">
        <v>298</v>
      </c>
      <c r="F225" s="181">
        <v>0.156</v>
      </c>
      <c r="G225" s="182">
        <v>78.900000000000006</v>
      </c>
      <c r="H225" s="169"/>
      <c r="I225" s="177" t="str">
        <f t="shared" si="3"/>
        <v>MotelBuffaloAC With Fuel Heat</v>
      </c>
      <c r="J225" s="180">
        <v>298</v>
      </c>
      <c r="K225" s="181">
        <v>0.156</v>
      </c>
      <c r="L225" s="182">
        <v>78.900000000000006</v>
      </c>
    </row>
    <row r="226" spans="2:12" x14ac:dyDescent="0.25">
      <c r="B226" s="177" t="s">
        <v>279</v>
      </c>
      <c r="C226" s="178" t="s">
        <v>841</v>
      </c>
      <c r="D226" s="179" t="s">
        <v>435</v>
      </c>
      <c r="E226" s="183">
        <v>1489</v>
      </c>
      <c r="F226" s="181">
        <v>0.156</v>
      </c>
      <c r="G226" s="182">
        <v>0</v>
      </c>
      <c r="H226" s="169"/>
      <c r="I226" s="177" t="str">
        <f t="shared" si="3"/>
        <v>MotelBuffaloAir Source Heat Pump</v>
      </c>
      <c r="J226" s="183">
        <v>1489</v>
      </c>
      <c r="K226" s="181">
        <v>0.156</v>
      </c>
      <c r="L226" s="182">
        <v>0</v>
      </c>
    </row>
    <row r="227" spans="2:12" x14ac:dyDescent="0.25">
      <c r="B227" s="177" t="s">
        <v>279</v>
      </c>
      <c r="C227" s="178" t="s">
        <v>841</v>
      </c>
      <c r="D227" s="179" t="s">
        <v>436</v>
      </c>
      <c r="E227" s="183">
        <v>1714</v>
      </c>
      <c r="F227" s="181">
        <v>0</v>
      </c>
      <c r="G227" s="182">
        <v>0</v>
      </c>
      <c r="H227" s="169"/>
      <c r="I227" s="177" t="str">
        <f t="shared" si="3"/>
        <v>MotelBuffaloElectric Heat Only</v>
      </c>
      <c r="J227" s="183">
        <v>1714</v>
      </c>
      <c r="K227" s="181">
        <v>0</v>
      </c>
      <c r="L227" s="182">
        <v>0</v>
      </c>
    </row>
    <row r="228" spans="2:12" x14ac:dyDescent="0.25">
      <c r="B228" s="177" t="s">
        <v>279</v>
      </c>
      <c r="C228" s="178" t="s">
        <v>841</v>
      </c>
      <c r="D228" s="179" t="s">
        <v>437</v>
      </c>
      <c r="E228" s="180">
        <v>0</v>
      </c>
      <c r="F228" s="181">
        <v>0</v>
      </c>
      <c r="G228" s="182">
        <v>78.900000000000006</v>
      </c>
      <c r="H228" s="169"/>
      <c r="I228" s="177" t="str">
        <f t="shared" si="3"/>
        <v>MotelBuffaloFuel Heat Only</v>
      </c>
      <c r="J228" s="180">
        <v>0</v>
      </c>
      <c r="K228" s="181">
        <v>0</v>
      </c>
      <c r="L228" s="182">
        <v>78.900000000000006</v>
      </c>
    </row>
    <row r="229" spans="2:12" x14ac:dyDescent="0.25">
      <c r="B229" s="177" t="s">
        <v>279</v>
      </c>
      <c r="C229" s="178" t="s">
        <v>842</v>
      </c>
      <c r="D229" s="179" t="s">
        <v>428</v>
      </c>
      <c r="E229" s="183">
        <v>2382</v>
      </c>
      <c r="F229" s="181">
        <v>0.156</v>
      </c>
      <c r="G229" s="182">
        <v>0</v>
      </c>
      <c r="H229" s="169"/>
      <c r="I229" s="177" t="str">
        <f t="shared" si="3"/>
        <v>MotelMassenaAC With Electric Heat</v>
      </c>
      <c r="J229" s="183">
        <v>2382</v>
      </c>
      <c r="K229" s="181">
        <v>0.156</v>
      </c>
      <c r="L229" s="182">
        <v>0</v>
      </c>
    </row>
    <row r="230" spans="2:12" x14ac:dyDescent="0.25">
      <c r="B230" s="177" t="s">
        <v>279</v>
      </c>
      <c r="C230" s="178" t="s">
        <v>842</v>
      </c>
      <c r="D230" s="179" t="s">
        <v>434</v>
      </c>
      <c r="E230" s="180">
        <v>319</v>
      </c>
      <c r="F230" s="181">
        <v>0.156</v>
      </c>
      <c r="G230" s="182">
        <v>95.9</v>
      </c>
      <c r="H230" s="169"/>
      <c r="I230" s="177" t="str">
        <f t="shared" si="3"/>
        <v>MotelMassenaAC With Fuel Heat</v>
      </c>
      <c r="J230" s="180">
        <v>319</v>
      </c>
      <c r="K230" s="181">
        <v>0.156</v>
      </c>
      <c r="L230" s="182">
        <v>95.9</v>
      </c>
    </row>
    <row r="231" spans="2:12" x14ac:dyDescent="0.25">
      <c r="B231" s="177" t="s">
        <v>279</v>
      </c>
      <c r="C231" s="178" t="s">
        <v>842</v>
      </c>
      <c r="D231" s="179" t="s">
        <v>435</v>
      </c>
      <c r="E231" s="183">
        <v>2000</v>
      </c>
      <c r="F231" s="181">
        <v>0.156</v>
      </c>
      <c r="G231" s="182">
        <v>0</v>
      </c>
      <c r="H231" s="169"/>
      <c r="I231" s="177" t="str">
        <f t="shared" si="3"/>
        <v>MotelMassenaAir Source Heat Pump</v>
      </c>
      <c r="J231" s="183">
        <v>2000</v>
      </c>
      <c r="K231" s="181">
        <v>0.156</v>
      </c>
      <c r="L231" s="182">
        <v>0</v>
      </c>
    </row>
    <row r="232" spans="2:12" x14ac:dyDescent="0.25">
      <c r="B232" s="177" t="s">
        <v>279</v>
      </c>
      <c r="C232" s="178" t="s">
        <v>842</v>
      </c>
      <c r="D232" s="179" t="s">
        <v>436</v>
      </c>
      <c r="E232" s="183">
        <v>2130</v>
      </c>
      <c r="F232" s="181">
        <v>0</v>
      </c>
      <c r="G232" s="182">
        <v>0</v>
      </c>
      <c r="H232" s="169"/>
      <c r="I232" s="177" t="str">
        <f t="shared" si="3"/>
        <v>MotelMassenaElectric Heat Only</v>
      </c>
      <c r="J232" s="183">
        <v>2130</v>
      </c>
      <c r="K232" s="181">
        <v>0</v>
      </c>
      <c r="L232" s="182">
        <v>0</v>
      </c>
    </row>
    <row r="233" spans="2:12" x14ac:dyDescent="0.25">
      <c r="B233" s="177" t="s">
        <v>279</v>
      </c>
      <c r="C233" s="178" t="s">
        <v>842</v>
      </c>
      <c r="D233" s="179" t="s">
        <v>437</v>
      </c>
      <c r="E233" s="180">
        <v>0</v>
      </c>
      <c r="F233" s="181">
        <v>0</v>
      </c>
      <c r="G233" s="182">
        <v>95.9</v>
      </c>
      <c r="H233" s="169"/>
      <c r="I233" s="177" t="str">
        <f t="shared" si="3"/>
        <v>MotelMassenaFuel Heat Only</v>
      </c>
      <c r="J233" s="180">
        <v>0</v>
      </c>
      <c r="K233" s="181">
        <v>0</v>
      </c>
      <c r="L233" s="182">
        <v>95.9</v>
      </c>
    </row>
    <row r="234" spans="2:12" x14ac:dyDescent="0.25">
      <c r="B234" s="177" t="s">
        <v>279</v>
      </c>
      <c r="C234" s="178" t="s">
        <v>843</v>
      </c>
      <c r="D234" s="179" t="s">
        <v>428</v>
      </c>
      <c r="E234" s="183">
        <v>1243</v>
      </c>
      <c r="F234" s="181">
        <v>0.156</v>
      </c>
      <c r="G234" s="182">
        <v>0</v>
      </c>
      <c r="H234" s="169"/>
      <c r="I234" s="177" t="str">
        <f t="shared" si="3"/>
        <v>MotelNYCAC With Electric Heat</v>
      </c>
      <c r="J234" s="183">
        <v>1243</v>
      </c>
      <c r="K234" s="181">
        <v>0.156</v>
      </c>
      <c r="L234" s="182">
        <v>0</v>
      </c>
    </row>
    <row r="235" spans="2:12" x14ac:dyDescent="0.25">
      <c r="B235" s="177" t="s">
        <v>279</v>
      </c>
      <c r="C235" s="178" t="s">
        <v>843</v>
      </c>
      <c r="D235" s="179" t="s">
        <v>434</v>
      </c>
      <c r="E235" s="180">
        <v>413</v>
      </c>
      <c r="F235" s="181">
        <v>0.156</v>
      </c>
      <c r="G235" s="182">
        <v>40</v>
      </c>
      <c r="H235" s="169"/>
      <c r="I235" s="177" t="str">
        <f t="shared" si="3"/>
        <v>MotelNYCAC With Fuel Heat</v>
      </c>
      <c r="J235" s="180">
        <v>413</v>
      </c>
      <c r="K235" s="181">
        <v>0.156</v>
      </c>
      <c r="L235" s="182">
        <v>40</v>
      </c>
    </row>
    <row r="236" spans="2:12" x14ac:dyDescent="0.25">
      <c r="B236" s="177" t="s">
        <v>279</v>
      </c>
      <c r="C236" s="178" t="s">
        <v>843</v>
      </c>
      <c r="D236" s="179" t="s">
        <v>435</v>
      </c>
      <c r="E236" s="180">
        <v>941</v>
      </c>
      <c r="F236" s="181">
        <v>0.156</v>
      </c>
      <c r="G236" s="182">
        <v>0</v>
      </c>
      <c r="H236" s="169"/>
      <c r="I236" s="177" t="str">
        <f t="shared" si="3"/>
        <v>MotelNYCAir Source Heat Pump</v>
      </c>
      <c r="J236" s="180">
        <v>941</v>
      </c>
      <c r="K236" s="181">
        <v>0.156</v>
      </c>
      <c r="L236" s="182">
        <v>0</v>
      </c>
    </row>
    <row r="237" spans="2:12" x14ac:dyDescent="0.25">
      <c r="B237" s="177" t="s">
        <v>279</v>
      </c>
      <c r="C237" s="178" t="s">
        <v>843</v>
      </c>
      <c r="D237" s="179" t="s">
        <v>436</v>
      </c>
      <c r="E237" s="180">
        <v>953</v>
      </c>
      <c r="F237" s="181">
        <v>0</v>
      </c>
      <c r="G237" s="182">
        <v>0</v>
      </c>
      <c r="H237" s="169"/>
      <c r="I237" s="177" t="str">
        <f t="shared" si="3"/>
        <v>MotelNYCElectric Heat Only</v>
      </c>
      <c r="J237" s="180">
        <v>953</v>
      </c>
      <c r="K237" s="181">
        <v>0</v>
      </c>
      <c r="L237" s="182">
        <v>0</v>
      </c>
    </row>
    <row r="238" spans="2:12" x14ac:dyDescent="0.25">
      <c r="B238" s="177" t="s">
        <v>279</v>
      </c>
      <c r="C238" s="178" t="s">
        <v>843</v>
      </c>
      <c r="D238" s="179" t="s">
        <v>437</v>
      </c>
      <c r="E238" s="180">
        <v>0</v>
      </c>
      <c r="F238" s="181">
        <v>0</v>
      </c>
      <c r="G238" s="182">
        <v>40</v>
      </c>
      <c r="H238" s="169"/>
      <c r="I238" s="177" t="str">
        <f t="shared" si="3"/>
        <v>MotelNYCFuel Heat Only</v>
      </c>
      <c r="J238" s="180">
        <v>0</v>
      </c>
      <c r="K238" s="181">
        <v>0</v>
      </c>
      <c r="L238" s="182">
        <v>40</v>
      </c>
    </row>
    <row r="239" spans="2:12" x14ac:dyDescent="0.25">
      <c r="B239" s="177" t="s">
        <v>279</v>
      </c>
      <c r="C239" s="178" t="s">
        <v>844</v>
      </c>
      <c r="D239" s="179" t="s">
        <v>428</v>
      </c>
      <c r="E239" s="183">
        <v>1430</v>
      </c>
      <c r="F239" s="181">
        <v>0.156</v>
      </c>
      <c r="G239" s="182">
        <v>0</v>
      </c>
      <c r="H239" s="169"/>
      <c r="I239" s="177" t="str">
        <f t="shared" si="3"/>
        <v>MotelPoughkeepsieAC With Electric Heat</v>
      </c>
      <c r="J239" s="183">
        <v>1430</v>
      </c>
      <c r="K239" s="181">
        <v>0.156</v>
      </c>
      <c r="L239" s="182">
        <v>0</v>
      </c>
    </row>
    <row r="240" spans="2:12" x14ac:dyDescent="0.25">
      <c r="B240" s="177" t="s">
        <v>279</v>
      </c>
      <c r="C240" s="178" t="s">
        <v>844</v>
      </c>
      <c r="D240" s="179" t="s">
        <v>434</v>
      </c>
      <c r="E240" s="180">
        <v>312</v>
      </c>
      <c r="F240" s="181">
        <v>0.156</v>
      </c>
      <c r="G240" s="182">
        <v>53</v>
      </c>
      <c r="H240" s="169"/>
      <c r="I240" s="177" t="str">
        <f t="shared" si="3"/>
        <v>MotelPoughkeepsieAC With Fuel Heat</v>
      </c>
      <c r="J240" s="180">
        <v>312</v>
      </c>
      <c r="K240" s="181">
        <v>0.156</v>
      </c>
      <c r="L240" s="182">
        <v>53</v>
      </c>
    </row>
    <row r="241" spans="2:12" x14ac:dyDescent="0.25">
      <c r="B241" s="177" t="s">
        <v>279</v>
      </c>
      <c r="C241" s="178" t="s">
        <v>844</v>
      </c>
      <c r="D241" s="179" t="s">
        <v>435</v>
      </c>
      <c r="E241" s="183">
        <v>1159</v>
      </c>
      <c r="F241" s="181">
        <v>0.156</v>
      </c>
      <c r="G241" s="182">
        <v>0</v>
      </c>
      <c r="H241" s="169"/>
      <c r="I241" s="177" t="str">
        <f t="shared" si="3"/>
        <v>MotelPoughkeepsieAir Source Heat Pump</v>
      </c>
      <c r="J241" s="183">
        <v>1159</v>
      </c>
      <c r="K241" s="181">
        <v>0.156</v>
      </c>
      <c r="L241" s="182">
        <v>0</v>
      </c>
    </row>
    <row r="242" spans="2:12" x14ac:dyDescent="0.25">
      <c r="B242" s="177" t="s">
        <v>279</v>
      </c>
      <c r="C242" s="178" t="s">
        <v>844</v>
      </c>
      <c r="D242" s="179" t="s">
        <v>436</v>
      </c>
      <c r="E242" s="183">
        <v>1202</v>
      </c>
      <c r="F242" s="181">
        <v>0</v>
      </c>
      <c r="G242" s="182">
        <v>0</v>
      </c>
      <c r="H242" s="169"/>
      <c r="I242" s="177" t="str">
        <f t="shared" si="3"/>
        <v>MotelPoughkeepsieElectric Heat Only</v>
      </c>
      <c r="J242" s="183">
        <v>1202</v>
      </c>
      <c r="K242" s="181">
        <v>0</v>
      </c>
      <c r="L242" s="182">
        <v>0</v>
      </c>
    </row>
    <row r="243" spans="2:12" x14ac:dyDescent="0.25">
      <c r="B243" s="177" t="s">
        <v>279</v>
      </c>
      <c r="C243" s="178" t="s">
        <v>844</v>
      </c>
      <c r="D243" s="179" t="s">
        <v>437</v>
      </c>
      <c r="E243" s="180">
        <v>0</v>
      </c>
      <c r="F243" s="181">
        <v>0</v>
      </c>
      <c r="G243" s="182">
        <v>53</v>
      </c>
      <c r="H243" s="169"/>
      <c r="I243" s="177" t="str">
        <f t="shared" si="3"/>
        <v>MotelPoughkeepsieFuel Heat Only</v>
      </c>
      <c r="J243" s="180">
        <v>0</v>
      </c>
      <c r="K243" s="181">
        <v>0</v>
      </c>
      <c r="L243" s="182">
        <v>53</v>
      </c>
    </row>
    <row r="244" spans="2:12" x14ac:dyDescent="0.25">
      <c r="B244" s="177" t="s">
        <v>279</v>
      </c>
      <c r="C244" s="178" t="s">
        <v>845</v>
      </c>
      <c r="D244" s="179" t="s">
        <v>428</v>
      </c>
      <c r="E244" s="183">
        <v>1748</v>
      </c>
      <c r="F244" s="181">
        <v>0.156</v>
      </c>
      <c r="G244" s="182">
        <v>0</v>
      </c>
      <c r="H244" s="169"/>
      <c r="I244" s="177" t="str">
        <f t="shared" si="3"/>
        <v>MotelSyracuseAC With Electric Heat</v>
      </c>
      <c r="J244" s="183">
        <v>1748</v>
      </c>
      <c r="K244" s="181">
        <v>0.156</v>
      </c>
      <c r="L244" s="182">
        <v>0</v>
      </c>
    </row>
    <row r="245" spans="2:12" x14ac:dyDescent="0.25">
      <c r="B245" s="177" t="s">
        <v>279</v>
      </c>
      <c r="C245" s="178" t="s">
        <v>845</v>
      </c>
      <c r="D245" s="179" t="s">
        <v>434</v>
      </c>
      <c r="E245" s="180">
        <v>326</v>
      </c>
      <c r="F245" s="181">
        <v>0.156</v>
      </c>
      <c r="G245" s="182">
        <v>66.900000000000006</v>
      </c>
      <c r="H245" s="169"/>
      <c r="I245" s="177" t="str">
        <f t="shared" si="3"/>
        <v>MotelSyracuseAC With Fuel Heat</v>
      </c>
      <c r="J245" s="180">
        <v>326</v>
      </c>
      <c r="K245" s="181">
        <v>0.156</v>
      </c>
      <c r="L245" s="182">
        <v>66.900000000000006</v>
      </c>
    </row>
    <row r="246" spans="2:12" x14ac:dyDescent="0.25">
      <c r="B246" s="177" t="s">
        <v>279</v>
      </c>
      <c r="C246" s="178" t="s">
        <v>845</v>
      </c>
      <c r="D246" s="179" t="s">
        <v>435</v>
      </c>
      <c r="E246" s="183">
        <v>1468</v>
      </c>
      <c r="F246" s="181">
        <v>0.156</v>
      </c>
      <c r="G246" s="182">
        <v>0</v>
      </c>
      <c r="H246" s="169"/>
      <c r="I246" s="177" t="str">
        <f t="shared" si="3"/>
        <v>MotelSyracuseAir Source Heat Pump</v>
      </c>
      <c r="J246" s="183">
        <v>1468</v>
      </c>
      <c r="K246" s="181">
        <v>0.156</v>
      </c>
      <c r="L246" s="182">
        <v>0</v>
      </c>
    </row>
    <row r="247" spans="2:12" x14ac:dyDescent="0.25">
      <c r="B247" s="177" t="s">
        <v>279</v>
      </c>
      <c r="C247" s="178" t="s">
        <v>845</v>
      </c>
      <c r="D247" s="179" t="s">
        <v>436</v>
      </c>
      <c r="E247" s="183">
        <v>1507</v>
      </c>
      <c r="F247" s="181">
        <v>0</v>
      </c>
      <c r="G247" s="182">
        <v>0</v>
      </c>
      <c r="H247" s="169"/>
      <c r="I247" s="177" t="str">
        <f t="shared" si="3"/>
        <v>MotelSyracuseElectric Heat Only</v>
      </c>
      <c r="J247" s="183">
        <v>1507</v>
      </c>
      <c r="K247" s="181">
        <v>0</v>
      </c>
      <c r="L247" s="182">
        <v>0</v>
      </c>
    </row>
    <row r="248" spans="2:12" ht="15.75" thickBot="1" x14ac:dyDescent="0.3">
      <c r="B248" s="184" t="s">
        <v>279</v>
      </c>
      <c r="C248" s="185" t="s">
        <v>845</v>
      </c>
      <c r="D248" s="186" t="s">
        <v>437</v>
      </c>
      <c r="E248" s="187">
        <v>0</v>
      </c>
      <c r="F248" s="188">
        <v>0</v>
      </c>
      <c r="G248" s="189">
        <v>66.900000000000006</v>
      </c>
      <c r="H248" s="169"/>
      <c r="I248" s="184" t="str">
        <f t="shared" si="3"/>
        <v>MotelSyracuseFuel Heat Only</v>
      </c>
      <c r="J248" s="187">
        <v>0</v>
      </c>
      <c r="K248" s="188">
        <v>0</v>
      </c>
      <c r="L248" s="189">
        <v>66.900000000000006</v>
      </c>
    </row>
    <row r="249" spans="2:12" x14ac:dyDescent="0.25">
      <c r="B249" s="171" t="s">
        <v>846</v>
      </c>
      <c r="C249" s="172" t="s">
        <v>839</v>
      </c>
      <c r="D249" s="173" t="s">
        <v>428</v>
      </c>
      <c r="E249" s="174">
        <v>1863</v>
      </c>
      <c r="F249" s="175">
        <v>0</v>
      </c>
      <c r="G249" s="176">
        <v>0</v>
      </c>
      <c r="H249" s="169"/>
      <c r="I249" s="171" t="str">
        <f t="shared" si="3"/>
        <v>Primary SchoolAlbanyAC With Electric Heat</v>
      </c>
      <c r="J249" s="174">
        <v>1863</v>
      </c>
      <c r="K249" s="175">
        <v>0</v>
      </c>
      <c r="L249" s="176">
        <v>0</v>
      </c>
    </row>
    <row r="250" spans="2:12" x14ac:dyDescent="0.25">
      <c r="B250" s="177" t="s">
        <v>846</v>
      </c>
      <c r="C250" s="178" t="s">
        <v>839</v>
      </c>
      <c r="D250" s="179" t="s">
        <v>434</v>
      </c>
      <c r="E250" s="180">
        <v>554</v>
      </c>
      <c r="F250" s="181">
        <v>0</v>
      </c>
      <c r="G250" s="182">
        <v>57.6</v>
      </c>
      <c r="H250" s="169"/>
      <c r="I250" s="177" t="str">
        <f t="shared" si="3"/>
        <v>Primary SchoolAlbanyAC With Fuel Heat</v>
      </c>
      <c r="J250" s="180">
        <v>554</v>
      </c>
      <c r="K250" s="181">
        <v>0</v>
      </c>
      <c r="L250" s="182">
        <v>57.6</v>
      </c>
    </row>
    <row r="251" spans="2:12" x14ac:dyDescent="0.25">
      <c r="B251" s="177" t="s">
        <v>846</v>
      </c>
      <c r="C251" s="178" t="s">
        <v>839</v>
      </c>
      <c r="D251" s="179" t="s">
        <v>435</v>
      </c>
      <c r="E251" s="183">
        <v>1429</v>
      </c>
      <c r="F251" s="181">
        <v>0</v>
      </c>
      <c r="G251" s="182">
        <v>0</v>
      </c>
      <c r="H251" s="169"/>
      <c r="I251" s="177" t="str">
        <f t="shared" si="3"/>
        <v>Primary SchoolAlbanyAir Source Heat Pump</v>
      </c>
      <c r="J251" s="183">
        <v>1429</v>
      </c>
      <c r="K251" s="181">
        <v>0</v>
      </c>
      <c r="L251" s="182">
        <v>0</v>
      </c>
    </row>
    <row r="252" spans="2:12" x14ac:dyDescent="0.25">
      <c r="B252" s="177" t="s">
        <v>846</v>
      </c>
      <c r="C252" s="178" t="s">
        <v>839</v>
      </c>
      <c r="D252" s="179" t="s">
        <v>436</v>
      </c>
      <c r="E252" s="183">
        <v>1332</v>
      </c>
      <c r="F252" s="181">
        <v>0</v>
      </c>
      <c r="G252" s="182">
        <v>0</v>
      </c>
      <c r="H252" s="169"/>
      <c r="I252" s="177" t="str">
        <f t="shared" si="3"/>
        <v>Primary SchoolAlbanyElectric Heat Only</v>
      </c>
      <c r="J252" s="183">
        <v>1332</v>
      </c>
      <c r="K252" s="181">
        <v>0</v>
      </c>
      <c r="L252" s="182">
        <v>0</v>
      </c>
    </row>
    <row r="253" spans="2:12" x14ac:dyDescent="0.25">
      <c r="B253" s="177" t="s">
        <v>846</v>
      </c>
      <c r="C253" s="178" t="s">
        <v>839</v>
      </c>
      <c r="D253" s="179" t="s">
        <v>437</v>
      </c>
      <c r="E253" s="180">
        <v>0</v>
      </c>
      <c r="F253" s="181">
        <v>0</v>
      </c>
      <c r="G253" s="182">
        <v>57.6</v>
      </c>
      <c r="H253" s="169"/>
      <c r="I253" s="177" t="str">
        <f t="shared" si="3"/>
        <v>Primary SchoolAlbanyFuel Heat Only</v>
      </c>
      <c r="J253" s="180">
        <v>0</v>
      </c>
      <c r="K253" s="181">
        <v>0</v>
      </c>
      <c r="L253" s="182">
        <v>57.6</v>
      </c>
    </row>
    <row r="254" spans="2:12" x14ac:dyDescent="0.25">
      <c r="B254" s="177" t="s">
        <v>846</v>
      </c>
      <c r="C254" s="178" t="s">
        <v>840</v>
      </c>
      <c r="D254" s="179" t="s">
        <v>428</v>
      </c>
      <c r="E254" s="183">
        <v>1971</v>
      </c>
      <c r="F254" s="181">
        <v>0</v>
      </c>
      <c r="G254" s="182">
        <v>0</v>
      </c>
      <c r="H254" s="169"/>
      <c r="I254" s="177" t="str">
        <f t="shared" si="3"/>
        <v>Primary SchoolBinghamtonAC With Electric Heat</v>
      </c>
      <c r="J254" s="183">
        <v>1971</v>
      </c>
      <c r="K254" s="181">
        <v>0</v>
      </c>
      <c r="L254" s="182">
        <v>0</v>
      </c>
    </row>
    <row r="255" spans="2:12" x14ac:dyDescent="0.25">
      <c r="B255" s="177" t="s">
        <v>846</v>
      </c>
      <c r="C255" s="178" t="s">
        <v>840</v>
      </c>
      <c r="D255" s="179" t="s">
        <v>434</v>
      </c>
      <c r="E255" s="180">
        <v>470</v>
      </c>
      <c r="F255" s="181">
        <v>0</v>
      </c>
      <c r="G255" s="182">
        <v>66.3</v>
      </c>
      <c r="H255" s="169"/>
      <c r="I255" s="177" t="str">
        <f t="shared" si="3"/>
        <v>Primary SchoolBinghamtonAC With Fuel Heat</v>
      </c>
      <c r="J255" s="180">
        <v>470</v>
      </c>
      <c r="K255" s="181">
        <v>0</v>
      </c>
      <c r="L255" s="182">
        <v>66.3</v>
      </c>
    </row>
    <row r="256" spans="2:12" x14ac:dyDescent="0.25">
      <c r="B256" s="177" t="s">
        <v>846</v>
      </c>
      <c r="C256" s="178" t="s">
        <v>840</v>
      </c>
      <c r="D256" s="179" t="s">
        <v>435</v>
      </c>
      <c r="E256" s="183">
        <v>1440</v>
      </c>
      <c r="F256" s="181">
        <v>0</v>
      </c>
      <c r="G256" s="182">
        <v>0</v>
      </c>
      <c r="H256" s="169"/>
      <c r="I256" s="177" t="str">
        <f t="shared" si="3"/>
        <v>Primary SchoolBinghamtonAir Source Heat Pump</v>
      </c>
      <c r="J256" s="183">
        <v>1440</v>
      </c>
      <c r="K256" s="181">
        <v>0</v>
      </c>
      <c r="L256" s="182">
        <v>0</v>
      </c>
    </row>
    <row r="257" spans="2:12" x14ac:dyDescent="0.25">
      <c r="B257" s="177" t="s">
        <v>846</v>
      </c>
      <c r="C257" s="178" t="s">
        <v>840</v>
      </c>
      <c r="D257" s="179" t="s">
        <v>436</v>
      </c>
      <c r="E257" s="183">
        <v>1529</v>
      </c>
      <c r="F257" s="181">
        <v>0</v>
      </c>
      <c r="G257" s="182">
        <v>0</v>
      </c>
      <c r="H257" s="169"/>
      <c r="I257" s="177" t="str">
        <f t="shared" si="3"/>
        <v>Primary SchoolBinghamtonElectric Heat Only</v>
      </c>
      <c r="J257" s="183">
        <v>1529</v>
      </c>
      <c r="K257" s="181">
        <v>0</v>
      </c>
      <c r="L257" s="182">
        <v>0</v>
      </c>
    </row>
    <row r="258" spans="2:12" x14ac:dyDescent="0.25">
      <c r="B258" s="177" t="s">
        <v>846</v>
      </c>
      <c r="C258" s="178" t="s">
        <v>840</v>
      </c>
      <c r="D258" s="179" t="s">
        <v>437</v>
      </c>
      <c r="E258" s="180">
        <v>0</v>
      </c>
      <c r="F258" s="181">
        <v>0</v>
      </c>
      <c r="G258" s="182">
        <v>66.3</v>
      </c>
      <c r="H258" s="169"/>
      <c r="I258" s="177" t="str">
        <f t="shared" si="3"/>
        <v>Primary SchoolBinghamtonFuel Heat Only</v>
      </c>
      <c r="J258" s="180">
        <v>0</v>
      </c>
      <c r="K258" s="181">
        <v>0</v>
      </c>
      <c r="L258" s="182">
        <v>66.3</v>
      </c>
    </row>
    <row r="259" spans="2:12" x14ac:dyDescent="0.25">
      <c r="B259" s="177" t="s">
        <v>846</v>
      </c>
      <c r="C259" s="178" t="s">
        <v>841</v>
      </c>
      <c r="D259" s="179" t="s">
        <v>428</v>
      </c>
      <c r="E259" s="183">
        <v>2195</v>
      </c>
      <c r="F259" s="181">
        <v>0</v>
      </c>
      <c r="G259" s="182">
        <v>0</v>
      </c>
      <c r="H259" s="169"/>
      <c r="I259" s="177" t="str">
        <f t="shared" si="3"/>
        <v>Primary SchoolBuffaloAC With Electric Heat</v>
      </c>
      <c r="J259" s="183">
        <v>2195</v>
      </c>
      <c r="K259" s="181">
        <v>0</v>
      </c>
      <c r="L259" s="182">
        <v>0</v>
      </c>
    </row>
    <row r="260" spans="2:12" x14ac:dyDescent="0.25">
      <c r="B260" s="177" t="s">
        <v>846</v>
      </c>
      <c r="C260" s="178" t="s">
        <v>841</v>
      </c>
      <c r="D260" s="179" t="s">
        <v>434</v>
      </c>
      <c r="E260" s="180">
        <v>531</v>
      </c>
      <c r="F260" s="181">
        <v>0</v>
      </c>
      <c r="G260" s="182">
        <v>74</v>
      </c>
      <c r="H260" s="169"/>
      <c r="I260" s="177" t="str">
        <f t="shared" si="3"/>
        <v>Primary SchoolBuffaloAC With Fuel Heat</v>
      </c>
      <c r="J260" s="180">
        <v>531</v>
      </c>
      <c r="K260" s="181">
        <v>0</v>
      </c>
      <c r="L260" s="182">
        <v>74</v>
      </c>
    </row>
    <row r="261" spans="2:12" x14ac:dyDescent="0.25">
      <c r="B261" s="177" t="s">
        <v>846</v>
      </c>
      <c r="C261" s="178" t="s">
        <v>841</v>
      </c>
      <c r="D261" s="179" t="s">
        <v>435</v>
      </c>
      <c r="E261" s="183">
        <v>1556</v>
      </c>
      <c r="F261" s="181">
        <v>0</v>
      </c>
      <c r="G261" s="182">
        <v>0</v>
      </c>
      <c r="H261" s="169"/>
      <c r="I261" s="177" t="str">
        <f t="shared" ref="I261:I324" si="4">B261&amp;C261&amp;D261</f>
        <v>Primary SchoolBuffaloAir Source Heat Pump</v>
      </c>
      <c r="J261" s="183">
        <v>1556</v>
      </c>
      <c r="K261" s="181">
        <v>0</v>
      </c>
      <c r="L261" s="182">
        <v>0</v>
      </c>
    </row>
    <row r="262" spans="2:12" x14ac:dyDescent="0.25">
      <c r="B262" s="177" t="s">
        <v>846</v>
      </c>
      <c r="C262" s="178" t="s">
        <v>841</v>
      </c>
      <c r="D262" s="179" t="s">
        <v>436</v>
      </c>
      <c r="E262" s="183">
        <v>1737</v>
      </c>
      <c r="F262" s="181">
        <v>0</v>
      </c>
      <c r="G262" s="182">
        <v>0</v>
      </c>
      <c r="H262" s="169"/>
      <c r="I262" s="177" t="str">
        <f t="shared" si="4"/>
        <v>Primary SchoolBuffaloElectric Heat Only</v>
      </c>
      <c r="J262" s="183">
        <v>1737</v>
      </c>
      <c r="K262" s="181">
        <v>0</v>
      </c>
      <c r="L262" s="182">
        <v>0</v>
      </c>
    </row>
    <row r="263" spans="2:12" x14ac:dyDescent="0.25">
      <c r="B263" s="177" t="s">
        <v>846</v>
      </c>
      <c r="C263" s="178" t="s">
        <v>841</v>
      </c>
      <c r="D263" s="179" t="s">
        <v>437</v>
      </c>
      <c r="E263" s="180">
        <v>0</v>
      </c>
      <c r="F263" s="181">
        <v>0</v>
      </c>
      <c r="G263" s="182">
        <v>74</v>
      </c>
      <c r="H263" s="169"/>
      <c r="I263" s="177" t="str">
        <f t="shared" si="4"/>
        <v>Primary SchoolBuffaloFuel Heat Only</v>
      </c>
      <c r="J263" s="180">
        <v>0</v>
      </c>
      <c r="K263" s="181">
        <v>0</v>
      </c>
      <c r="L263" s="182">
        <v>74</v>
      </c>
    </row>
    <row r="264" spans="2:12" x14ac:dyDescent="0.25">
      <c r="B264" s="177" t="s">
        <v>846</v>
      </c>
      <c r="C264" s="178" t="s">
        <v>842</v>
      </c>
      <c r="D264" s="179" t="s">
        <v>428</v>
      </c>
      <c r="E264" s="183">
        <v>2072</v>
      </c>
      <c r="F264" s="181">
        <v>0</v>
      </c>
      <c r="G264" s="182">
        <v>0</v>
      </c>
      <c r="H264" s="169"/>
      <c r="I264" s="177" t="str">
        <f t="shared" si="4"/>
        <v>Primary SchoolMassenaAC With Electric Heat</v>
      </c>
      <c r="J264" s="183">
        <v>2072</v>
      </c>
      <c r="K264" s="181">
        <v>0</v>
      </c>
      <c r="L264" s="182">
        <v>0</v>
      </c>
    </row>
    <row r="265" spans="2:12" x14ac:dyDescent="0.25">
      <c r="B265" s="177" t="s">
        <v>846</v>
      </c>
      <c r="C265" s="178" t="s">
        <v>842</v>
      </c>
      <c r="D265" s="179" t="s">
        <v>434</v>
      </c>
      <c r="E265" s="180">
        <v>518</v>
      </c>
      <c r="F265" s="181">
        <v>0</v>
      </c>
      <c r="G265" s="182">
        <v>67.7</v>
      </c>
      <c r="H265" s="169"/>
      <c r="I265" s="177" t="str">
        <f t="shared" si="4"/>
        <v>Primary SchoolMassenaAC With Fuel Heat</v>
      </c>
      <c r="J265" s="180">
        <v>518</v>
      </c>
      <c r="K265" s="181">
        <v>0</v>
      </c>
      <c r="L265" s="182">
        <v>67.7</v>
      </c>
    </row>
    <row r="266" spans="2:12" x14ac:dyDescent="0.25">
      <c r="B266" s="177" t="s">
        <v>846</v>
      </c>
      <c r="C266" s="178" t="s">
        <v>842</v>
      </c>
      <c r="D266" s="179" t="s">
        <v>435</v>
      </c>
      <c r="E266" s="183">
        <v>1636</v>
      </c>
      <c r="F266" s="181">
        <v>0</v>
      </c>
      <c r="G266" s="182">
        <v>0</v>
      </c>
      <c r="H266" s="169"/>
      <c r="I266" s="177" t="str">
        <f t="shared" si="4"/>
        <v>Primary SchoolMassenaAir Source Heat Pump</v>
      </c>
      <c r="J266" s="183">
        <v>1636</v>
      </c>
      <c r="K266" s="181">
        <v>0</v>
      </c>
      <c r="L266" s="182">
        <v>0</v>
      </c>
    </row>
    <row r="267" spans="2:12" x14ac:dyDescent="0.25">
      <c r="B267" s="177" t="s">
        <v>846</v>
      </c>
      <c r="C267" s="178" t="s">
        <v>842</v>
      </c>
      <c r="D267" s="179" t="s">
        <v>436</v>
      </c>
      <c r="E267" s="183">
        <v>1578</v>
      </c>
      <c r="F267" s="181">
        <v>0</v>
      </c>
      <c r="G267" s="182">
        <v>0</v>
      </c>
      <c r="H267" s="169"/>
      <c r="I267" s="177" t="str">
        <f t="shared" si="4"/>
        <v>Primary SchoolMassenaElectric Heat Only</v>
      </c>
      <c r="J267" s="183">
        <v>1578</v>
      </c>
      <c r="K267" s="181">
        <v>0</v>
      </c>
      <c r="L267" s="182">
        <v>0</v>
      </c>
    </row>
    <row r="268" spans="2:12" x14ac:dyDescent="0.25">
      <c r="B268" s="177" t="s">
        <v>846</v>
      </c>
      <c r="C268" s="178" t="s">
        <v>842</v>
      </c>
      <c r="D268" s="179" t="s">
        <v>437</v>
      </c>
      <c r="E268" s="180">
        <v>0</v>
      </c>
      <c r="F268" s="181">
        <v>0</v>
      </c>
      <c r="G268" s="182">
        <v>67.7</v>
      </c>
      <c r="H268" s="169"/>
      <c r="I268" s="177" t="str">
        <f t="shared" si="4"/>
        <v>Primary SchoolMassenaFuel Heat Only</v>
      </c>
      <c r="J268" s="180">
        <v>0</v>
      </c>
      <c r="K268" s="181">
        <v>0</v>
      </c>
      <c r="L268" s="182">
        <v>67.7</v>
      </c>
    </row>
    <row r="269" spans="2:12" x14ac:dyDescent="0.25">
      <c r="B269" s="177" t="s">
        <v>846</v>
      </c>
      <c r="C269" s="178" t="s">
        <v>843</v>
      </c>
      <c r="D269" s="179" t="s">
        <v>428</v>
      </c>
      <c r="E269" s="183">
        <v>1671</v>
      </c>
      <c r="F269" s="181">
        <v>0</v>
      </c>
      <c r="G269" s="182">
        <v>0</v>
      </c>
      <c r="H269" s="169"/>
      <c r="I269" s="177" t="str">
        <f t="shared" si="4"/>
        <v>Primary SchoolNYCAC With Electric Heat</v>
      </c>
      <c r="J269" s="183">
        <v>1671</v>
      </c>
      <c r="K269" s="181">
        <v>0</v>
      </c>
      <c r="L269" s="182">
        <v>0</v>
      </c>
    </row>
    <row r="270" spans="2:12" x14ac:dyDescent="0.25">
      <c r="B270" s="177" t="s">
        <v>846</v>
      </c>
      <c r="C270" s="178" t="s">
        <v>843</v>
      </c>
      <c r="D270" s="179" t="s">
        <v>434</v>
      </c>
      <c r="E270" s="180">
        <v>692</v>
      </c>
      <c r="F270" s="181">
        <v>0</v>
      </c>
      <c r="G270" s="182">
        <v>44.4</v>
      </c>
      <c r="H270" s="169"/>
      <c r="I270" s="177" t="str">
        <f t="shared" si="4"/>
        <v>Primary SchoolNYCAC With Fuel Heat</v>
      </c>
      <c r="J270" s="180">
        <v>692</v>
      </c>
      <c r="K270" s="181">
        <v>0</v>
      </c>
      <c r="L270" s="182">
        <v>44.4</v>
      </c>
    </row>
    <row r="271" spans="2:12" x14ac:dyDescent="0.25">
      <c r="B271" s="177" t="s">
        <v>846</v>
      </c>
      <c r="C271" s="178" t="s">
        <v>843</v>
      </c>
      <c r="D271" s="179" t="s">
        <v>435</v>
      </c>
      <c r="E271" s="180">
        <v>1174</v>
      </c>
      <c r="F271" s="181">
        <v>0</v>
      </c>
      <c r="G271" s="182">
        <v>0</v>
      </c>
      <c r="H271" s="169"/>
      <c r="I271" s="177" t="str">
        <f t="shared" si="4"/>
        <v>Primary SchoolNYCAir Source Heat Pump</v>
      </c>
      <c r="J271" s="180">
        <v>1174</v>
      </c>
      <c r="K271" s="181">
        <v>0</v>
      </c>
      <c r="L271" s="182">
        <v>0</v>
      </c>
    </row>
    <row r="272" spans="2:12" x14ac:dyDescent="0.25">
      <c r="B272" s="177" t="s">
        <v>846</v>
      </c>
      <c r="C272" s="178" t="s">
        <v>843</v>
      </c>
      <c r="D272" s="179" t="s">
        <v>436</v>
      </c>
      <c r="E272" s="180">
        <v>1050</v>
      </c>
      <c r="F272" s="181">
        <v>0</v>
      </c>
      <c r="G272" s="182">
        <v>0</v>
      </c>
      <c r="H272" s="169"/>
      <c r="I272" s="177" t="str">
        <f t="shared" si="4"/>
        <v>Primary SchoolNYCElectric Heat Only</v>
      </c>
      <c r="J272" s="180">
        <v>1050</v>
      </c>
      <c r="K272" s="181">
        <v>0</v>
      </c>
      <c r="L272" s="182">
        <v>0</v>
      </c>
    </row>
    <row r="273" spans="2:12" x14ac:dyDescent="0.25">
      <c r="B273" s="177" t="s">
        <v>846</v>
      </c>
      <c r="C273" s="178" t="s">
        <v>843</v>
      </c>
      <c r="D273" s="179" t="s">
        <v>437</v>
      </c>
      <c r="E273" s="180">
        <v>0</v>
      </c>
      <c r="F273" s="181">
        <v>0</v>
      </c>
      <c r="G273" s="182">
        <v>44.4</v>
      </c>
      <c r="H273" s="169"/>
      <c r="I273" s="177" t="str">
        <f t="shared" si="4"/>
        <v>Primary SchoolNYCFuel Heat Only</v>
      </c>
      <c r="J273" s="180">
        <v>0</v>
      </c>
      <c r="K273" s="181">
        <v>0</v>
      </c>
      <c r="L273" s="182">
        <v>44.4</v>
      </c>
    </row>
    <row r="274" spans="2:12" x14ac:dyDescent="0.25">
      <c r="B274" s="177" t="s">
        <v>846</v>
      </c>
      <c r="C274" s="178" t="s">
        <v>844</v>
      </c>
      <c r="D274" s="179" t="s">
        <v>428</v>
      </c>
      <c r="E274" s="183">
        <v>1380</v>
      </c>
      <c r="F274" s="181">
        <v>0</v>
      </c>
      <c r="G274" s="182">
        <v>0</v>
      </c>
      <c r="H274" s="169"/>
      <c r="I274" s="177" t="str">
        <f t="shared" si="4"/>
        <v>Primary SchoolPoughkeepsieAC With Electric Heat</v>
      </c>
      <c r="J274" s="183">
        <v>1380</v>
      </c>
      <c r="K274" s="181">
        <v>0</v>
      </c>
      <c r="L274" s="182">
        <v>0</v>
      </c>
    </row>
    <row r="275" spans="2:12" x14ac:dyDescent="0.25">
      <c r="B275" s="177" t="s">
        <v>846</v>
      </c>
      <c r="C275" s="178" t="s">
        <v>844</v>
      </c>
      <c r="D275" s="179" t="s">
        <v>434</v>
      </c>
      <c r="E275" s="180">
        <v>570</v>
      </c>
      <c r="F275" s="181">
        <v>0</v>
      </c>
      <c r="G275" s="182">
        <v>35.9</v>
      </c>
      <c r="H275" s="169"/>
      <c r="I275" s="177" t="str">
        <f t="shared" si="4"/>
        <v>Primary SchoolPoughkeepsieAC With Fuel Heat</v>
      </c>
      <c r="J275" s="180">
        <v>570</v>
      </c>
      <c r="K275" s="181">
        <v>0</v>
      </c>
      <c r="L275" s="182">
        <v>35.9</v>
      </c>
    </row>
    <row r="276" spans="2:12" x14ac:dyDescent="0.25">
      <c r="B276" s="177" t="s">
        <v>846</v>
      </c>
      <c r="C276" s="178" t="s">
        <v>844</v>
      </c>
      <c r="D276" s="179" t="s">
        <v>435</v>
      </c>
      <c r="E276" s="183">
        <v>1125</v>
      </c>
      <c r="F276" s="181">
        <v>0</v>
      </c>
      <c r="G276" s="182">
        <v>0</v>
      </c>
      <c r="H276" s="169"/>
      <c r="I276" s="177" t="str">
        <f t="shared" si="4"/>
        <v>Primary SchoolPoughkeepsieAir Source Heat Pump</v>
      </c>
      <c r="J276" s="183">
        <v>1125</v>
      </c>
      <c r="K276" s="181">
        <v>0</v>
      </c>
      <c r="L276" s="182">
        <v>0</v>
      </c>
    </row>
    <row r="277" spans="2:12" x14ac:dyDescent="0.25">
      <c r="B277" s="177" t="s">
        <v>846</v>
      </c>
      <c r="C277" s="178" t="s">
        <v>844</v>
      </c>
      <c r="D277" s="179" t="s">
        <v>436</v>
      </c>
      <c r="E277" s="183">
        <v>780</v>
      </c>
      <c r="F277" s="181">
        <v>0</v>
      </c>
      <c r="G277" s="182">
        <v>0</v>
      </c>
      <c r="H277" s="169"/>
      <c r="I277" s="177" t="str">
        <f t="shared" si="4"/>
        <v>Primary SchoolPoughkeepsieElectric Heat Only</v>
      </c>
      <c r="J277" s="183">
        <v>780</v>
      </c>
      <c r="K277" s="181">
        <v>0</v>
      </c>
      <c r="L277" s="182">
        <v>0</v>
      </c>
    </row>
    <row r="278" spans="2:12" x14ac:dyDescent="0.25">
      <c r="B278" s="177" t="s">
        <v>846</v>
      </c>
      <c r="C278" s="178" t="s">
        <v>844</v>
      </c>
      <c r="D278" s="179" t="s">
        <v>437</v>
      </c>
      <c r="E278" s="180">
        <v>0</v>
      </c>
      <c r="F278" s="181">
        <v>0</v>
      </c>
      <c r="G278" s="182">
        <v>35.9</v>
      </c>
      <c r="H278" s="169"/>
      <c r="I278" s="177" t="str">
        <f t="shared" si="4"/>
        <v>Primary SchoolPoughkeepsieFuel Heat Only</v>
      </c>
      <c r="J278" s="180">
        <v>0</v>
      </c>
      <c r="K278" s="181">
        <v>0</v>
      </c>
      <c r="L278" s="182">
        <v>35.9</v>
      </c>
    </row>
    <row r="279" spans="2:12" x14ac:dyDescent="0.25">
      <c r="B279" s="177" t="s">
        <v>846</v>
      </c>
      <c r="C279" s="178" t="s">
        <v>845</v>
      </c>
      <c r="D279" s="179" t="s">
        <v>428</v>
      </c>
      <c r="E279" s="183">
        <v>1958</v>
      </c>
      <c r="F279" s="181">
        <v>0</v>
      </c>
      <c r="G279" s="182">
        <v>0</v>
      </c>
      <c r="H279" s="169"/>
      <c r="I279" s="177" t="str">
        <f t="shared" si="4"/>
        <v>Primary SchoolSyracuseAC With Electric Heat</v>
      </c>
      <c r="J279" s="183">
        <v>1958</v>
      </c>
      <c r="K279" s="181">
        <v>0</v>
      </c>
      <c r="L279" s="182">
        <v>0</v>
      </c>
    </row>
    <row r="280" spans="2:12" x14ac:dyDescent="0.25">
      <c r="B280" s="177" t="s">
        <v>846</v>
      </c>
      <c r="C280" s="178" t="s">
        <v>845</v>
      </c>
      <c r="D280" s="179" t="s">
        <v>434</v>
      </c>
      <c r="E280" s="180">
        <v>550</v>
      </c>
      <c r="F280" s="181">
        <v>0</v>
      </c>
      <c r="G280" s="182">
        <v>62.3</v>
      </c>
      <c r="H280" s="169"/>
      <c r="I280" s="177" t="str">
        <f t="shared" si="4"/>
        <v>Primary SchoolSyracuseAC With Fuel Heat</v>
      </c>
      <c r="J280" s="180">
        <v>550</v>
      </c>
      <c r="K280" s="181">
        <v>0</v>
      </c>
      <c r="L280" s="182">
        <v>62.3</v>
      </c>
    </row>
    <row r="281" spans="2:12" x14ac:dyDescent="0.25">
      <c r="B281" s="177" t="s">
        <v>846</v>
      </c>
      <c r="C281" s="178" t="s">
        <v>845</v>
      </c>
      <c r="D281" s="179" t="s">
        <v>435</v>
      </c>
      <c r="E281" s="183">
        <v>1468</v>
      </c>
      <c r="F281" s="181">
        <v>0</v>
      </c>
      <c r="G281" s="182">
        <v>0</v>
      </c>
      <c r="H281" s="169"/>
      <c r="I281" s="177" t="str">
        <f t="shared" si="4"/>
        <v>Primary SchoolSyracuseAir Source Heat Pump</v>
      </c>
      <c r="J281" s="183">
        <v>1468</v>
      </c>
      <c r="K281" s="181">
        <v>0</v>
      </c>
      <c r="L281" s="182">
        <v>0</v>
      </c>
    </row>
    <row r="282" spans="2:12" x14ac:dyDescent="0.25">
      <c r="B282" s="177" t="s">
        <v>846</v>
      </c>
      <c r="C282" s="178" t="s">
        <v>845</v>
      </c>
      <c r="D282" s="179" t="s">
        <v>436</v>
      </c>
      <c r="E282" s="183">
        <v>1438</v>
      </c>
      <c r="F282" s="181">
        <v>0</v>
      </c>
      <c r="G282" s="182">
        <v>0</v>
      </c>
      <c r="H282" s="169"/>
      <c r="I282" s="177" t="str">
        <f t="shared" si="4"/>
        <v>Primary SchoolSyracuseElectric Heat Only</v>
      </c>
      <c r="J282" s="183">
        <v>1438</v>
      </c>
      <c r="K282" s="181">
        <v>0</v>
      </c>
      <c r="L282" s="182">
        <v>0</v>
      </c>
    </row>
    <row r="283" spans="2:12" ht="15.75" thickBot="1" x14ac:dyDescent="0.3">
      <c r="B283" s="184" t="s">
        <v>846</v>
      </c>
      <c r="C283" s="185" t="s">
        <v>845</v>
      </c>
      <c r="D283" s="186" t="s">
        <v>437</v>
      </c>
      <c r="E283" s="187">
        <v>0</v>
      </c>
      <c r="F283" s="188">
        <v>0</v>
      </c>
      <c r="G283" s="189">
        <v>62.3</v>
      </c>
      <c r="H283" s="169"/>
      <c r="I283" s="184" t="str">
        <f t="shared" si="4"/>
        <v>Primary SchoolSyracuseFuel Heat Only</v>
      </c>
      <c r="J283" s="187">
        <v>0</v>
      </c>
      <c r="K283" s="188">
        <v>0</v>
      </c>
      <c r="L283" s="189">
        <v>62.3</v>
      </c>
    </row>
    <row r="284" spans="2:12" x14ac:dyDescent="0.25">
      <c r="B284" s="171" t="s">
        <v>847</v>
      </c>
      <c r="C284" s="172" t="s">
        <v>839</v>
      </c>
      <c r="D284" s="173" t="s">
        <v>428</v>
      </c>
      <c r="E284" s="174">
        <v>2222</v>
      </c>
      <c r="F284" s="175">
        <v>0.156</v>
      </c>
      <c r="G284" s="176">
        <v>0</v>
      </c>
      <c r="H284" s="169"/>
      <c r="I284" s="171" t="str">
        <f t="shared" si="4"/>
        <v>Religious WorshipAlbanyAC With Electric Heat</v>
      </c>
      <c r="J284" s="174">
        <v>2222</v>
      </c>
      <c r="K284" s="175">
        <v>0.156</v>
      </c>
      <c r="L284" s="176">
        <v>0</v>
      </c>
    </row>
    <row r="285" spans="2:12" x14ac:dyDescent="0.25">
      <c r="B285" s="177" t="s">
        <v>847</v>
      </c>
      <c r="C285" s="178" t="s">
        <v>839</v>
      </c>
      <c r="D285" s="179" t="s">
        <v>434</v>
      </c>
      <c r="E285" s="180">
        <v>270</v>
      </c>
      <c r="F285" s="181">
        <v>0.156</v>
      </c>
      <c r="G285" s="182">
        <v>86.5</v>
      </c>
      <c r="H285" s="169"/>
      <c r="I285" s="177" t="str">
        <f t="shared" si="4"/>
        <v>Religious WorshipAlbanyAC With Fuel Heat</v>
      </c>
      <c r="J285" s="180">
        <v>270</v>
      </c>
      <c r="K285" s="181">
        <v>0.156</v>
      </c>
      <c r="L285" s="182">
        <v>86.5</v>
      </c>
    </row>
    <row r="286" spans="2:12" x14ac:dyDescent="0.25">
      <c r="B286" s="177" t="s">
        <v>847</v>
      </c>
      <c r="C286" s="178" t="s">
        <v>839</v>
      </c>
      <c r="D286" s="179" t="s">
        <v>435</v>
      </c>
      <c r="E286" s="183">
        <v>1951</v>
      </c>
      <c r="F286" s="181">
        <v>0.156</v>
      </c>
      <c r="G286" s="182">
        <v>0</v>
      </c>
      <c r="H286" s="169"/>
      <c r="I286" s="177" t="str">
        <f t="shared" si="4"/>
        <v>Religious WorshipAlbanyAir Source Heat Pump</v>
      </c>
      <c r="J286" s="183">
        <v>1951</v>
      </c>
      <c r="K286" s="181">
        <v>0.156</v>
      </c>
      <c r="L286" s="182">
        <v>0</v>
      </c>
    </row>
    <row r="287" spans="2:12" x14ac:dyDescent="0.25">
      <c r="B287" s="177" t="s">
        <v>847</v>
      </c>
      <c r="C287" s="178" t="s">
        <v>839</v>
      </c>
      <c r="D287" s="179" t="s">
        <v>436</v>
      </c>
      <c r="E287" s="183">
        <v>1992</v>
      </c>
      <c r="F287" s="181">
        <v>0</v>
      </c>
      <c r="G287" s="182">
        <v>0</v>
      </c>
      <c r="H287" s="169"/>
      <c r="I287" s="177" t="str">
        <f t="shared" si="4"/>
        <v>Religious WorshipAlbanyElectric Heat Only</v>
      </c>
      <c r="J287" s="183">
        <v>1992</v>
      </c>
      <c r="K287" s="181">
        <v>0</v>
      </c>
      <c r="L287" s="182">
        <v>0</v>
      </c>
    </row>
    <row r="288" spans="2:12" x14ac:dyDescent="0.25">
      <c r="B288" s="177" t="s">
        <v>847</v>
      </c>
      <c r="C288" s="178" t="s">
        <v>839</v>
      </c>
      <c r="D288" s="179" t="s">
        <v>437</v>
      </c>
      <c r="E288" s="180">
        <v>0</v>
      </c>
      <c r="F288" s="181">
        <v>0</v>
      </c>
      <c r="G288" s="182">
        <v>86.5</v>
      </c>
      <c r="H288" s="169"/>
      <c r="I288" s="177" t="str">
        <f t="shared" si="4"/>
        <v>Religious WorshipAlbanyFuel Heat Only</v>
      </c>
      <c r="J288" s="180">
        <v>0</v>
      </c>
      <c r="K288" s="181">
        <v>0</v>
      </c>
      <c r="L288" s="182">
        <v>86.5</v>
      </c>
    </row>
    <row r="289" spans="2:12" x14ac:dyDescent="0.25">
      <c r="B289" s="177" t="s">
        <v>847</v>
      </c>
      <c r="C289" s="178" t="s">
        <v>840</v>
      </c>
      <c r="D289" s="179" t="s">
        <v>428</v>
      </c>
      <c r="E289" s="183">
        <v>2345</v>
      </c>
      <c r="F289" s="181">
        <v>0.156</v>
      </c>
      <c r="G289" s="182">
        <v>0</v>
      </c>
      <c r="H289" s="169"/>
      <c r="I289" s="177" t="str">
        <f t="shared" si="4"/>
        <v>Religious WorshipBinghamtonAC With Electric Heat</v>
      </c>
      <c r="J289" s="183">
        <v>2345</v>
      </c>
      <c r="K289" s="181">
        <v>0.156</v>
      </c>
      <c r="L289" s="182">
        <v>0</v>
      </c>
    </row>
    <row r="290" spans="2:12" x14ac:dyDescent="0.25">
      <c r="B290" s="177" t="s">
        <v>847</v>
      </c>
      <c r="C290" s="178" t="s">
        <v>840</v>
      </c>
      <c r="D290" s="179" t="s">
        <v>434</v>
      </c>
      <c r="E290" s="180">
        <v>220</v>
      </c>
      <c r="F290" s="181">
        <v>0.156</v>
      </c>
      <c r="G290" s="182">
        <v>96.6</v>
      </c>
      <c r="H290" s="169"/>
      <c r="I290" s="177" t="str">
        <f t="shared" si="4"/>
        <v>Religious WorshipBinghamtonAC With Fuel Heat</v>
      </c>
      <c r="J290" s="180">
        <v>220</v>
      </c>
      <c r="K290" s="181">
        <v>0.156</v>
      </c>
      <c r="L290" s="182">
        <v>96.6</v>
      </c>
    </row>
    <row r="291" spans="2:12" x14ac:dyDescent="0.25">
      <c r="B291" s="177" t="s">
        <v>847</v>
      </c>
      <c r="C291" s="178" t="s">
        <v>840</v>
      </c>
      <c r="D291" s="179" t="s">
        <v>435</v>
      </c>
      <c r="E291" s="183">
        <v>2278</v>
      </c>
      <c r="F291" s="181">
        <v>0.156</v>
      </c>
      <c r="G291" s="182">
        <v>0</v>
      </c>
      <c r="H291" s="169"/>
      <c r="I291" s="177" t="str">
        <f t="shared" si="4"/>
        <v>Religious WorshipBinghamtonAir Source Heat Pump</v>
      </c>
      <c r="J291" s="183">
        <v>2278</v>
      </c>
      <c r="K291" s="181">
        <v>0.156</v>
      </c>
      <c r="L291" s="182">
        <v>0</v>
      </c>
    </row>
    <row r="292" spans="2:12" x14ac:dyDescent="0.25">
      <c r="B292" s="177" t="s">
        <v>847</v>
      </c>
      <c r="C292" s="178" t="s">
        <v>840</v>
      </c>
      <c r="D292" s="179" t="s">
        <v>436</v>
      </c>
      <c r="E292" s="183">
        <v>2163</v>
      </c>
      <c r="F292" s="181">
        <v>0</v>
      </c>
      <c r="G292" s="182">
        <v>0</v>
      </c>
      <c r="H292" s="169"/>
      <c r="I292" s="177" t="str">
        <f t="shared" si="4"/>
        <v>Religious WorshipBinghamtonElectric Heat Only</v>
      </c>
      <c r="J292" s="183">
        <v>2163</v>
      </c>
      <c r="K292" s="181">
        <v>0</v>
      </c>
      <c r="L292" s="182">
        <v>0</v>
      </c>
    </row>
    <row r="293" spans="2:12" x14ac:dyDescent="0.25">
      <c r="B293" s="177" t="s">
        <v>847</v>
      </c>
      <c r="C293" s="178" t="s">
        <v>840</v>
      </c>
      <c r="D293" s="179" t="s">
        <v>437</v>
      </c>
      <c r="E293" s="180">
        <v>0</v>
      </c>
      <c r="F293" s="181">
        <v>0</v>
      </c>
      <c r="G293" s="182">
        <v>96.6</v>
      </c>
      <c r="H293" s="169"/>
      <c r="I293" s="177" t="str">
        <f t="shared" si="4"/>
        <v>Religious WorshipBinghamtonFuel Heat Only</v>
      </c>
      <c r="J293" s="180">
        <v>0</v>
      </c>
      <c r="K293" s="181">
        <v>0</v>
      </c>
      <c r="L293" s="182">
        <v>96.6</v>
      </c>
    </row>
    <row r="294" spans="2:12" x14ac:dyDescent="0.25">
      <c r="B294" s="177" t="s">
        <v>847</v>
      </c>
      <c r="C294" s="178" t="s">
        <v>841</v>
      </c>
      <c r="D294" s="179" t="s">
        <v>428</v>
      </c>
      <c r="E294" s="183">
        <v>2169</v>
      </c>
      <c r="F294" s="181">
        <v>0.156</v>
      </c>
      <c r="G294" s="182">
        <v>0</v>
      </c>
      <c r="H294" s="169"/>
      <c r="I294" s="177" t="str">
        <f t="shared" si="4"/>
        <v>Religious WorshipBuffaloAC With Electric Heat</v>
      </c>
      <c r="J294" s="183">
        <v>2169</v>
      </c>
      <c r="K294" s="181">
        <v>0.156</v>
      </c>
      <c r="L294" s="182">
        <v>0</v>
      </c>
    </row>
    <row r="295" spans="2:12" x14ac:dyDescent="0.25">
      <c r="B295" s="177" t="s">
        <v>847</v>
      </c>
      <c r="C295" s="178" t="s">
        <v>841</v>
      </c>
      <c r="D295" s="179" t="s">
        <v>434</v>
      </c>
      <c r="E295" s="180">
        <v>235</v>
      </c>
      <c r="F295" s="181">
        <v>0.156</v>
      </c>
      <c r="G295" s="182">
        <v>88.2</v>
      </c>
      <c r="H295" s="169"/>
      <c r="I295" s="177" t="str">
        <f t="shared" si="4"/>
        <v>Religious WorshipBuffaloAC With Fuel Heat</v>
      </c>
      <c r="J295" s="180">
        <v>235</v>
      </c>
      <c r="K295" s="181">
        <v>0.156</v>
      </c>
      <c r="L295" s="182">
        <v>88.2</v>
      </c>
    </row>
    <row r="296" spans="2:12" x14ac:dyDescent="0.25">
      <c r="B296" s="177" t="s">
        <v>847</v>
      </c>
      <c r="C296" s="178" t="s">
        <v>841</v>
      </c>
      <c r="D296" s="179" t="s">
        <v>435</v>
      </c>
      <c r="E296" s="183">
        <v>1703</v>
      </c>
      <c r="F296" s="181">
        <v>0.156</v>
      </c>
      <c r="G296" s="182">
        <v>0</v>
      </c>
      <c r="H296" s="169"/>
      <c r="I296" s="177" t="str">
        <f t="shared" si="4"/>
        <v>Religious WorshipBuffaloAir Source Heat Pump</v>
      </c>
      <c r="J296" s="183">
        <v>1703</v>
      </c>
      <c r="K296" s="181">
        <v>0.156</v>
      </c>
      <c r="L296" s="182">
        <v>0</v>
      </c>
    </row>
    <row r="297" spans="2:12" x14ac:dyDescent="0.25">
      <c r="B297" s="177" t="s">
        <v>847</v>
      </c>
      <c r="C297" s="178" t="s">
        <v>841</v>
      </c>
      <c r="D297" s="179" t="s">
        <v>436</v>
      </c>
      <c r="E297" s="183">
        <v>1985</v>
      </c>
      <c r="F297" s="181">
        <v>0</v>
      </c>
      <c r="G297" s="182">
        <v>0</v>
      </c>
      <c r="H297" s="169"/>
      <c r="I297" s="177" t="str">
        <f t="shared" si="4"/>
        <v>Religious WorshipBuffaloElectric Heat Only</v>
      </c>
      <c r="J297" s="183">
        <v>1985</v>
      </c>
      <c r="K297" s="181">
        <v>0</v>
      </c>
      <c r="L297" s="182">
        <v>0</v>
      </c>
    </row>
    <row r="298" spans="2:12" x14ac:dyDescent="0.25">
      <c r="B298" s="177" t="s">
        <v>847</v>
      </c>
      <c r="C298" s="178" t="s">
        <v>841</v>
      </c>
      <c r="D298" s="179" t="s">
        <v>437</v>
      </c>
      <c r="E298" s="180">
        <v>0</v>
      </c>
      <c r="F298" s="181">
        <v>0</v>
      </c>
      <c r="G298" s="182">
        <v>88.2</v>
      </c>
      <c r="H298" s="169"/>
      <c r="I298" s="177" t="str">
        <f t="shared" si="4"/>
        <v>Religious WorshipBuffaloFuel Heat Only</v>
      </c>
      <c r="J298" s="180">
        <v>0</v>
      </c>
      <c r="K298" s="181">
        <v>0</v>
      </c>
      <c r="L298" s="182">
        <v>88.2</v>
      </c>
    </row>
    <row r="299" spans="2:12" x14ac:dyDescent="0.25">
      <c r="B299" s="177" t="s">
        <v>847</v>
      </c>
      <c r="C299" s="178" t="s">
        <v>842</v>
      </c>
      <c r="D299" s="179" t="s">
        <v>428</v>
      </c>
      <c r="E299" s="183">
        <v>4296</v>
      </c>
      <c r="F299" s="181">
        <v>0.156</v>
      </c>
      <c r="G299" s="182">
        <v>0</v>
      </c>
      <c r="H299" s="169"/>
      <c r="I299" s="177" t="str">
        <f t="shared" si="4"/>
        <v>Religious WorshipMassenaAC With Electric Heat</v>
      </c>
      <c r="J299" s="183">
        <v>4296</v>
      </c>
      <c r="K299" s="181">
        <v>0.156</v>
      </c>
      <c r="L299" s="182">
        <v>0</v>
      </c>
    </row>
    <row r="300" spans="2:12" x14ac:dyDescent="0.25">
      <c r="B300" s="177" t="s">
        <v>847</v>
      </c>
      <c r="C300" s="178" t="s">
        <v>842</v>
      </c>
      <c r="D300" s="179" t="s">
        <v>434</v>
      </c>
      <c r="E300" s="180">
        <v>304</v>
      </c>
      <c r="F300" s="181">
        <v>0.156</v>
      </c>
      <c r="G300" s="182">
        <v>182.9</v>
      </c>
      <c r="H300" s="169"/>
      <c r="I300" s="177" t="str">
        <f t="shared" si="4"/>
        <v>Religious WorshipMassenaAC With Fuel Heat</v>
      </c>
      <c r="J300" s="180">
        <v>304</v>
      </c>
      <c r="K300" s="181">
        <v>0.156</v>
      </c>
      <c r="L300" s="182">
        <v>182.9</v>
      </c>
    </row>
    <row r="301" spans="2:12" x14ac:dyDescent="0.25">
      <c r="B301" s="177" t="s">
        <v>847</v>
      </c>
      <c r="C301" s="178" t="s">
        <v>842</v>
      </c>
      <c r="D301" s="179" t="s">
        <v>435</v>
      </c>
      <c r="E301" s="183">
        <v>3878</v>
      </c>
      <c r="F301" s="181">
        <v>0.156</v>
      </c>
      <c r="G301" s="182">
        <v>0</v>
      </c>
      <c r="H301" s="169"/>
      <c r="I301" s="177" t="str">
        <f t="shared" si="4"/>
        <v>Religious WorshipMassenaAir Source Heat Pump</v>
      </c>
      <c r="J301" s="183">
        <v>3878</v>
      </c>
      <c r="K301" s="181">
        <v>0.156</v>
      </c>
      <c r="L301" s="182">
        <v>0</v>
      </c>
    </row>
    <row r="302" spans="2:12" x14ac:dyDescent="0.25">
      <c r="B302" s="177" t="s">
        <v>847</v>
      </c>
      <c r="C302" s="178" t="s">
        <v>842</v>
      </c>
      <c r="D302" s="179" t="s">
        <v>436</v>
      </c>
      <c r="E302" s="183">
        <v>4083</v>
      </c>
      <c r="F302" s="181">
        <v>0</v>
      </c>
      <c r="G302" s="182">
        <v>0</v>
      </c>
      <c r="H302" s="169"/>
      <c r="I302" s="177" t="str">
        <f t="shared" si="4"/>
        <v>Religious WorshipMassenaElectric Heat Only</v>
      </c>
      <c r="J302" s="183">
        <v>4083</v>
      </c>
      <c r="K302" s="181">
        <v>0</v>
      </c>
      <c r="L302" s="182">
        <v>0</v>
      </c>
    </row>
    <row r="303" spans="2:12" x14ac:dyDescent="0.25">
      <c r="B303" s="177" t="s">
        <v>847</v>
      </c>
      <c r="C303" s="178" t="s">
        <v>842</v>
      </c>
      <c r="D303" s="179" t="s">
        <v>437</v>
      </c>
      <c r="E303" s="180">
        <v>0</v>
      </c>
      <c r="F303" s="181">
        <v>0</v>
      </c>
      <c r="G303" s="182">
        <v>182.9</v>
      </c>
      <c r="H303" s="169"/>
      <c r="I303" s="177" t="str">
        <f t="shared" si="4"/>
        <v>Religious WorshipMassenaFuel Heat Only</v>
      </c>
      <c r="J303" s="180">
        <v>0</v>
      </c>
      <c r="K303" s="181">
        <v>0</v>
      </c>
      <c r="L303" s="182">
        <v>182.9</v>
      </c>
    </row>
    <row r="304" spans="2:12" x14ac:dyDescent="0.25">
      <c r="B304" s="177" t="s">
        <v>847</v>
      </c>
      <c r="C304" s="178" t="s">
        <v>843</v>
      </c>
      <c r="D304" s="179" t="s">
        <v>428</v>
      </c>
      <c r="E304" s="183">
        <v>1048</v>
      </c>
      <c r="F304" s="181">
        <v>0.156</v>
      </c>
      <c r="G304" s="182">
        <v>0</v>
      </c>
      <c r="H304" s="169"/>
      <c r="I304" s="177" t="str">
        <f t="shared" si="4"/>
        <v>Religious WorshipNYCAC With Electric Heat</v>
      </c>
      <c r="J304" s="183">
        <v>1048</v>
      </c>
      <c r="K304" s="181">
        <v>0.156</v>
      </c>
      <c r="L304" s="182">
        <v>0</v>
      </c>
    </row>
    <row r="305" spans="2:12" x14ac:dyDescent="0.25">
      <c r="B305" s="177" t="s">
        <v>847</v>
      </c>
      <c r="C305" s="178" t="s">
        <v>843</v>
      </c>
      <c r="D305" s="179" t="s">
        <v>434</v>
      </c>
      <c r="E305" s="180">
        <v>389</v>
      </c>
      <c r="F305" s="181">
        <v>0.156</v>
      </c>
      <c r="G305" s="182">
        <v>30.1</v>
      </c>
      <c r="H305" s="169"/>
      <c r="I305" s="177" t="str">
        <f t="shared" si="4"/>
        <v>Religious WorshipNYCAC With Fuel Heat</v>
      </c>
      <c r="J305" s="180">
        <v>389</v>
      </c>
      <c r="K305" s="181">
        <v>0.156</v>
      </c>
      <c r="L305" s="182">
        <v>30.1</v>
      </c>
    </row>
    <row r="306" spans="2:12" x14ac:dyDescent="0.25">
      <c r="B306" s="177" t="s">
        <v>847</v>
      </c>
      <c r="C306" s="178" t="s">
        <v>843</v>
      </c>
      <c r="D306" s="179" t="s">
        <v>435</v>
      </c>
      <c r="E306" s="180">
        <v>825</v>
      </c>
      <c r="F306" s="181">
        <v>0.156</v>
      </c>
      <c r="G306" s="182">
        <v>0</v>
      </c>
      <c r="H306" s="169"/>
      <c r="I306" s="177" t="str">
        <f t="shared" si="4"/>
        <v>Religious WorshipNYCAir Source Heat Pump</v>
      </c>
      <c r="J306" s="180">
        <v>825</v>
      </c>
      <c r="K306" s="181">
        <v>0.156</v>
      </c>
      <c r="L306" s="182">
        <v>0</v>
      </c>
    </row>
    <row r="307" spans="2:12" x14ac:dyDescent="0.25">
      <c r="B307" s="177" t="s">
        <v>847</v>
      </c>
      <c r="C307" s="178" t="s">
        <v>843</v>
      </c>
      <c r="D307" s="179" t="s">
        <v>436</v>
      </c>
      <c r="E307" s="180">
        <v>714</v>
      </c>
      <c r="F307" s="181">
        <v>0</v>
      </c>
      <c r="G307" s="182">
        <v>0</v>
      </c>
      <c r="H307" s="169"/>
      <c r="I307" s="177" t="str">
        <f t="shared" si="4"/>
        <v>Religious WorshipNYCElectric Heat Only</v>
      </c>
      <c r="J307" s="180">
        <v>714</v>
      </c>
      <c r="K307" s="181">
        <v>0</v>
      </c>
      <c r="L307" s="182">
        <v>0</v>
      </c>
    </row>
    <row r="308" spans="2:12" x14ac:dyDescent="0.25">
      <c r="B308" s="177" t="s">
        <v>847</v>
      </c>
      <c r="C308" s="178" t="s">
        <v>843</v>
      </c>
      <c r="D308" s="179" t="s">
        <v>437</v>
      </c>
      <c r="E308" s="180">
        <v>0</v>
      </c>
      <c r="F308" s="181">
        <v>0</v>
      </c>
      <c r="G308" s="182">
        <v>30.1</v>
      </c>
      <c r="H308" s="169"/>
      <c r="I308" s="177" t="str">
        <f t="shared" si="4"/>
        <v>Religious WorshipNYCFuel Heat Only</v>
      </c>
      <c r="J308" s="180">
        <v>0</v>
      </c>
      <c r="K308" s="181">
        <v>0</v>
      </c>
      <c r="L308" s="182">
        <v>30.1</v>
      </c>
    </row>
    <row r="309" spans="2:12" x14ac:dyDescent="0.25">
      <c r="B309" s="177" t="s">
        <v>847</v>
      </c>
      <c r="C309" s="178" t="s">
        <v>844</v>
      </c>
      <c r="D309" s="179" t="s">
        <v>428</v>
      </c>
      <c r="E309" s="183">
        <v>2053</v>
      </c>
      <c r="F309" s="181">
        <v>0.156</v>
      </c>
      <c r="G309" s="182">
        <v>0</v>
      </c>
      <c r="H309" s="169"/>
      <c r="I309" s="177" t="str">
        <f t="shared" si="4"/>
        <v>Religious WorshipPoughkeepsieAC With Electric Heat</v>
      </c>
      <c r="J309" s="183">
        <v>2053</v>
      </c>
      <c r="K309" s="181">
        <v>0.156</v>
      </c>
      <c r="L309" s="182">
        <v>0</v>
      </c>
    </row>
    <row r="310" spans="2:12" x14ac:dyDescent="0.25">
      <c r="B310" s="177" t="s">
        <v>847</v>
      </c>
      <c r="C310" s="178" t="s">
        <v>844</v>
      </c>
      <c r="D310" s="179" t="s">
        <v>434</v>
      </c>
      <c r="E310" s="180">
        <v>262</v>
      </c>
      <c r="F310" s="181">
        <v>0.156</v>
      </c>
      <c r="G310" s="182">
        <v>83.4</v>
      </c>
      <c r="H310" s="169"/>
      <c r="I310" s="177" t="str">
        <f t="shared" si="4"/>
        <v>Religious WorshipPoughkeepsieAC With Fuel Heat</v>
      </c>
      <c r="J310" s="180">
        <v>262</v>
      </c>
      <c r="K310" s="181">
        <v>0.156</v>
      </c>
      <c r="L310" s="182">
        <v>83.4</v>
      </c>
    </row>
    <row r="311" spans="2:12" x14ac:dyDescent="0.25">
      <c r="B311" s="177" t="s">
        <v>847</v>
      </c>
      <c r="C311" s="178" t="s">
        <v>844</v>
      </c>
      <c r="D311" s="179" t="s">
        <v>435</v>
      </c>
      <c r="E311" s="183">
        <v>1861</v>
      </c>
      <c r="F311" s="181">
        <v>0.156</v>
      </c>
      <c r="G311" s="182">
        <v>0</v>
      </c>
      <c r="H311" s="169"/>
      <c r="I311" s="177" t="str">
        <f t="shared" si="4"/>
        <v>Religious WorshipPoughkeepsieAir Source Heat Pump</v>
      </c>
      <c r="J311" s="183">
        <v>1861</v>
      </c>
      <c r="K311" s="181">
        <v>0.156</v>
      </c>
      <c r="L311" s="182">
        <v>0</v>
      </c>
    </row>
    <row r="312" spans="2:12" x14ac:dyDescent="0.25">
      <c r="B312" s="177" t="s">
        <v>847</v>
      </c>
      <c r="C312" s="178" t="s">
        <v>844</v>
      </c>
      <c r="D312" s="179" t="s">
        <v>436</v>
      </c>
      <c r="E312" s="183">
        <v>1843</v>
      </c>
      <c r="F312" s="181">
        <v>0</v>
      </c>
      <c r="G312" s="182">
        <v>0</v>
      </c>
      <c r="H312" s="169"/>
      <c r="I312" s="177" t="str">
        <f t="shared" si="4"/>
        <v>Religious WorshipPoughkeepsieElectric Heat Only</v>
      </c>
      <c r="J312" s="183">
        <v>1843</v>
      </c>
      <c r="K312" s="181">
        <v>0</v>
      </c>
      <c r="L312" s="182">
        <v>0</v>
      </c>
    </row>
    <row r="313" spans="2:12" x14ac:dyDescent="0.25">
      <c r="B313" s="177" t="s">
        <v>847</v>
      </c>
      <c r="C313" s="178" t="s">
        <v>844</v>
      </c>
      <c r="D313" s="179" t="s">
        <v>437</v>
      </c>
      <c r="E313" s="180">
        <v>0</v>
      </c>
      <c r="F313" s="181">
        <v>0</v>
      </c>
      <c r="G313" s="182">
        <v>83.4</v>
      </c>
      <c r="H313" s="169"/>
      <c r="I313" s="177" t="str">
        <f t="shared" si="4"/>
        <v>Religious WorshipPoughkeepsieFuel Heat Only</v>
      </c>
      <c r="J313" s="180">
        <v>0</v>
      </c>
      <c r="K313" s="181">
        <v>0</v>
      </c>
      <c r="L313" s="182">
        <v>83.4</v>
      </c>
    </row>
    <row r="314" spans="2:12" x14ac:dyDescent="0.25">
      <c r="B314" s="177" t="s">
        <v>847</v>
      </c>
      <c r="C314" s="178" t="s">
        <v>845</v>
      </c>
      <c r="D314" s="179" t="s">
        <v>428</v>
      </c>
      <c r="E314" s="183">
        <v>1775</v>
      </c>
      <c r="F314" s="181">
        <v>0.156</v>
      </c>
      <c r="G314" s="182">
        <v>0</v>
      </c>
      <c r="H314" s="169"/>
      <c r="I314" s="177" t="str">
        <f t="shared" si="4"/>
        <v>Religious WorshipSyracuseAC With Electric Heat</v>
      </c>
      <c r="J314" s="183">
        <v>1775</v>
      </c>
      <c r="K314" s="181">
        <v>0.156</v>
      </c>
      <c r="L314" s="182">
        <v>0</v>
      </c>
    </row>
    <row r="315" spans="2:12" x14ac:dyDescent="0.25">
      <c r="B315" s="177" t="s">
        <v>847</v>
      </c>
      <c r="C315" s="178" t="s">
        <v>845</v>
      </c>
      <c r="D315" s="179" t="s">
        <v>434</v>
      </c>
      <c r="E315" s="180">
        <v>267</v>
      </c>
      <c r="F315" s="181">
        <v>0.156</v>
      </c>
      <c r="G315" s="182">
        <v>68.7</v>
      </c>
      <c r="H315" s="169"/>
      <c r="I315" s="177" t="str">
        <f t="shared" si="4"/>
        <v>Religious WorshipSyracuseAC With Fuel Heat</v>
      </c>
      <c r="J315" s="180">
        <v>267</v>
      </c>
      <c r="K315" s="181">
        <v>0.156</v>
      </c>
      <c r="L315" s="182">
        <v>68.7</v>
      </c>
    </row>
    <row r="316" spans="2:12" x14ac:dyDescent="0.25">
      <c r="B316" s="177" t="s">
        <v>847</v>
      </c>
      <c r="C316" s="178" t="s">
        <v>845</v>
      </c>
      <c r="D316" s="179" t="s">
        <v>435</v>
      </c>
      <c r="E316" s="183">
        <v>1852</v>
      </c>
      <c r="F316" s="181">
        <v>0.156</v>
      </c>
      <c r="G316" s="182">
        <v>0</v>
      </c>
      <c r="H316" s="169"/>
      <c r="I316" s="177" t="str">
        <f t="shared" si="4"/>
        <v>Religious WorshipSyracuseAir Source Heat Pump</v>
      </c>
      <c r="J316" s="183">
        <v>1852</v>
      </c>
      <c r="K316" s="181">
        <v>0.156</v>
      </c>
      <c r="L316" s="182">
        <v>0</v>
      </c>
    </row>
    <row r="317" spans="2:12" x14ac:dyDescent="0.25">
      <c r="B317" s="177" t="s">
        <v>847</v>
      </c>
      <c r="C317" s="178" t="s">
        <v>845</v>
      </c>
      <c r="D317" s="179" t="s">
        <v>436</v>
      </c>
      <c r="E317" s="183">
        <v>1541</v>
      </c>
      <c r="F317" s="181">
        <v>0</v>
      </c>
      <c r="G317" s="182">
        <v>0</v>
      </c>
      <c r="H317" s="169"/>
      <c r="I317" s="177" t="str">
        <f t="shared" si="4"/>
        <v>Religious WorshipSyracuseElectric Heat Only</v>
      </c>
      <c r="J317" s="183">
        <v>1541</v>
      </c>
      <c r="K317" s="181">
        <v>0</v>
      </c>
      <c r="L317" s="182">
        <v>0</v>
      </c>
    </row>
    <row r="318" spans="2:12" ht="15.75" thickBot="1" x14ac:dyDescent="0.3">
      <c r="B318" s="184" t="s">
        <v>847</v>
      </c>
      <c r="C318" s="185" t="s">
        <v>845</v>
      </c>
      <c r="D318" s="186" t="s">
        <v>437</v>
      </c>
      <c r="E318" s="187">
        <v>0</v>
      </c>
      <c r="F318" s="188">
        <v>0</v>
      </c>
      <c r="G318" s="189">
        <v>68.7</v>
      </c>
      <c r="H318" s="169"/>
      <c r="I318" s="184" t="str">
        <f t="shared" si="4"/>
        <v>Religious WorshipSyracuseFuel Heat Only</v>
      </c>
      <c r="J318" s="187">
        <v>0</v>
      </c>
      <c r="K318" s="188">
        <v>0</v>
      </c>
      <c r="L318" s="189">
        <v>68.7</v>
      </c>
    </row>
    <row r="319" spans="2:12" x14ac:dyDescent="0.25">
      <c r="B319" s="171" t="s">
        <v>833</v>
      </c>
      <c r="C319" s="172" t="s">
        <v>839</v>
      </c>
      <c r="D319" s="173" t="s">
        <v>428</v>
      </c>
      <c r="E319" s="174">
        <v>1169</v>
      </c>
      <c r="F319" s="175">
        <v>0.156</v>
      </c>
      <c r="G319" s="176">
        <v>0</v>
      </c>
      <c r="H319" s="169"/>
      <c r="I319" s="171" t="str">
        <f t="shared" si="4"/>
        <v>Small OfficeAlbanyAC With Electric Heat</v>
      </c>
      <c r="J319" s="174">
        <v>1169</v>
      </c>
      <c r="K319" s="175">
        <v>0.156</v>
      </c>
      <c r="L319" s="176">
        <v>0</v>
      </c>
    </row>
    <row r="320" spans="2:12" x14ac:dyDescent="0.25">
      <c r="B320" s="177" t="s">
        <v>833</v>
      </c>
      <c r="C320" s="178" t="s">
        <v>839</v>
      </c>
      <c r="D320" s="179" t="s">
        <v>434</v>
      </c>
      <c r="E320" s="180">
        <v>303</v>
      </c>
      <c r="F320" s="181">
        <v>0.156</v>
      </c>
      <c r="G320" s="182">
        <v>43.1</v>
      </c>
      <c r="H320" s="169"/>
      <c r="I320" s="177" t="str">
        <f t="shared" si="4"/>
        <v>Small OfficeAlbanyAC With Fuel Heat</v>
      </c>
      <c r="J320" s="180">
        <v>303</v>
      </c>
      <c r="K320" s="181">
        <v>0.156</v>
      </c>
      <c r="L320" s="182">
        <v>43.1</v>
      </c>
    </row>
    <row r="321" spans="2:12" x14ac:dyDescent="0.25">
      <c r="B321" s="177" t="s">
        <v>833</v>
      </c>
      <c r="C321" s="178" t="s">
        <v>839</v>
      </c>
      <c r="D321" s="179" t="s">
        <v>435</v>
      </c>
      <c r="E321" s="183">
        <v>829</v>
      </c>
      <c r="F321" s="181">
        <v>0.156</v>
      </c>
      <c r="G321" s="182">
        <v>0</v>
      </c>
      <c r="H321" s="169"/>
      <c r="I321" s="177" t="str">
        <f t="shared" si="4"/>
        <v>Small OfficeAlbanyAir Source Heat Pump</v>
      </c>
      <c r="J321" s="183">
        <v>829</v>
      </c>
      <c r="K321" s="181">
        <v>0.156</v>
      </c>
      <c r="L321" s="182">
        <v>0</v>
      </c>
    </row>
    <row r="322" spans="2:12" x14ac:dyDescent="0.25">
      <c r="B322" s="177" t="s">
        <v>833</v>
      </c>
      <c r="C322" s="178" t="s">
        <v>839</v>
      </c>
      <c r="D322" s="179" t="s">
        <v>436</v>
      </c>
      <c r="E322" s="183">
        <v>855</v>
      </c>
      <c r="F322" s="181">
        <v>0</v>
      </c>
      <c r="G322" s="182">
        <v>0</v>
      </c>
      <c r="H322" s="169"/>
      <c r="I322" s="177" t="str">
        <f t="shared" si="4"/>
        <v>Small OfficeAlbanyElectric Heat Only</v>
      </c>
      <c r="J322" s="183">
        <v>855</v>
      </c>
      <c r="K322" s="181">
        <v>0</v>
      </c>
      <c r="L322" s="182">
        <v>0</v>
      </c>
    </row>
    <row r="323" spans="2:12" x14ac:dyDescent="0.25">
      <c r="B323" s="177" t="s">
        <v>833</v>
      </c>
      <c r="C323" s="178" t="s">
        <v>839</v>
      </c>
      <c r="D323" s="179" t="s">
        <v>437</v>
      </c>
      <c r="E323" s="180">
        <v>0</v>
      </c>
      <c r="F323" s="181">
        <v>0</v>
      </c>
      <c r="G323" s="182">
        <v>43.1</v>
      </c>
      <c r="H323" s="169"/>
      <c r="I323" s="177" t="str">
        <f t="shared" si="4"/>
        <v>Small OfficeAlbanyFuel Heat Only</v>
      </c>
      <c r="J323" s="180">
        <v>0</v>
      </c>
      <c r="K323" s="181">
        <v>0</v>
      </c>
      <c r="L323" s="182">
        <v>43.1</v>
      </c>
    </row>
    <row r="324" spans="2:12" x14ac:dyDescent="0.25">
      <c r="B324" s="177" t="s">
        <v>833</v>
      </c>
      <c r="C324" s="178" t="s">
        <v>840</v>
      </c>
      <c r="D324" s="179" t="s">
        <v>428</v>
      </c>
      <c r="E324" s="183">
        <v>1225</v>
      </c>
      <c r="F324" s="181">
        <v>0.156</v>
      </c>
      <c r="G324" s="182">
        <v>0</v>
      </c>
      <c r="H324" s="169"/>
      <c r="I324" s="177" t="str">
        <f t="shared" si="4"/>
        <v>Small OfficeBinghamtonAC With Electric Heat</v>
      </c>
      <c r="J324" s="183">
        <v>1225</v>
      </c>
      <c r="K324" s="181">
        <v>0.156</v>
      </c>
      <c r="L324" s="182">
        <v>0</v>
      </c>
    </row>
    <row r="325" spans="2:12" x14ac:dyDescent="0.25">
      <c r="B325" s="177" t="s">
        <v>833</v>
      </c>
      <c r="C325" s="178" t="s">
        <v>840</v>
      </c>
      <c r="D325" s="179" t="s">
        <v>434</v>
      </c>
      <c r="E325" s="180">
        <v>260</v>
      </c>
      <c r="F325" s="181">
        <v>0.156</v>
      </c>
      <c r="G325" s="182">
        <v>48.2</v>
      </c>
      <c r="H325" s="169"/>
      <c r="I325" s="177" t="str">
        <f t="shared" ref="I325:I388" si="5">B325&amp;C325&amp;D325</f>
        <v>Small OfficeBinghamtonAC With Fuel Heat</v>
      </c>
      <c r="J325" s="180">
        <v>260</v>
      </c>
      <c r="K325" s="181">
        <v>0.156</v>
      </c>
      <c r="L325" s="182">
        <v>48.2</v>
      </c>
    </row>
    <row r="326" spans="2:12" x14ac:dyDescent="0.25">
      <c r="B326" s="177" t="s">
        <v>833</v>
      </c>
      <c r="C326" s="178" t="s">
        <v>840</v>
      </c>
      <c r="D326" s="179" t="s">
        <v>435</v>
      </c>
      <c r="E326" s="183">
        <v>842</v>
      </c>
      <c r="F326" s="181">
        <v>0.156</v>
      </c>
      <c r="G326" s="182">
        <v>0</v>
      </c>
      <c r="H326" s="169"/>
      <c r="I326" s="177" t="str">
        <f t="shared" si="5"/>
        <v>Small OfficeBinghamtonAir Source Heat Pump</v>
      </c>
      <c r="J326" s="183">
        <v>842</v>
      </c>
      <c r="K326" s="181">
        <v>0.156</v>
      </c>
      <c r="L326" s="182">
        <v>0</v>
      </c>
    </row>
    <row r="327" spans="2:12" x14ac:dyDescent="0.25">
      <c r="B327" s="177" t="s">
        <v>833</v>
      </c>
      <c r="C327" s="178" t="s">
        <v>840</v>
      </c>
      <c r="D327" s="179" t="s">
        <v>436</v>
      </c>
      <c r="E327" s="183">
        <v>948</v>
      </c>
      <c r="F327" s="181">
        <v>0</v>
      </c>
      <c r="G327" s="182">
        <v>0</v>
      </c>
      <c r="H327" s="169"/>
      <c r="I327" s="177" t="str">
        <f t="shared" si="5"/>
        <v>Small OfficeBinghamtonElectric Heat Only</v>
      </c>
      <c r="J327" s="183">
        <v>948</v>
      </c>
      <c r="K327" s="181">
        <v>0</v>
      </c>
      <c r="L327" s="182">
        <v>0</v>
      </c>
    </row>
    <row r="328" spans="2:12" x14ac:dyDescent="0.25">
      <c r="B328" s="177" t="s">
        <v>833</v>
      </c>
      <c r="C328" s="178" t="s">
        <v>840</v>
      </c>
      <c r="D328" s="179" t="s">
        <v>437</v>
      </c>
      <c r="E328" s="180">
        <v>0</v>
      </c>
      <c r="F328" s="181">
        <v>0</v>
      </c>
      <c r="G328" s="182">
        <v>48.2</v>
      </c>
      <c r="H328" s="169"/>
      <c r="I328" s="177" t="str">
        <f t="shared" si="5"/>
        <v>Small OfficeBinghamtonFuel Heat Only</v>
      </c>
      <c r="J328" s="180">
        <v>0</v>
      </c>
      <c r="K328" s="181">
        <v>0</v>
      </c>
      <c r="L328" s="182">
        <v>48.2</v>
      </c>
    </row>
    <row r="329" spans="2:12" x14ac:dyDescent="0.25">
      <c r="B329" s="177" t="s">
        <v>833</v>
      </c>
      <c r="C329" s="178" t="s">
        <v>841</v>
      </c>
      <c r="D329" s="179" t="s">
        <v>428</v>
      </c>
      <c r="E329" s="183">
        <v>1300</v>
      </c>
      <c r="F329" s="181">
        <v>0.156</v>
      </c>
      <c r="G329" s="182">
        <v>0</v>
      </c>
      <c r="H329" s="169"/>
      <c r="I329" s="177" t="str">
        <f t="shared" si="5"/>
        <v>Small OfficeBuffaloAC With Electric Heat</v>
      </c>
      <c r="J329" s="183">
        <v>1300</v>
      </c>
      <c r="K329" s="181">
        <v>0.156</v>
      </c>
      <c r="L329" s="182">
        <v>0</v>
      </c>
    </row>
    <row r="330" spans="2:12" x14ac:dyDescent="0.25">
      <c r="B330" s="177" t="s">
        <v>833</v>
      </c>
      <c r="C330" s="178" t="s">
        <v>841</v>
      </c>
      <c r="D330" s="179" t="s">
        <v>434</v>
      </c>
      <c r="E330" s="180">
        <v>281</v>
      </c>
      <c r="F330" s="181">
        <v>0.156</v>
      </c>
      <c r="G330" s="182">
        <v>51</v>
      </c>
      <c r="H330" s="169"/>
      <c r="I330" s="177" t="str">
        <f t="shared" si="5"/>
        <v>Small OfficeBuffaloAC With Fuel Heat</v>
      </c>
      <c r="J330" s="180">
        <v>281</v>
      </c>
      <c r="K330" s="181">
        <v>0.156</v>
      </c>
      <c r="L330" s="182">
        <v>51</v>
      </c>
    </row>
    <row r="331" spans="2:12" x14ac:dyDescent="0.25">
      <c r="B331" s="177" t="s">
        <v>833</v>
      </c>
      <c r="C331" s="178" t="s">
        <v>841</v>
      </c>
      <c r="D331" s="179" t="s">
        <v>435</v>
      </c>
      <c r="E331" s="183">
        <v>877</v>
      </c>
      <c r="F331" s="181">
        <v>0.156</v>
      </c>
      <c r="G331" s="182">
        <v>0</v>
      </c>
      <c r="H331" s="169"/>
      <c r="I331" s="177" t="str">
        <f t="shared" si="5"/>
        <v>Small OfficeBuffaloAir Source Heat Pump</v>
      </c>
      <c r="J331" s="183">
        <v>877</v>
      </c>
      <c r="K331" s="181">
        <v>0.156</v>
      </c>
      <c r="L331" s="182">
        <v>0</v>
      </c>
    </row>
    <row r="332" spans="2:12" x14ac:dyDescent="0.25">
      <c r="B332" s="177" t="s">
        <v>833</v>
      </c>
      <c r="C332" s="178" t="s">
        <v>841</v>
      </c>
      <c r="D332" s="179" t="s">
        <v>436</v>
      </c>
      <c r="E332" s="183">
        <v>1024</v>
      </c>
      <c r="F332" s="181">
        <v>0</v>
      </c>
      <c r="G332" s="182">
        <v>0</v>
      </c>
      <c r="H332" s="169"/>
      <c r="I332" s="177" t="str">
        <f t="shared" si="5"/>
        <v>Small OfficeBuffaloElectric Heat Only</v>
      </c>
      <c r="J332" s="183">
        <v>1024</v>
      </c>
      <c r="K332" s="181">
        <v>0</v>
      </c>
      <c r="L332" s="182">
        <v>0</v>
      </c>
    </row>
    <row r="333" spans="2:12" x14ac:dyDescent="0.25">
      <c r="B333" s="177" t="s">
        <v>833</v>
      </c>
      <c r="C333" s="178" t="s">
        <v>841</v>
      </c>
      <c r="D333" s="179" t="s">
        <v>437</v>
      </c>
      <c r="E333" s="180">
        <v>0</v>
      </c>
      <c r="F333" s="181">
        <v>0</v>
      </c>
      <c r="G333" s="182">
        <v>51</v>
      </c>
      <c r="H333" s="169"/>
      <c r="I333" s="177" t="str">
        <f t="shared" si="5"/>
        <v>Small OfficeBuffaloFuel Heat Only</v>
      </c>
      <c r="J333" s="180">
        <v>0</v>
      </c>
      <c r="K333" s="181">
        <v>0</v>
      </c>
      <c r="L333" s="182">
        <v>51</v>
      </c>
    </row>
    <row r="334" spans="2:12" x14ac:dyDescent="0.25">
      <c r="B334" s="177" t="s">
        <v>833</v>
      </c>
      <c r="C334" s="178" t="s">
        <v>842</v>
      </c>
      <c r="D334" s="179" t="s">
        <v>428</v>
      </c>
      <c r="E334" s="183">
        <v>1349</v>
      </c>
      <c r="F334" s="181">
        <v>0.156</v>
      </c>
      <c r="G334" s="182">
        <v>0</v>
      </c>
      <c r="H334" s="169"/>
      <c r="I334" s="177" t="str">
        <f t="shared" si="5"/>
        <v>Small OfficeMassenaAC With Electric Heat</v>
      </c>
      <c r="J334" s="183">
        <v>1349</v>
      </c>
      <c r="K334" s="181">
        <v>0.156</v>
      </c>
      <c r="L334" s="182">
        <v>0</v>
      </c>
    </row>
    <row r="335" spans="2:12" x14ac:dyDescent="0.25">
      <c r="B335" s="177" t="s">
        <v>833</v>
      </c>
      <c r="C335" s="178" t="s">
        <v>842</v>
      </c>
      <c r="D335" s="179" t="s">
        <v>434</v>
      </c>
      <c r="E335" s="180">
        <v>290</v>
      </c>
      <c r="F335" s="181">
        <v>0.156</v>
      </c>
      <c r="G335" s="182">
        <v>51.8</v>
      </c>
      <c r="H335" s="169"/>
      <c r="I335" s="177" t="str">
        <f t="shared" si="5"/>
        <v>Small OfficeMassenaAC With Fuel Heat</v>
      </c>
      <c r="J335" s="180">
        <v>290</v>
      </c>
      <c r="K335" s="181">
        <v>0.156</v>
      </c>
      <c r="L335" s="182">
        <v>51.8</v>
      </c>
    </row>
    <row r="336" spans="2:12" x14ac:dyDescent="0.25">
      <c r="B336" s="177" t="s">
        <v>833</v>
      </c>
      <c r="C336" s="178" t="s">
        <v>842</v>
      </c>
      <c r="D336" s="179" t="s">
        <v>435</v>
      </c>
      <c r="E336" s="183">
        <v>1021</v>
      </c>
      <c r="F336" s="181">
        <v>0.156</v>
      </c>
      <c r="G336" s="182">
        <v>0</v>
      </c>
      <c r="H336" s="169"/>
      <c r="I336" s="177" t="str">
        <f t="shared" si="5"/>
        <v>Small OfficeMassenaAir Source Heat Pump</v>
      </c>
      <c r="J336" s="183">
        <v>1021</v>
      </c>
      <c r="K336" s="181">
        <v>0.156</v>
      </c>
      <c r="L336" s="182">
        <v>0</v>
      </c>
    </row>
    <row r="337" spans="2:12" x14ac:dyDescent="0.25">
      <c r="B337" s="177" t="s">
        <v>833</v>
      </c>
      <c r="C337" s="178" t="s">
        <v>842</v>
      </c>
      <c r="D337" s="179" t="s">
        <v>436</v>
      </c>
      <c r="E337" s="183">
        <v>1052</v>
      </c>
      <c r="F337" s="181">
        <v>0</v>
      </c>
      <c r="G337" s="182">
        <v>0</v>
      </c>
      <c r="H337" s="169"/>
      <c r="I337" s="177" t="str">
        <f t="shared" si="5"/>
        <v>Small OfficeMassenaElectric Heat Only</v>
      </c>
      <c r="J337" s="183">
        <v>1052</v>
      </c>
      <c r="K337" s="181">
        <v>0</v>
      </c>
      <c r="L337" s="182">
        <v>0</v>
      </c>
    </row>
    <row r="338" spans="2:12" x14ac:dyDescent="0.25">
      <c r="B338" s="177" t="s">
        <v>833</v>
      </c>
      <c r="C338" s="178" t="s">
        <v>842</v>
      </c>
      <c r="D338" s="179" t="s">
        <v>437</v>
      </c>
      <c r="E338" s="180">
        <v>0</v>
      </c>
      <c r="F338" s="181">
        <v>0</v>
      </c>
      <c r="G338" s="182">
        <v>51.8</v>
      </c>
      <c r="H338" s="169"/>
      <c r="I338" s="177" t="str">
        <f t="shared" si="5"/>
        <v>Small OfficeMassenaFuel Heat Only</v>
      </c>
      <c r="J338" s="180">
        <v>0</v>
      </c>
      <c r="K338" s="181">
        <v>0</v>
      </c>
      <c r="L338" s="182">
        <v>51.8</v>
      </c>
    </row>
    <row r="339" spans="2:12" x14ac:dyDescent="0.25">
      <c r="B339" s="177" t="s">
        <v>833</v>
      </c>
      <c r="C339" s="178" t="s">
        <v>843</v>
      </c>
      <c r="D339" s="179" t="s">
        <v>428</v>
      </c>
      <c r="E339" s="183">
        <v>942</v>
      </c>
      <c r="F339" s="181">
        <v>0.156</v>
      </c>
      <c r="G339" s="182">
        <v>0</v>
      </c>
      <c r="H339" s="169"/>
      <c r="I339" s="177" t="str">
        <f t="shared" si="5"/>
        <v>Small OfficeNYCAC With Electric Heat</v>
      </c>
      <c r="J339" s="183">
        <v>942</v>
      </c>
      <c r="K339" s="181">
        <v>0.156</v>
      </c>
      <c r="L339" s="182">
        <v>0</v>
      </c>
    </row>
    <row r="340" spans="2:12" x14ac:dyDescent="0.25">
      <c r="B340" s="177" t="s">
        <v>833</v>
      </c>
      <c r="C340" s="178" t="s">
        <v>843</v>
      </c>
      <c r="D340" s="179" t="s">
        <v>434</v>
      </c>
      <c r="E340" s="180">
        <v>366</v>
      </c>
      <c r="F340" s="181">
        <v>0.156</v>
      </c>
      <c r="G340" s="182">
        <v>29.7</v>
      </c>
      <c r="H340" s="169"/>
      <c r="I340" s="177" t="str">
        <f t="shared" si="5"/>
        <v>Small OfficeNYCAC With Fuel Heat</v>
      </c>
      <c r="J340" s="180">
        <v>366</v>
      </c>
      <c r="K340" s="181">
        <v>0.156</v>
      </c>
      <c r="L340" s="182">
        <v>29.7</v>
      </c>
    </row>
    <row r="341" spans="2:12" x14ac:dyDescent="0.25">
      <c r="B341" s="177" t="s">
        <v>833</v>
      </c>
      <c r="C341" s="178" t="s">
        <v>843</v>
      </c>
      <c r="D341" s="179" t="s">
        <v>435</v>
      </c>
      <c r="E341" s="180">
        <v>639</v>
      </c>
      <c r="F341" s="181">
        <v>0.156</v>
      </c>
      <c r="G341" s="182">
        <v>0</v>
      </c>
      <c r="H341" s="169"/>
      <c r="I341" s="177" t="str">
        <f t="shared" si="5"/>
        <v>Small OfficeNYCAir Source Heat Pump</v>
      </c>
      <c r="J341" s="180">
        <v>639</v>
      </c>
      <c r="K341" s="181">
        <v>0.156</v>
      </c>
      <c r="L341" s="182">
        <v>0</v>
      </c>
    </row>
    <row r="342" spans="2:12" x14ac:dyDescent="0.25">
      <c r="B342" s="177" t="s">
        <v>833</v>
      </c>
      <c r="C342" s="178" t="s">
        <v>843</v>
      </c>
      <c r="D342" s="179" t="s">
        <v>436</v>
      </c>
      <c r="E342" s="180">
        <v>581</v>
      </c>
      <c r="F342" s="181">
        <v>0</v>
      </c>
      <c r="G342" s="182">
        <v>0</v>
      </c>
      <c r="H342" s="169"/>
      <c r="I342" s="177" t="str">
        <f t="shared" si="5"/>
        <v>Small OfficeNYCElectric Heat Only</v>
      </c>
      <c r="J342" s="180">
        <v>581</v>
      </c>
      <c r="K342" s="181">
        <v>0</v>
      </c>
      <c r="L342" s="182">
        <v>0</v>
      </c>
    </row>
    <row r="343" spans="2:12" x14ac:dyDescent="0.25">
      <c r="B343" s="177" t="s">
        <v>833</v>
      </c>
      <c r="C343" s="178" t="s">
        <v>843</v>
      </c>
      <c r="D343" s="179" t="s">
        <v>437</v>
      </c>
      <c r="E343" s="180">
        <v>0</v>
      </c>
      <c r="F343" s="181">
        <v>0</v>
      </c>
      <c r="G343" s="182">
        <v>29.7</v>
      </c>
      <c r="H343" s="169"/>
      <c r="I343" s="177" t="str">
        <f t="shared" si="5"/>
        <v>Small OfficeNYCFuel Heat Only</v>
      </c>
      <c r="J343" s="180">
        <v>0</v>
      </c>
      <c r="K343" s="181">
        <v>0</v>
      </c>
      <c r="L343" s="182">
        <v>29.7</v>
      </c>
    </row>
    <row r="344" spans="2:12" x14ac:dyDescent="0.25">
      <c r="B344" s="177" t="s">
        <v>833</v>
      </c>
      <c r="C344" s="178" t="s">
        <v>844</v>
      </c>
      <c r="D344" s="179" t="s">
        <v>428</v>
      </c>
      <c r="E344" s="183">
        <v>860</v>
      </c>
      <c r="F344" s="181">
        <v>0.156</v>
      </c>
      <c r="G344" s="182">
        <v>0</v>
      </c>
      <c r="H344" s="169"/>
      <c r="I344" s="177" t="str">
        <f t="shared" si="5"/>
        <v>Small OfficePoughkeepsieAC With Electric Heat</v>
      </c>
      <c r="J344" s="183">
        <v>860</v>
      </c>
      <c r="K344" s="181">
        <v>0.156</v>
      </c>
      <c r="L344" s="182">
        <v>0</v>
      </c>
    </row>
    <row r="345" spans="2:12" x14ac:dyDescent="0.25">
      <c r="B345" s="177" t="s">
        <v>833</v>
      </c>
      <c r="C345" s="178" t="s">
        <v>844</v>
      </c>
      <c r="D345" s="179" t="s">
        <v>434</v>
      </c>
      <c r="E345" s="180">
        <v>282</v>
      </c>
      <c r="F345" s="181">
        <v>0.156</v>
      </c>
      <c r="G345" s="182">
        <v>29</v>
      </c>
      <c r="H345" s="169"/>
      <c r="I345" s="177" t="str">
        <f t="shared" si="5"/>
        <v>Small OfficePoughkeepsieAC With Fuel Heat</v>
      </c>
      <c r="J345" s="180">
        <v>282</v>
      </c>
      <c r="K345" s="181">
        <v>0.156</v>
      </c>
      <c r="L345" s="182">
        <v>29</v>
      </c>
    </row>
    <row r="346" spans="2:12" x14ac:dyDescent="0.25">
      <c r="B346" s="177" t="s">
        <v>833</v>
      </c>
      <c r="C346" s="178" t="s">
        <v>844</v>
      </c>
      <c r="D346" s="179" t="s">
        <v>435</v>
      </c>
      <c r="E346" s="183">
        <v>636</v>
      </c>
      <c r="F346" s="181">
        <v>0.156</v>
      </c>
      <c r="G346" s="182">
        <v>0</v>
      </c>
      <c r="H346" s="169"/>
      <c r="I346" s="177" t="str">
        <f t="shared" si="5"/>
        <v>Small OfficePoughkeepsieAir Source Heat Pump</v>
      </c>
      <c r="J346" s="183">
        <v>636</v>
      </c>
      <c r="K346" s="181">
        <v>0.156</v>
      </c>
      <c r="L346" s="182">
        <v>0</v>
      </c>
    </row>
    <row r="347" spans="2:12" x14ac:dyDescent="0.25">
      <c r="B347" s="177" t="s">
        <v>833</v>
      </c>
      <c r="C347" s="178" t="s">
        <v>844</v>
      </c>
      <c r="D347" s="179" t="s">
        <v>436</v>
      </c>
      <c r="E347" s="183">
        <v>517</v>
      </c>
      <c r="F347" s="181">
        <v>0</v>
      </c>
      <c r="G347" s="182">
        <v>0</v>
      </c>
      <c r="H347" s="169"/>
      <c r="I347" s="177" t="str">
        <f t="shared" si="5"/>
        <v>Small OfficePoughkeepsieElectric Heat Only</v>
      </c>
      <c r="J347" s="183">
        <v>517</v>
      </c>
      <c r="K347" s="181">
        <v>0</v>
      </c>
      <c r="L347" s="182">
        <v>0</v>
      </c>
    </row>
    <row r="348" spans="2:12" x14ac:dyDescent="0.25">
      <c r="B348" s="177" t="s">
        <v>833</v>
      </c>
      <c r="C348" s="178" t="s">
        <v>844</v>
      </c>
      <c r="D348" s="179" t="s">
        <v>437</v>
      </c>
      <c r="E348" s="180">
        <v>0</v>
      </c>
      <c r="F348" s="181">
        <v>0</v>
      </c>
      <c r="G348" s="182">
        <v>29</v>
      </c>
      <c r="H348" s="169"/>
      <c r="I348" s="177" t="str">
        <f t="shared" si="5"/>
        <v>Small OfficePoughkeepsieFuel Heat Only</v>
      </c>
      <c r="J348" s="180">
        <v>0</v>
      </c>
      <c r="K348" s="181">
        <v>0</v>
      </c>
      <c r="L348" s="182">
        <v>29</v>
      </c>
    </row>
    <row r="349" spans="2:12" x14ac:dyDescent="0.25">
      <c r="B349" s="177" t="s">
        <v>833</v>
      </c>
      <c r="C349" s="178" t="s">
        <v>845</v>
      </c>
      <c r="D349" s="179" t="s">
        <v>428</v>
      </c>
      <c r="E349" s="183">
        <v>1201</v>
      </c>
      <c r="F349" s="181">
        <v>0.156</v>
      </c>
      <c r="G349" s="182">
        <v>0</v>
      </c>
      <c r="H349" s="169"/>
      <c r="I349" s="177" t="str">
        <f t="shared" si="5"/>
        <v>Small OfficeSyracuseAC With Electric Heat</v>
      </c>
      <c r="J349" s="183">
        <v>1201</v>
      </c>
      <c r="K349" s="181">
        <v>0.156</v>
      </c>
      <c r="L349" s="182">
        <v>0</v>
      </c>
    </row>
    <row r="350" spans="2:12" x14ac:dyDescent="0.25">
      <c r="B350" s="177" t="s">
        <v>833</v>
      </c>
      <c r="C350" s="178" t="s">
        <v>845</v>
      </c>
      <c r="D350" s="179" t="s">
        <v>434</v>
      </c>
      <c r="E350" s="180">
        <v>310</v>
      </c>
      <c r="F350" s="181">
        <v>0.156</v>
      </c>
      <c r="G350" s="182">
        <v>44.7</v>
      </c>
      <c r="H350" s="169"/>
      <c r="I350" s="177" t="str">
        <f t="shared" si="5"/>
        <v>Small OfficeSyracuseAC With Fuel Heat</v>
      </c>
      <c r="J350" s="180">
        <v>310</v>
      </c>
      <c r="K350" s="181">
        <v>0.156</v>
      </c>
      <c r="L350" s="182">
        <v>44.7</v>
      </c>
    </row>
    <row r="351" spans="2:12" x14ac:dyDescent="0.25">
      <c r="B351" s="177" t="s">
        <v>833</v>
      </c>
      <c r="C351" s="178" t="s">
        <v>845</v>
      </c>
      <c r="D351" s="179" t="s">
        <v>435</v>
      </c>
      <c r="E351" s="183">
        <v>834</v>
      </c>
      <c r="F351" s="181">
        <v>0.156</v>
      </c>
      <c r="G351" s="182">
        <v>0</v>
      </c>
      <c r="H351" s="169"/>
      <c r="I351" s="177" t="str">
        <f t="shared" si="5"/>
        <v>Small OfficeSyracuseAir Source Heat Pump</v>
      </c>
      <c r="J351" s="183">
        <v>834</v>
      </c>
      <c r="K351" s="181">
        <v>0.156</v>
      </c>
      <c r="L351" s="182">
        <v>0</v>
      </c>
    </row>
    <row r="352" spans="2:12" x14ac:dyDescent="0.25">
      <c r="B352" s="177" t="s">
        <v>833</v>
      </c>
      <c r="C352" s="178" t="s">
        <v>845</v>
      </c>
      <c r="D352" s="179" t="s">
        <v>436</v>
      </c>
      <c r="E352" s="183">
        <v>893</v>
      </c>
      <c r="F352" s="181">
        <v>0</v>
      </c>
      <c r="G352" s="182">
        <v>0</v>
      </c>
      <c r="H352" s="169"/>
      <c r="I352" s="177" t="str">
        <f t="shared" si="5"/>
        <v>Small OfficeSyracuseElectric Heat Only</v>
      </c>
      <c r="J352" s="183">
        <v>893</v>
      </c>
      <c r="K352" s="181">
        <v>0</v>
      </c>
      <c r="L352" s="182">
        <v>0</v>
      </c>
    </row>
    <row r="353" spans="2:12" ht="15.75" thickBot="1" x14ac:dyDescent="0.3">
      <c r="B353" s="184" t="s">
        <v>833</v>
      </c>
      <c r="C353" s="185" t="s">
        <v>845</v>
      </c>
      <c r="D353" s="186" t="s">
        <v>437</v>
      </c>
      <c r="E353" s="187">
        <v>0</v>
      </c>
      <c r="F353" s="188">
        <v>0</v>
      </c>
      <c r="G353" s="189">
        <v>44.7</v>
      </c>
      <c r="H353" s="169"/>
      <c r="I353" s="184" t="str">
        <f t="shared" si="5"/>
        <v>Small OfficeSyracuseFuel Heat Only</v>
      </c>
      <c r="J353" s="187">
        <v>0</v>
      </c>
      <c r="K353" s="188">
        <v>0</v>
      </c>
      <c r="L353" s="189">
        <v>44.7</v>
      </c>
    </row>
    <row r="354" spans="2:12" x14ac:dyDescent="0.25">
      <c r="B354" s="171" t="s">
        <v>509</v>
      </c>
      <c r="C354" s="172" t="s">
        <v>839</v>
      </c>
      <c r="D354" s="173" t="s">
        <v>428</v>
      </c>
      <c r="E354" s="174">
        <v>1704</v>
      </c>
      <c r="F354" s="175">
        <v>0.156</v>
      </c>
      <c r="G354" s="176">
        <v>0</v>
      </c>
      <c r="H354" s="169"/>
      <c r="I354" s="171" t="str">
        <f t="shared" si="5"/>
        <v>Small RetailAlbanyAC With Electric Heat</v>
      </c>
      <c r="J354" s="174">
        <v>1704</v>
      </c>
      <c r="K354" s="175">
        <v>0.156</v>
      </c>
      <c r="L354" s="176">
        <v>0</v>
      </c>
    </row>
    <row r="355" spans="2:12" x14ac:dyDescent="0.25">
      <c r="B355" s="177" t="s">
        <v>509</v>
      </c>
      <c r="C355" s="178" t="s">
        <v>839</v>
      </c>
      <c r="D355" s="179" t="s">
        <v>434</v>
      </c>
      <c r="E355" s="180">
        <v>357</v>
      </c>
      <c r="F355" s="181">
        <v>0.156</v>
      </c>
      <c r="G355" s="182">
        <v>65.400000000000006</v>
      </c>
      <c r="H355" s="169"/>
      <c r="I355" s="177" t="str">
        <f t="shared" si="5"/>
        <v>Small RetailAlbanyAC With Fuel Heat</v>
      </c>
      <c r="J355" s="180">
        <v>357</v>
      </c>
      <c r="K355" s="181">
        <v>0.156</v>
      </c>
      <c r="L355" s="182">
        <v>65.400000000000006</v>
      </c>
    </row>
    <row r="356" spans="2:12" x14ac:dyDescent="0.25">
      <c r="B356" s="177" t="s">
        <v>509</v>
      </c>
      <c r="C356" s="178" t="s">
        <v>839</v>
      </c>
      <c r="D356" s="179" t="s">
        <v>435</v>
      </c>
      <c r="E356" s="183">
        <v>1259</v>
      </c>
      <c r="F356" s="181">
        <v>0.156</v>
      </c>
      <c r="G356" s="182">
        <v>0</v>
      </c>
      <c r="H356" s="169"/>
      <c r="I356" s="177" t="str">
        <f t="shared" si="5"/>
        <v>Small RetailAlbanyAir Source Heat Pump</v>
      </c>
      <c r="J356" s="183">
        <v>1259</v>
      </c>
      <c r="K356" s="181">
        <v>0.156</v>
      </c>
      <c r="L356" s="182">
        <v>0</v>
      </c>
    </row>
    <row r="357" spans="2:12" x14ac:dyDescent="0.25">
      <c r="B357" s="177" t="s">
        <v>509</v>
      </c>
      <c r="C357" s="178" t="s">
        <v>839</v>
      </c>
      <c r="D357" s="179" t="s">
        <v>436</v>
      </c>
      <c r="E357" s="183">
        <v>1421</v>
      </c>
      <c r="F357" s="181">
        <v>0</v>
      </c>
      <c r="G357" s="182">
        <v>0</v>
      </c>
      <c r="H357" s="169"/>
      <c r="I357" s="177" t="str">
        <f t="shared" si="5"/>
        <v>Small RetailAlbanyElectric Heat Only</v>
      </c>
      <c r="J357" s="183">
        <v>1421</v>
      </c>
      <c r="K357" s="181">
        <v>0</v>
      </c>
      <c r="L357" s="182">
        <v>0</v>
      </c>
    </row>
    <row r="358" spans="2:12" x14ac:dyDescent="0.25">
      <c r="B358" s="177" t="s">
        <v>509</v>
      </c>
      <c r="C358" s="178" t="s">
        <v>839</v>
      </c>
      <c r="D358" s="179" t="s">
        <v>437</v>
      </c>
      <c r="E358" s="180">
        <v>0</v>
      </c>
      <c r="F358" s="181">
        <v>0</v>
      </c>
      <c r="G358" s="182">
        <v>65.400000000000006</v>
      </c>
      <c r="H358" s="169"/>
      <c r="I358" s="177" t="str">
        <f t="shared" si="5"/>
        <v>Small RetailAlbanyFuel Heat Only</v>
      </c>
      <c r="J358" s="180">
        <v>0</v>
      </c>
      <c r="K358" s="181">
        <v>0</v>
      </c>
      <c r="L358" s="182">
        <v>65.400000000000006</v>
      </c>
    </row>
    <row r="359" spans="2:12" x14ac:dyDescent="0.25">
      <c r="B359" s="177" t="s">
        <v>509</v>
      </c>
      <c r="C359" s="178" t="s">
        <v>840</v>
      </c>
      <c r="D359" s="179" t="s">
        <v>428</v>
      </c>
      <c r="E359" s="183">
        <v>1797</v>
      </c>
      <c r="F359" s="181">
        <v>0.156</v>
      </c>
      <c r="G359" s="182">
        <v>0</v>
      </c>
      <c r="H359" s="169"/>
      <c r="I359" s="177" t="str">
        <f t="shared" si="5"/>
        <v>Small RetailBinghamtonAC With Electric Heat</v>
      </c>
      <c r="J359" s="183">
        <v>1797</v>
      </c>
      <c r="K359" s="181">
        <v>0.156</v>
      </c>
      <c r="L359" s="182">
        <v>0</v>
      </c>
    </row>
    <row r="360" spans="2:12" x14ac:dyDescent="0.25">
      <c r="B360" s="177" t="s">
        <v>509</v>
      </c>
      <c r="C360" s="178" t="s">
        <v>840</v>
      </c>
      <c r="D360" s="179" t="s">
        <v>434</v>
      </c>
      <c r="E360" s="180">
        <v>320</v>
      </c>
      <c r="F360" s="181">
        <v>0.156</v>
      </c>
      <c r="G360" s="182">
        <v>72.2</v>
      </c>
      <c r="H360" s="169"/>
      <c r="I360" s="177" t="str">
        <f t="shared" si="5"/>
        <v>Small RetailBinghamtonAC With Fuel Heat</v>
      </c>
      <c r="J360" s="180">
        <v>320</v>
      </c>
      <c r="K360" s="181">
        <v>0.156</v>
      </c>
      <c r="L360" s="182">
        <v>72.2</v>
      </c>
    </row>
    <row r="361" spans="2:12" x14ac:dyDescent="0.25">
      <c r="B361" s="177" t="s">
        <v>509</v>
      </c>
      <c r="C361" s="178" t="s">
        <v>840</v>
      </c>
      <c r="D361" s="179" t="s">
        <v>435</v>
      </c>
      <c r="E361" s="183">
        <v>1294</v>
      </c>
      <c r="F361" s="181">
        <v>0.156</v>
      </c>
      <c r="G361" s="182">
        <v>0</v>
      </c>
      <c r="H361" s="169"/>
      <c r="I361" s="177" t="str">
        <f t="shared" si="5"/>
        <v>Small RetailBinghamtonAir Source Heat Pump</v>
      </c>
      <c r="J361" s="183">
        <v>1294</v>
      </c>
      <c r="K361" s="181">
        <v>0.156</v>
      </c>
      <c r="L361" s="182">
        <v>0</v>
      </c>
    </row>
    <row r="362" spans="2:12" x14ac:dyDescent="0.25">
      <c r="B362" s="177" t="s">
        <v>509</v>
      </c>
      <c r="C362" s="178" t="s">
        <v>840</v>
      </c>
      <c r="D362" s="179" t="s">
        <v>436</v>
      </c>
      <c r="E362" s="183">
        <v>1559</v>
      </c>
      <c r="F362" s="181">
        <v>0</v>
      </c>
      <c r="G362" s="182">
        <v>0</v>
      </c>
      <c r="H362" s="169"/>
      <c r="I362" s="177" t="str">
        <f t="shared" si="5"/>
        <v>Small RetailBinghamtonElectric Heat Only</v>
      </c>
      <c r="J362" s="183">
        <v>1559</v>
      </c>
      <c r="K362" s="181">
        <v>0</v>
      </c>
      <c r="L362" s="182">
        <v>0</v>
      </c>
    </row>
    <row r="363" spans="2:12" x14ac:dyDescent="0.25">
      <c r="B363" s="177" t="s">
        <v>509</v>
      </c>
      <c r="C363" s="178" t="s">
        <v>840</v>
      </c>
      <c r="D363" s="179" t="s">
        <v>437</v>
      </c>
      <c r="E363" s="180">
        <v>0</v>
      </c>
      <c r="F363" s="181">
        <v>0</v>
      </c>
      <c r="G363" s="182">
        <v>72.2</v>
      </c>
      <c r="H363" s="169"/>
      <c r="I363" s="177" t="str">
        <f t="shared" si="5"/>
        <v>Small RetailBinghamtonFuel Heat Only</v>
      </c>
      <c r="J363" s="180">
        <v>0</v>
      </c>
      <c r="K363" s="181">
        <v>0</v>
      </c>
      <c r="L363" s="182">
        <v>72.2</v>
      </c>
    </row>
    <row r="364" spans="2:12" x14ac:dyDescent="0.25">
      <c r="B364" s="177" t="s">
        <v>509</v>
      </c>
      <c r="C364" s="178" t="s">
        <v>841</v>
      </c>
      <c r="D364" s="179" t="s">
        <v>428</v>
      </c>
      <c r="E364" s="183">
        <v>1872</v>
      </c>
      <c r="F364" s="181">
        <v>0.156</v>
      </c>
      <c r="G364" s="182">
        <v>0</v>
      </c>
      <c r="H364" s="169"/>
      <c r="I364" s="177" t="str">
        <f t="shared" si="5"/>
        <v>Small RetailBuffaloAC With Electric Heat</v>
      </c>
      <c r="J364" s="183">
        <v>1872</v>
      </c>
      <c r="K364" s="181">
        <v>0.156</v>
      </c>
      <c r="L364" s="182">
        <v>0</v>
      </c>
    </row>
    <row r="365" spans="2:12" x14ac:dyDescent="0.25">
      <c r="B365" s="177" t="s">
        <v>509</v>
      </c>
      <c r="C365" s="178" t="s">
        <v>841</v>
      </c>
      <c r="D365" s="179" t="s">
        <v>434</v>
      </c>
      <c r="E365" s="180">
        <v>327</v>
      </c>
      <c r="F365" s="181">
        <v>0.156</v>
      </c>
      <c r="G365" s="182">
        <v>75.2</v>
      </c>
      <c r="H365" s="169"/>
      <c r="I365" s="177" t="str">
        <f t="shared" si="5"/>
        <v>Small RetailBuffaloAC With Fuel Heat</v>
      </c>
      <c r="J365" s="180">
        <v>327</v>
      </c>
      <c r="K365" s="181">
        <v>0.156</v>
      </c>
      <c r="L365" s="182">
        <v>75.2</v>
      </c>
    </row>
    <row r="366" spans="2:12" x14ac:dyDescent="0.25">
      <c r="B366" s="177" t="s">
        <v>509</v>
      </c>
      <c r="C366" s="178" t="s">
        <v>841</v>
      </c>
      <c r="D366" s="179" t="s">
        <v>435</v>
      </c>
      <c r="E366" s="183">
        <v>1309</v>
      </c>
      <c r="F366" s="181">
        <v>0.156</v>
      </c>
      <c r="G366" s="182">
        <v>0</v>
      </c>
      <c r="H366" s="169"/>
      <c r="I366" s="177" t="str">
        <f t="shared" si="5"/>
        <v>Small RetailBuffaloAir Source Heat Pump</v>
      </c>
      <c r="J366" s="183">
        <v>1309</v>
      </c>
      <c r="K366" s="181">
        <v>0.156</v>
      </c>
      <c r="L366" s="182">
        <v>0</v>
      </c>
    </row>
    <row r="367" spans="2:12" x14ac:dyDescent="0.25">
      <c r="B367" s="177" t="s">
        <v>509</v>
      </c>
      <c r="C367" s="178" t="s">
        <v>841</v>
      </c>
      <c r="D367" s="179" t="s">
        <v>436</v>
      </c>
      <c r="E367" s="183">
        <v>1635</v>
      </c>
      <c r="F367" s="181">
        <v>0</v>
      </c>
      <c r="G367" s="182">
        <v>0</v>
      </c>
      <c r="H367" s="169"/>
      <c r="I367" s="177" t="str">
        <f t="shared" si="5"/>
        <v>Small RetailBuffaloElectric Heat Only</v>
      </c>
      <c r="J367" s="183">
        <v>1635</v>
      </c>
      <c r="K367" s="181">
        <v>0</v>
      </c>
      <c r="L367" s="182">
        <v>0</v>
      </c>
    </row>
    <row r="368" spans="2:12" x14ac:dyDescent="0.25">
      <c r="B368" s="177" t="s">
        <v>509</v>
      </c>
      <c r="C368" s="178" t="s">
        <v>841</v>
      </c>
      <c r="D368" s="179" t="s">
        <v>437</v>
      </c>
      <c r="E368" s="180">
        <v>0</v>
      </c>
      <c r="F368" s="181">
        <v>0</v>
      </c>
      <c r="G368" s="182">
        <v>75.2</v>
      </c>
      <c r="H368" s="169"/>
      <c r="I368" s="177" t="str">
        <f t="shared" si="5"/>
        <v>Small RetailBuffaloFuel Heat Only</v>
      </c>
      <c r="J368" s="180">
        <v>0</v>
      </c>
      <c r="K368" s="181">
        <v>0</v>
      </c>
      <c r="L368" s="182">
        <v>75.2</v>
      </c>
    </row>
    <row r="369" spans="2:12" x14ac:dyDescent="0.25">
      <c r="B369" s="177" t="s">
        <v>509</v>
      </c>
      <c r="C369" s="178" t="s">
        <v>842</v>
      </c>
      <c r="D369" s="179" t="s">
        <v>428</v>
      </c>
      <c r="E369" s="183">
        <v>1828</v>
      </c>
      <c r="F369" s="181">
        <v>0.156</v>
      </c>
      <c r="G369" s="182">
        <v>0</v>
      </c>
      <c r="H369" s="169"/>
      <c r="I369" s="177" t="str">
        <f t="shared" si="5"/>
        <v>Small RetailMassenaAC With Electric Heat</v>
      </c>
      <c r="J369" s="183">
        <v>1828</v>
      </c>
      <c r="K369" s="181">
        <v>0.156</v>
      </c>
      <c r="L369" s="182">
        <v>0</v>
      </c>
    </row>
    <row r="370" spans="2:12" x14ac:dyDescent="0.25">
      <c r="B370" s="177" t="s">
        <v>509</v>
      </c>
      <c r="C370" s="178" t="s">
        <v>842</v>
      </c>
      <c r="D370" s="179" t="s">
        <v>434</v>
      </c>
      <c r="E370" s="180">
        <v>329</v>
      </c>
      <c r="F370" s="181">
        <v>0.156</v>
      </c>
      <c r="G370" s="182">
        <v>71.900000000000006</v>
      </c>
      <c r="H370" s="169"/>
      <c r="I370" s="177" t="str">
        <f t="shared" si="5"/>
        <v>Small RetailMassenaAC With Fuel Heat</v>
      </c>
      <c r="J370" s="180">
        <v>329</v>
      </c>
      <c r="K370" s="181">
        <v>0.156</v>
      </c>
      <c r="L370" s="182">
        <v>71.900000000000006</v>
      </c>
    </row>
    <row r="371" spans="2:12" x14ac:dyDescent="0.25">
      <c r="B371" s="177" t="s">
        <v>509</v>
      </c>
      <c r="C371" s="178" t="s">
        <v>842</v>
      </c>
      <c r="D371" s="179" t="s">
        <v>435</v>
      </c>
      <c r="E371" s="183">
        <v>1433</v>
      </c>
      <c r="F371" s="181">
        <v>0.156</v>
      </c>
      <c r="G371" s="182">
        <v>0</v>
      </c>
      <c r="H371" s="169"/>
      <c r="I371" s="177" t="str">
        <f t="shared" si="5"/>
        <v>Small RetailMassenaAir Source Heat Pump</v>
      </c>
      <c r="J371" s="183">
        <v>1433</v>
      </c>
      <c r="K371" s="181">
        <v>0.156</v>
      </c>
      <c r="L371" s="182">
        <v>0</v>
      </c>
    </row>
    <row r="372" spans="2:12" x14ac:dyDescent="0.25">
      <c r="B372" s="177" t="s">
        <v>509</v>
      </c>
      <c r="C372" s="178" t="s">
        <v>842</v>
      </c>
      <c r="D372" s="179" t="s">
        <v>436</v>
      </c>
      <c r="E372" s="183">
        <v>1597</v>
      </c>
      <c r="F372" s="181">
        <v>0</v>
      </c>
      <c r="G372" s="182">
        <v>0</v>
      </c>
      <c r="H372" s="169"/>
      <c r="I372" s="177" t="str">
        <f t="shared" si="5"/>
        <v>Small RetailMassenaElectric Heat Only</v>
      </c>
      <c r="J372" s="183">
        <v>1597</v>
      </c>
      <c r="K372" s="181">
        <v>0</v>
      </c>
      <c r="L372" s="182">
        <v>0</v>
      </c>
    </row>
    <row r="373" spans="2:12" x14ac:dyDescent="0.25">
      <c r="B373" s="177" t="s">
        <v>509</v>
      </c>
      <c r="C373" s="178" t="s">
        <v>842</v>
      </c>
      <c r="D373" s="179" t="s">
        <v>437</v>
      </c>
      <c r="E373" s="180">
        <v>0</v>
      </c>
      <c r="F373" s="181">
        <v>0</v>
      </c>
      <c r="G373" s="182">
        <v>71.900000000000006</v>
      </c>
      <c r="H373" s="169"/>
      <c r="I373" s="177" t="str">
        <f t="shared" si="5"/>
        <v>Small RetailMassenaFuel Heat Only</v>
      </c>
      <c r="J373" s="180">
        <v>0</v>
      </c>
      <c r="K373" s="181">
        <v>0</v>
      </c>
      <c r="L373" s="182">
        <v>71.900000000000006</v>
      </c>
    </row>
    <row r="374" spans="2:12" x14ac:dyDescent="0.25">
      <c r="B374" s="177" t="s">
        <v>509</v>
      </c>
      <c r="C374" s="178" t="s">
        <v>843</v>
      </c>
      <c r="D374" s="179" t="s">
        <v>428</v>
      </c>
      <c r="E374" s="183">
        <v>1260</v>
      </c>
      <c r="F374" s="181">
        <v>0.156</v>
      </c>
      <c r="G374" s="182">
        <v>0</v>
      </c>
      <c r="H374" s="169"/>
      <c r="I374" s="177" t="str">
        <f t="shared" si="5"/>
        <v>Small RetailNYCAC With Electric Heat</v>
      </c>
      <c r="J374" s="183">
        <v>1260</v>
      </c>
      <c r="K374" s="181">
        <v>0.156</v>
      </c>
      <c r="L374" s="182">
        <v>0</v>
      </c>
    </row>
    <row r="375" spans="2:12" x14ac:dyDescent="0.25">
      <c r="B375" s="177" t="s">
        <v>509</v>
      </c>
      <c r="C375" s="178" t="s">
        <v>843</v>
      </c>
      <c r="D375" s="179" t="s">
        <v>434</v>
      </c>
      <c r="E375" s="180">
        <v>437</v>
      </c>
      <c r="F375" s="181">
        <v>0.156</v>
      </c>
      <c r="G375" s="182">
        <v>40.799999999999997</v>
      </c>
      <c r="H375" s="169"/>
      <c r="I375" s="177" t="str">
        <f t="shared" si="5"/>
        <v>Small RetailNYCAC With Fuel Heat</v>
      </c>
      <c r="J375" s="180">
        <v>437</v>
      </c>
      <c r="K375" s="181">
        <v>0.156</v>
      </c>
      <c r="L375" s="182">
        <v>40.799999999999997</v>
      </c>
    </row>
    <row r="376" spans="2:12" x14ac:dyDescent="0.25">
      <c r="B376" s="177" t="s">
        <v>509</v>
      </c>
      <c r="C376" s="178" t="s">
        <v>843</v>
      </c>
      <c r="D376" s="179" t="s">
        <v>435</v>
      </c>
      <c r="E376" s="180">
        <v>886</v>
      </c>
      <c r="F376" s="181">
        <v>0.156</v>
      </c>
      <c r="G376" s="182">
        <v>0</v>
      </c>
      <c r="H376" s="169"/>
      <c r="I376" s="177" t="str">
        <f t="shared" si="5"/>
        <v>Small RetailNYCAir Source Heat Pump</v>
      </c>
      <c r="J376" s="180">
        <v>886</v>
      </c>
      <c r="K376" s="181">
        <v>0.156</v>
      </c>
      <c r="L376" s="182">
        <v>0</v>
      </c>
    </row>
    <row r="377" spans="2:12" x14ac:dyDescent="0.25">
      <c r="B377" s="177" t="s">
        <v>509</v>
      </c>
      <c r="C377" s="178" t="s">
        <v>843</v>
      </c>
      <c r="D377" s="179" t="s">
        <v>436</v>
      </c>
      <c r="E377" s="180">
        <v>929</v>
      </c>
      <c r="F377" s="181">
        <v>0</v>
      </c>
      <c r="G377" s="182">
        <v>0</v>
      </c>
      <c r="H377" s="169"/>
      <c r="I377" s="177" t="str">
        <f t="shared" si="5"/>
        <v>Small RetailNYCElectric Heat Only</v>
      </c>
      <c r="J377" s="180">
        <v>929</v>
      </c>
      <c r="K377" s="181">
        <v>0</v>
      </c>
      <c r="L377" s="182">
        <v>0</v>
      </c>
    </row>
    <row r="378" spans="2:12" x14ac:dyDescent="0.25">
      <c r="B378" s="177" t="s">
        <v>509</v>
      </c>
      <c r="C378" s="178" t="s">
        <v>843</v>
      </c>
      <c r="D378" s="179" t="s">
        <v>437</v>
      </c>
      <c r="E378" s="180">
        <v>0</v>
      </c>
      <c r="F378" s="181">
        <v>0</v>
      </c>
      <c r="G378" s="182">
        <v>40.799999999999997</v>
      </c>
      <c r="H378" s="169"/>
      <c r="I378" s="177" t="str">
        <f t="shared" si="5"/>
        <v>Small RetailNYCFuel Heat Only</v>
      </c>
      <c r="J378" s="180">
        <v>0</v>
      </c>
      <c r="K378" s="181">
        <v>0</v>
      </c>
      <c r="L378" s="182">
        <v>40.799999999999997</v>
      </c>
    </row>
    <row r="379" spans="2:12" x14ac:dyDescent="0.25">
      <c r="B379" s="177" t="s">
        <v>509</v>
      </c>
      <c r="C379" s="178" t="s">
        <v>844</v>
      </c>
      <c r="D379" s="179" t="s">
        <v>428</v>
      </c>
      <c r="E379" s="183">
        <v>1085</v>
      </c>
      <c r="F379" s="181">
        <v>0.156</v>
      </c>
      <c r="G379" s="182">
        <v>0</v>
      </c>
      <c r="H379" s="169"/>
      <c r="I379" s="177" t="str">
        <f t="shared" si="5"/>
        <v>Small RetailPoughkeepsieAC With Electric Heat</v>
      </c>
      <c r="J379" s="183">
        <v>1085</v>
      </c>
      <c r="K379" s="181">
        <v>0.156</v>
      </c>
      <c r="L379" s="182">
        <v>0</v>
      </c>
    </row>
    <row r="380" spans="2:12" x14ac:dyDescent="0.25">
      <c r="B380" s="177" t="s">
        <v>509</v>
      </c>
      <c r="C380" s="178" t="s">
        <v>844</v>
      </c>
      <c r="D380" s="179" t="s">
        <v>434</v>
      </c>
      <c r="E380" s="180">
        <v>305</v>
      </c>
      <c r="F380" s="181">
        <v>0.156</v>
      </c>
      <c r="G380" s="182">
        <v>37.4</v>
      </c>
      <c r="H380" s="169"/>
      <c r="I380" s="177" t="str">
        <f t="shared" si="5"/>
        <v>Small RetailPoughkeepsieAC With Fuel Heat</v>
      </c>
      <c r="J380" s="180">
        <v>305</v>
      </c>
      <c r="K380" s="181">
        <v>0.156</v>
      </c>
      <c r="L380" s="182">
        <v>37.4</v>
      </c>
    </row>
    <row r="381" spans="2:12" x14ac:dyDescent="0.25">
      <c r="B381" s="177" t="s">
        <v>509</v>
      </c>
      <c r="C381" s="178" t="s">
        <v>844</v>
      </c>
      <c r="D381" s="179" t="s">
        <v>435</v>
      </c>
      <c r="E381" s="183">
        <v>821</v>
      </c>
      <c r="F381" s="181">
        <v>0.156</v>
      </c>
      <c r="G381" s="182">
        <v>0</v>
      </c>
      <c r="H381" s="169"/>
      <c r="I381" s="177" t="str">
        <f t="shared" si="5"/>
        <v>Small RetailPoughkeepsieAir Source Heat Pump</v>
      </c>
      <c r="J381" s="183">
        <v>821</v>
      </c>
      <c r="K381" s="181">
        <v>0.156</v>
      </c>
      <c r="L381" s="182">
        <v>0</v>
      </c>
    </row>
    <row r="382" spans="2:12" x14ac:dyDescent="0.25">
      <c r="B382" s="177" t="s">
        <v>509</v>
      </c>
      <c r="C382" s="178" t="s">
        <v>844</v>
      </c>
      <c r="D382" s="179" t="s">
        <v>436</v>
      </c>
      <c r="E382" s="183">
        <v>819</v>
      </c>
      <c r="F382" s="181">
        <v>0</v>
      </c>
      <c r="G382" s="182">
        <v>0</v>
      </c>
      <c r="H382" s="169"/>
      <c r="I382" s="177" t="str">
        <f t="shared" si="5"/>
        <v>Small RetailPoughkeepsieElectric Heat Only</v>
      </c>
      <c r="J382" s="183">
        <v>819</v>
      </c>
      <c r="K382" s="181">
        <v>0</v>
      </c>
      <c r="L382" s="182">
        <v>0</v>
      </c>
    </row>
    <row r="383" spans="2:12" x14ac:dyDescent="0.25">
      <c r="B383" s="177" t="s">
        <v>509</v>
      </c>
      <c r="C383" s="178" t="s">
        <v>844</v>
      </c>
      <c r="D383" s="179" t="s">
        <v>437</v>
      </c>
      <c r="E383" s="180">
        <v>0</v>
      </c>
      <c r="F383" s="181">
        <v>0</v>
      </c>
      <c r="G383" s="182">
        <v>37.4</v>
      </c>
      <c r="H383" s="169"/>
      <c r="I383" s="177" t="str">
        <f t="shared" si="5"/>
        <v>Small RetailPoughkeepsieFuel Heat Only</v>
      </c>
      <c r="J383" s="180">
        <v>0</v>
      </c>
      <c r="K383" s="181">
        <v>0</v>
      </c>
      <c r="L383" s="182">
        <v>37.4</v>
      </c>
    </row>
    <row r="384" spans="2:12" x14ac:dyDescent="0.25">
      <c r="B384" s="177" t="s">
        <v>509</v>
      </c>
      <c r="C384" s="178" t="s">
        <v>845</v>
      </c>
      <c r="D384" s="179" t="s">
        <v>428</v>
      </c>
      <c r="E384" s="183">
        <v>1810</v>
      </c>
      <c r="F384" s="181">
        <v>0.156</v>
      </c>
      <c r="G384" s="182">
        <v>0</v>
      </c>
      <c r="H384" s="169"/>
      <c r="I384" s="177" t="str">
        <f t="shared" si="5"/>
        <v>Small RetailSyracuseAC With Electric Heat</v>
      </c>
      <c r="J384" s="183">
        <v>1810</v>
      </c>
      <c r="K384" s="181">
        <v>0.156</v>
      </c>
      <c r="L384" s="182">
        <v>0</v>
      </c>
    </row>
    <row r="385" spans="2:12" x14ac:dyDescent="0.25">
      <c r="B385" s="177" t="s">
        <v>509</v>
      </c>
      <c r="C385" s="178" t="s">
        <v>845</v>
      </c>
      <c r="D385" s="179" t="s">
        <v>434</v>
      </c>
      <c r="E385" s="180">
        <v>370</v>
      </c>
      <c r="F385" s="181">
        <v>0.156</v>
      </c>
      <c r="G385" s="182">
        <v>70.8</v>
      </c>
      <c r="H385" s="169"/>
      <c r="I385" s="177" t="str">
        <f t="shared" si="5"/>
        <v>Small RetailSyracuseAC With Fuel Heat</v>
      </c>
      <c r="J385" s="180">
        <v>370</v>
      </c>
      <c r="K385" s="181">
        <v>0.156</v>
      </c>
      <c r="L385" s="182">
        <v>70.8</v>
      </c>
    </row>
    <row r="386" spans="2:12" x14ac:dyDescent="0.25">
      <c r="B386" s="177" t="s">
        <v>509</v>
      </c>
      <c r="C386" s="178" t="s">
        <v>845</v>
      </c>
      <c r="D386" s="179" t="s">
        <v>435</v>
      </c>
      <c r="E386" s="183">
        <v>1321</v>
      </c>
      <c r="F386" s="181">
        <v>0.156</v>
      </c>
      <c r="G386" s="182">
        <v>0</v>
      </c>
      <c r="H386" s="169"/>
      <c r="I386" s="177" t="str">
        <f t="shared" si="5"/>
        <v>Small RetailSyracuseAir Source Heat Pump</v>
      </c>
      <c r="J386" s="183">
        <v>1321</v>
      </c>
      <c r="K386" s="181">
        <v>0.156</v>
      </c>
      <c r="L386" s="182">
        <v>0</v>
      </c>
    </row>
    <row r="387" spans="2:12" x14ac:dyDescent="0.25">
      <c r="B387" s="177" t="s">
        <v>509</v>
      </c>
      <c r="C387" s="178" t="s">
        <v>845</v>
      </c>
      <c r="D387" s="179" t="s">
        <v>436</v>
      </c>
      <c r="E387" s="183">
        <v>1546</v>
      </c>
      <c r="F387" s="181">
        <v>0</v>
      </c>
      <c r="G387" s="182">
        <v>0</v>
      </c>
      <c r="H387" s="169"/>
      <c r="I387" s="177" t="str">
        <f t="shared" si="5"/>
        <v>Small RetailSyracuseElectric Heat Only</v>
      </c>
      <c r="J387" s="183">
        <v>1546</v>
      </c>
      <c r="K387" s="181">
        <v>0</v>
      </c>
      <c r="L387" s="182">
        <v>0</v>
      </c>
    </row>
    <row r="388" spans="2:12" ht="15.75" thickBot="1" x14ac:dyDescent="0.3">
      <c r="B388" s="184" t="s">
        <v>509</v>
      </c>
      <c r="C388" s="185" t="s">
        <v>845</v>
      </c>
      <c r="D388" s="186" t="s">
        <v>437</v>
      </c>
      <c r="E388" s="187">
        <v>0</v>
      </c>
      <c r="F388" s="188">
        <v>0</v>
      </c>
      <c r="G388" s="189">
        <v>70.8</v>
      </c>
      <c r="H388" s="169"/>
      <c r="I388" s="184" t="str">
        <f t="shared" si="5"/>
        <v>Small RetailSyracuseFuel Heat Only</v>
      </c>
      <c r="J388" s="187">
        <v>0</v>
      </c>
      <c r="K388" s="188">
        <v>0</v>
      </c>
      <c r="L388" s="189">
        <v>70.8</v>
      </c>
    </row>
    <row r="389" spans="2:12" x14ac:dyDescent="0.25">
      <c r="B389" s="171" t="s">
        <v>296</v>
      </c>
      <c r="C389" s="172" t="s">
        <v>839</v>
      </c>
      <c r="D389" s="173" t="s">
        <v>428</v>
      </c>
      <c r="E389" s="174">
        <v>1828</v>
      </c>
      <c r="F389" s="175">
        <v>0.156</v>
      </c>
      <c r="G389" s="176">
        <v>0</v>
      </c>
      <c r="H389" s="169"/>
      <c r="I389" s="171" t="str">
        <f t="shared" ref="I389:I423" si="6">B389&amp;C389&amp;D389</f>
        <v>WarehouseAlbanyAC With Electric Heat</v>
      </c>
      <c r="J389" s="174">
        <v>1828</v>
      </c>
      <c r="K389" s="175">
        <v>0.156</v>
      </c>
      <c r="L389" s="176">
        <v>0</v>
      </c>
    </row>
    <row r="390" spans="2:12" x14ac:dyDescent="0.25">
      <c r="B390" s="177" t="s">
        <v>296</v>
      </c>
      <c r="C390" s="178" t="s">
        <v>839</v>
      </c>
      <c r="D390" s="179" t="s">
        <v>434</v>
      </c>
      <c r="E390" s="180">
        <v>326</v>
      </c>
      <c r="F390" s="181">
        <v>0.156</v>
      </c>
      <c r="G390" s="182">
        <v>70.099999999999994</v>
      </c>
      <c r="H390" s="169"/>
      <c r="I390" s="177" t="str">
        <f t="shared" si="6"/>
        <v>WarehouseAlbanyAC With Fuel Heat</v>
      </c>
      <c r="J390" s="180">
        <v>326</v>
      </c>
      <c r="K390" s="181">
        <v>0.156</v>
      </c>
      <c r="L390" s="182">
        <v>70.099999999999994</v>
      </c>
    </row>
    <row r="391" spans="2:12" x14ac:dyDescent="0.25">
      <c r="B391" s="177" t="s">
        <v>296</v>
      </c>
      <c r="C391" s="178" t="s">
        <v>839</v>
      </c>
      <c r="D391" s="179" t="s">
        <v>435</v>
      </c>
      <c r="E391" s="183">
        <v>1478</v>
      </c>
      <c r="F391" s="181">
        <v>0.156</v>
      </c>
      <c r="G391" s="182">
        <v>0</v>
      </c>
      <c r="H391" s="169"/>
      <c r="I391" s="177" t="str">
        <f t="shared" si="6"/>
        <v>WarehouseAlbanyAir Source Heat Pump</v>
      </c>
      <c r="J391" s="183">
        <v>1478</v>
      </c>
      <c r="K391" s="181">
        <v>0.156</v>
      </c>
      <c r="L391" s="182">
        <v>0</v>
      </c>
    </row>
    <row r="392" spans="2:12" x14ac:dyDescent="0.25">
      <c r="B392" s="177" t="s">
        <v>296</v>
      </c>
      <c r="C392" s="178" t="s">
        <v>839</v>
      </c>
      <c r="D392" s="179" t="s">
        <v>436</v>
      </c>
      <c r="E392" s="183">
        <v>1572</v>
      </c>
      <c r="F392" s="181">
        <v>0</v>
      </c>
      <c r="G392" s="182">
        <v>0</v>
      </c>
      <c r="H392" s="169"/>
      <c r="I392" s="177" t="str">
        <f t="shared" si="6"/>
        <v>WarehouseAlbanyElectric Heat Only</v>
      </c>
      <c r="J392" s="183">
        <v>1572</v>
      </c>
      <c r="K392" s="181">
        <v>0</v>
      </c>
      <c r="L392" s="182">
        <v>0</v>
      </c>
    </row>
    <row r="393" spans="2:12" x14ac:dyDescent="0.25">
      <c r="B393" s="177" t="s">
        <v>296</v>
      </c>
      <c r="C393" s="178" t="s">
        <v>839</v>
      </c>
      <c r="D393" s="179" t="s">
        <v>437</v>
      </c>
      <c r="E393" s="180">
        <v>0</v>
      </c>
      <c r="F393" s="181">
        <v>0</v>
      </c>
      <c r="G393" s="182">
        <v>70.099999999999994</v>
      </c>
      <c r="H393" s="169"/>
      <c r="I393" s="177" t="str">
        <f t="shared" si="6"/>
        <v>WarehouseAlbanyFuel Heat Only</v>
      </c>
      <c r="J393" s="180">
        <v>0</v>
      </c>
      <c r="K393" s="181">
        <v>0</v>
      </c>
      <c r="L393" s="182">
        <v>70.099999999999994</v>
      </c>
    </row>
    <row r="394" spans="2:12" x14ac:dyDescent="0.25">
      <c r="B394" s="177" t="s">
        <v>296</v>
      </c>
      <c r="C394" s="178" t="s">
        <v>840</v>
      </c>
      <c r="D394" s="179" t="s">
        <v>428</v>
      </c>
      <c r="E394" s="183">
        <v>1863</v>
      </c>
      <c r="F394" s="181">
        <v>0.156</v>
      </c>
      <c r="G394" s="182">
        <v>0</v>
      </c>
      <c r="H394" s="169"/>
      <c r="I394" s="177" t="str">
        <f t="shared" si="6"/>
        <v>WarehouseBinghamtonAC With Electric Heat</v>
      </c>
      <c r="J394" s="183">
        <v>1863</v>
      </c>
      <c r="K394" s="181">
        <v>0.156</v>
      </c>
      <c r="L394" s="182">
        <v>0</v>
      </c>
    </row>
    <row r="395" spans="2:12" x14ac:dyDescent="0.25">
      <c r="B395" s="177" t="s">
        <v>296</v>
      </c>
      <c r="C395" s="178" t="s">
        <v>840</v>
      </c>
      <c r="D395" s="179" t="s">
        <v>434</v>
      </c>
      <c r="E395" s="180">
        <v>273</v>
      </c>
      <c r="F395" s="181">
        <v>0.156</v>
      </c>
      <c r="G395" s="182">
        <v>74.2</v>
      </c>
      <c r="H395" s="169"/>
      <c r="I395" s="177" t="str">
        <f t="shared" si="6"/>
        <v>WarehouseBinghamtonAC With Fuel Heat</v>
      </c>
      <c r="J395" s="180">
        <v>273</v>
      </c>
      <c r="K395" s="181">
        <v>0.156</v>
      </c>
      <c r="L395" s="182">
        <v>74.2</v>
      </c>
    </row>
    <row r="396" spans="2:12" x14ac:dyDescent="0.25">
      <c r="B396" s="177" t="s">
        <v>296</v>
      </c>
      <c r="C396" s="178" t="s">
        <v>840</v>
      </c>
      <c r="D396" s="179" t="s">
        <v>435</v>
      </c>
      <c r="E396" s="183">
        <v>1580</v>
      </c>
      <c r="F396" s="181">
        <v>0.156</v>
      </c>
      <c r="G396" s="182">
        <v>0</v>
      </c>
      <c r="H396" s="169"/>
      <c r="I396" s="177" t="str">
        <f t="shared" si="6"/>
        <v>WarehouseBinghamtonAir Source Heat Pump</v>
      </c>
      <c r="J396" s="183">
        <v>1580</v>
      </c>
      <c r="K396" s="181">
        <v>0.156</v>
      </c>
      <c r="L396" s="182">
        <v>0</v>
      </c>
    </row>
    <row r="397" spans="2:12" x14ac:dyDescent="0.25">
      <c r="B397" s="177" t="s">
        <v>296</v>
      </c>
      <c r="C397" s="178" t="s">
        <v>840</v>
      </c>
      <c r="D397" s="179" t="s">
        <v>436</v>
      </c>
      <c r="E397" s="183">
        <v>1636</v>
      </c>
      <c r="F397" s="181">
        <v>0</v>
      </c>
      <c r="G397" s="182">
        <v>0</v>
      </c>
      <c r="H397" s="169"/>
      <c r="I397" s="177" t="str">
        <f t="shared" si="6"/>
        <v>WarehouseBinghamtonElectric Heat Only</v>
      </c>
      <c r="J397" s="183">
        <v>1636</v>
      </c>
      <c r="K397" s="181">
        <v>0</v>
      </c>
      <c r="L397" s="182">
        <v>0</v>
      </c>
    </row>
    <row r="398" spans="2:12" x14ac:dyDescent="0.25">
      <c r="B398" s="177" t="s">
        <v>296</v>
      </c>
      <c r="C398" s="178" t="s">
        <v>840</v>
      </c>
      <c r="D398" s="179" t="s">
        <v>437</v>
      </c>
      <c r="E398" s="180">
        <v>0</v>
      </c>
      <c r="F398" s="181">
        <v>0</v>
      </c>
      <c r="G398" s="182">
        <v>74.2</v>
      </c>
      <c r="H398" s="169"/>
      <c r="I398" s="177" t="str">
        <f t="shared" si="6"/>
        <v>WarehouseBinghamtonFuel Heat Only</v>
      </c>
      <c r="J398" s="180">
        <v>0</v>
      </c>
      <c r="K398" s="181">
        <v>0</v>
      </c>
      <c r="L398" s="182">
        <v>74.2</v>
      </c>
    </row>
    <row r="399" spans="2:12" x14ac:dyDescent="0.25">
      <c r="B399" s="177" t="s">
        <v>296</v>
      </c>
      <c r="C399" s="178" t="s">
        <v>841</v>
      </c>
      <c r="D399" s="179" t="s">
        <v>428</v>
      </c>
      <c r="E399" s="183">
        <v>1977</v>
      </c>
      <c r="F399" s="181">
        <v>0.156</v>
      </c>
      <c r="G399" s="182">
        <v>0</v>
      </c>
      <c r="H399" s="169"/>
      <c r="I399" s="177" t="str">
        <f t="shared" si="6"/>
        <v>WarehouseBuffaloAC With Electric Heat</v>
      </c>
      <c r="J399" s="183">
        <v>1977</v>
      </c>
      <c r="K399" s="181">
        <v>0.156</v>
      </c>
      <c r="L399" s="182">
        <v>0</v>
      </c>
    </row>
    <row r="400" spans="2:12" x14ac:dyDescent="0.25">
      <c r="B400" s="177" t="s">
        <v>296</v>
      </c>
      <c r="C400" s="178" t="s">
        <v>841</v>
      </c>
      <c r="D400" s="179" t="s">
        <v>434</v>
      </c>
      <c r="E400" s="180">
        <v>298</v>
      </c>
      <c r="F400" s="181">
        <v>0.156</v>
      </c>
      <c r="G400" s="182">
        <v>78.900000000000006</v>
      </c>
      <c r="H400" s="169"/>
      <c r="I400" s="177" t="str">
        <f t="shared" si="6"/>
        <v>WarehouseBuffaloAC With Fuel Heat</v>
      </c>
      <c r="J400" s="180">
        <v>298</v>
      </c>
      <c r="K400" s="181">
        <v>0.156</v>
      </c>
      <c r="L400" s="182">
        <v>78.900000000000006</v>
      </c>
    </row>
    <row r="401" spans="2:12" x14ac:dyDescent="0.25">
      <c r="B401" s="177" t="s">
        <v>296</v>
      </c>
      <c r="C401" s="178" t="s">
        <v>841</v>
      </c>
      <c r="D401" s="179" t="s">
        <v>435</v>
      </c>
      <c r="E401" s="183">
        <v>1489</v>
      </c>
      <c r="F401" s="181">
        <v>0.156</v>
      </c>
      <c r="G401" s="182">
        <v>0</v>
      </c>
      <c r="H401" s="169"/>
      <c r="I401" s="177" t="str">
        <f t="shared" si="6"/>
        <v>WarehouseBuffaloAir Source Heat Pump</v>
      </c>
      <c r="J401" s="183">
        <v>1489</v>
      </c>
      <c r="K401" s="181">
        <v>0.156</v>
      </c>
      <c r="L401" s="182">
        <v>0</v>
      </c>
    </row>
    <row r="402" spans="2:12" x14ac:dyDescent="0.25">
      <c r="B402" s="177" t="s">
        <v>296</v>
      </c>
      <c r="C402" s="178" t="s">
        <v>841</v>
      </c>
      <c r="D402" s="179" t="s">
        <v>436</v>
      </c>
      <c r="E402" s="183">
        <v>1714</v>
      </c>
      <c r="F402" s="181">
        <v>0</v>
      </c>
      <c r="G402" s="182">
        <v>0</v>
      </c>
      <c r="H402" s="169"/>
      <c r="I402" s="177" t="str">
        <f t="shared" si="6"/>
        <v>WarehouseBuffaloElectric Heat Only</v>
      </c>
      <c r="J402" s="183">
        <v>1714</v>
      </c>
      <c r="K402" s="181">
        <v>0</v>
      </c>
      <c r="L402" s="182">
        <v>0</v>
      </c>
    </row>
    <row r="403" spans="2:12" x14ac:dyDescent="0.25">
      <c r="B403" s="177" t="s">
        <v>296</v>
      </c>
      <c r="C403" s="178" t="s">
        <v>841</v>
      </c>
      <c r="D403" s="179" t="s">
        <v>437</v>
      </c>
      <c r="E403" s="180">
        <v>0</v>
      </c>
      <c r="F403" s="181">
        <v>0</v>
      </c>
      <c r="G403" s="182">
        <v>78.900000000000006</v>
      </c>
      <c r="H403" s="169"/>
      <c r="I403" s="177" t="str">
        <f t="shared" si="6"/>
        <v>WarehouseBuffaloFuel Heat Only</v>
      </c>
      <c r="J403" s="180">
        <v>0</v>
      </c>
      <c r="K403" s="181">
        <v>0</v>
      </c>
      <c r="L403" s="182">
        <v>78.900000000000006</v>
      </c>
    </row>
    <row r="404" spans="2:12" x14ac:dyDescent="0.25">
      <c r="B404" s="177" t="s">
        <v>296</v>
      </c>
      <c r="C404" s="178" t="s">
        <v>842</v>
      </c>
      <c r="D404" s="179" t="s">
        <v>428</v>
      </c>
      <c r="E404" s="183">
        <v>2382</v>
      </c>
      <c r="F404" s="181">
        <v>0.156</v>
      </c>
      <c r="G404" s="182">
        <v>0</v>
      </c>
      <c r="H404" s="169"/>
      <c r="I404" s="177" t="str">
        <f t="shared" si="6"/>
        <v>WarehouseMassenaAC With Electric Heat</v>
      </c>
      <c r="J404" s="183">
        <v>2382</v>
      </c>
      <c r="K404" s="181">
        <v>0.156</v>
      </c>
      <c r="L404" s="182">
        <v>0</v>
      </c>
    </row>
    <row r="405" spans="2:12" x14ac:dyDescent="0.25">
      <c r="B405" s="177" t="s">
        <v>296</v>
      </c>
      <c r="C405" s="178" t="s">
        <v>842</v>
      </c>
      <c r="D405" s="179" t="s">
        <v>434</v>
      </c>
      <c r="E405" s="180">
        <v>319</v>
      </c>
      <c r="F405" s="181">
        <v>0.156</v>
      </c>
      <c r="G405" s="182">
        <v>95.9</v>
      </c>
      <c r="H405" s="169"/>
      <c r="I405" s="177" t="str">
        <f t="shared" si="6"/>
        <v>WarehouseMassenaAC With Fuel Heat</v>
      </c>
      <c r="J405" s="180">
        <v>319</v>
      </c>
      <c r="K405" s="181">
        <v>0.156</v>
      </c>
      <c r="L405" s="182">
        <v>95.9</v>
      </c>
    </row>
    <row r="406" spans="2:12" x14ac:dyDescent="0.25">
      <c r="B406" s="177" t="s">
        <v>296</v>
      </c>
      <c r="C406" s="178" t="s">
        <v>842</v>
      </c>
      <c r="D406" s="179" t="s">
        <v>435</v>
      </c>
      <c r="E406" s="183">
        <v>2000</v>
      </c>
      <c r="F406" s="181">
        <v>0.156</v>
      </c>
      <c r="G406" s="182">
        <v>0</v>
      </c>
      <c r="H406" s="169"/>
      <c r="I406" s="177" t="str">
        <f t="shared" si="6"/>
        <v>WarehouseMassenaAir Source Heat Pump</v>
      </c>
      <c r="J406" s="183">
        <v>2000</v>
      </c>
      <c r="K406" s="181">
        <v>0.156</v>
      </c>
      <c r="L406" s="182">
        <v>0</v>
      </c>
    </row>
    <row r="407" spans="2:12" x14ac:dyDescent="0.25">
      <c r="B407" s="177" t="s">
        <v>296</v>
      </c>
      <c r="C407" s="178" t="s">
        <v>842</v>
      </c>
      <c r="D407" s="179" t="s">
        <v>436</v>
      </c>
      <c r="E407" s="183">
        <v>2130</v>
      </c>
      <c r="F407" s="181">
        <v>0</v>
      </c>
      <c r="G407" s="182">
        <v>0</v>
      </c>
      <c r="H407" s="169"/>
      <c r="I407" s="177" t="str">
        <f t="shared" si="6"/>
        <v>WarehouseMassenaElectric Heat Only</v>
      </c>
      <c r="J407" s="183">
        <v>2130</v>
      </c>
      <c r="K407" s="181">
        <v>0</v>
      </c>
      <c r="L407" s="182">
        <v>0</v>
      </c>
    </row>
    <row r="408" spans="2:12" x14ac:dyDescent="0.25">
      <c r="B408" s="177" t="s">
        <v>296</v>
      </c>
      <c r="C408" s="178" t="s">
        <v>842</v>
      </c>
      <c r="D408" s="179" t="s">
        <v>437</v>
      </c>
      <c r="E408" s="180">
        <v>0</v>
      </c>
      <c r="F408" s="181">
        <v>0</v>
      </c>
      <c r="G408" s="182">
        <v>95.9</v>
      </c>
      <c r="H408" s="169"/>
      <c r="I408" s="177" t="str">
        <f t="shared" si="6"/>
        <v>WarehouseMassenaFuel Heat Only</v>
      </c>
      <c r="J408" s="180">
        <v>0</v>
      </c>
      <c r="K408" s="181">
        <v>0</v>
      </c>
      <c r="L408" s="182">
        <v>95.9</v>
      </c>
    </row>
    <row r="409" spans="2:12" x14ac:dyDescent="0.25">
      <c r="B409" s="177" t="s">
        <v>296</v>
      </c>
      <c r="C409" s="178" t="s">
        <v>843</v>
      </c>
      <c r="D409" s="179" t="s">
        <v>428</v>
      </c>
      <c r="E409" s="183">
        <v>1243</v>
      </c>
      <c r="F409" s="181">
        <v>0.156</v>
      </c>
      <c r="G409" s="182">
        <v>0</v>
      </c>
      <c r="H409" s="169"/>
      <c r="I409" s="177" t="str">
        <f t="shared" si="6"/>
        <v>WarehouseNYCAC With Electric Heat</v>
      </c>
      <c r="J409" s="183">
        <v>1243</v>
      </c>
      <c r="K409" s="181">
        <v>0.156</v>
      </c>
      <c r="L409" s="182">
        <v>0</v>
      </c>
    </row>
    <row r="410" spans="2:12" x14ac:dyDescent="0.25">
      <c r="B410" s="177" t="s">
        <v>296</v>
      </c>
      <c r="C410" s="178" t="s">
        <v>843</v>
      </c>
      <c r="D410" s="179" t="s">
        <v>434</v>
      </c>
      <c r="E410" s="180">
        <v>413</v>
      </c>
      <c r="F410" s="181">
        <v>0.156</v>
      </c>
      <c r="G410" s="182">
        <v>40</v>
      </c>
      <c r="H410" s="169"/>
      <c r="I410" s="177" t="str">
        <f t="shared" si="6"/>
        <v>WarehouseNYCAC With Fuel Heat</v>
      </c>
      <c r="J410" s="180">
        <v>413</v>
      </c>
      <c r="K410" s="181">
        <v>0.156</v>
      </c>
      <c r="L410" s="182">
        <v>40</v>
      </c>
    </row>
    <row r="411" spans="2:12" x14ac:dyDescent="0.25">
      <c r="B411" s="177" t="s">
        <v>296</v>
      </c>
      <c r="C411" s="178" t="s">
        <v>843</v>
      </c>
      <c r="D411" s="179" t="s">
        <v>435</v>
      </c>
      <c r="E411" s="180">
        <v>941</v>
      </c>
      <c r="F411" s="181">
        <v>0.156</v>
      </c>
      <c r="G411" s="182">
        <v>0</v>
      </c>
      <c r="H411" s="169"/>
      <c r="I411" s="177" t="str">
        <f t="shared" si="6"/>
        <v>WarehouseNYCAir Source Heat Pump</v>
      </c>
      <c r="J411" s="180">
        <v>941</v>
      </c>
      <c r="K411" s="181">
        <v>0.156</v>
      </c>
      <c r="L411" s="182">
        <v>0</v>
      </c>
    </row>
    <row r="412" spans="2:12" x14ac:dyDescent="0.25">
      <c r="B412" s="177" t="s">
        <v>296</v>
      </c>
      <c r="C412" s="178" t="s">
        <v>843</v>
      </c>
      <c r="D412" s="179" t="s">
        <v>436</v>
      </c>
      <c r="E412" s="180">
        <v>953</v>
      </c>
      <c r="F412" s="181">
        <v>0</v>
      </c>
      <c r="G412" s="182">
        <v>0</v>
      </c>
      <c r="H412" s="169"/>
      <c r="I412" s="177" t="str">
        <f t="shared" si="6"/>
        <v>WarehouseNYCElectric Heat Only</v>
      </c>
      <c r="J412" s="180">
        <v>953</v>
      </c>
      <c r="K412" s="181">
        <v>0</v>
      </c>
      <c r="L412" s="182">
        <v>0</v>
      </c>
    </row>
    <row r="413" spans="2:12" x14ac:dyDescent="0.25">
      <c r="B413" s="177" t="s">
        <v>296</v>
      </c>
      <c r="C413" s="178" t="s">
        <v>843</v>
      </c>
      <c r="D413" s="179" t="s">
        <v>437</v>
      </c>
      <c r="E413" s="180">
        <v>0</v>
      </c>
      <c r="F413" s="181">
        <v>0</v>
      </c>
      <c r="G413" s="182">
        <v>40</v>
      </c>
      <c r="H413" s="169"/>
      <c r="I413" s="177" t="str">
        <f t="shared" si="6"/>
        <v>WarehouseNYCFuel Heat Only</v>
      </c>
      <c r="J413" s="180">
        <v>0</v>
      </c>
      <c r="K413" s="181">
        <v>0</v>
      </c>
      <c r="L413" s="182">
        <v>40</v>
      </c>
    </row>
    <row r="414" spans="2:12" x14ac:dyDescent="0.25">
      <c r="B414" s="177" t="s">
        <v>296</v>
      </c>
      <c r="C414" s="178" t="s">
        <v>844</v>
      </c>
      <c r="D414" s="179" t="s">
        <v>428</v>
      </c>
      <c r="E414" s="183">
        <v>1430</v>
      </c>
      <c r="F414" s="181">
        <v>0.156</v>
      </c>
      <c r="G414" s="182">
        <v>0</v>
      </c>
      <c r="H414" s="169"/>
      <c r="I414" s="177" t="str">
        <f t="shared" si="6"/>
        <v>WarehousePoughkeepsieAC With Electric Heat</v>
      </c>
      <c r="J414" s="183">
        <v>1430</v>
      </c>
      <c r="K414" s="181">
        <v>0.156</v>
      </c>
      <c r="L414" s="182">
        <v>0</v>
      </c>
    </row>
    <row r="415" spans="2:12" x14ac:dyDescent="0.25">
      <c r="B415" s="177" t="s">
        <v>296</v>
      </c>
      <c r="C415" s="178" t="s">
        <v>844</v>
      </c>
      <c r="D415" s="179" t="s">
        <v>434</v>
      </c>
      <c r="E415" s="180">
        <v>312</v>
      </c>
      <c r="F415" s="181">
        <v>0.156</v>
      </c>
      <c r="G415" s="182">
        <v>53</v>
      </c>
      <c r="H415" s="169"/>
      <c r="I415" s="177" t="str">
        <f t="shared" si="6"/>
        <v>WarehousePoughkeepsieAC With Fuel Heat</v>
      </c>
      <c r="J415" s="180">
        <v>312</v>
      </c>
      <c r="K415" s="181">
        <v>0.156</v>
      </c>
      <c r="L415" s="182">
        <v>53</v>
      </c>
    </row>
    <row r="416" spans="2:12" x14ac:dyDescent="0.25">
      <c r="B416" s="177" t="s">
        <v>296</v>
      </c>
      <c r="C416" s="178" t="s">
        <v>844</v>
      </c>
      <c r="D416" s="179" t="s">
        <v>435</v>
      </c>
      <c r="E416" s="183">
        <v>1159</v>
      </c>
      <c r="F416" s="181">
        <v>0.156</v>
      </c>
      <c r="G416" s="182">
        <v>0</v>
      </c>
      <c r="H416" s="169"/>
      <c r="I416" s="177" t="str">
        <f t="shared" si="6"/>
        <v>WarehousePoughkeepsieAir Source Heat Pump</v>
      </c>
      <c r="J416" s="183">
        <v>1159</v>
      </c>
      <c r="K416" s="181">
        <v>0.156</v>
      </c>
      <c r="L416" s="182">
        <v>0</v>
      </c>
    </row>
    <row r="417" spans="2:12" x14ac:dyDescent="0.25">
      <c r="B417" s="177" t="s">
        <v>296</v>
      </c>
      <c r="C417" s="178" t="s">
        <v>844</v>
      </c>
      <c r="D417" s="179" t="s">
        <v>436</v>
      </c>
      <c r="E417" s="183">
        <v>1202</v>
      </c>
      <c r="F417" s="181">
        <v>0</v>
      </c>
      <c r="G417" s="182">
        <v>0</v>
      </c>
      <c r="H417" s="169"/>
      <c r="I417" s="177" t="str">
        <f t="shared" si="6"/>
        <v>WarehousePoughkeepsieElectric Heat Only</v>
      </c>
      <c r="J417" s="183">
        <v>1202</v>
      </c>
      <c r="K417" s="181">
        <v>0</v>
      </c>
      <c r="L417" s="182">
        <v>0</v>
      </c>
    </row>
    <row r="418" spans="2:12" x14ac:dyDescent="0.25">
      <c r="B418" s="177" t="s">
        <v>296</v>
      </c>
      <c r="C418" s="178" t="s">
        <v>844</v>
      </c>
      <c r="D418" s="179" t="s">
        <v>437</v>
      </c>
      <c r="E418" s="180">
        <v>0</v>
      </c>
      <c r="F418" s="181">
        <v>0</v>
      </c>
      <c r="G418" s="182">
        <v>53</v>
      </c>
      <c r="H418" s="169"/>
      <c r="I418" s="177" t="str">
        <f t="shared" si="6"/>
        <v>WarehousePoughkeepsieFuel Heat Only</v>
      </c>
      <c r="J418" s="180">
        <v>0</v>
      </c>
      <c r="K418" s="181">
        <v>0</v>
      </c>
      <c r="L418" s="182">
        <v>53</v>
      </c>
    </row>
    <row r="419" spans="2:12" x14ac:dyDescent="0.25">
      <c r="B419" s="177" t="s">
        <v>296</v>
      </c>
      <c r="C419" s="178" t="s">
        <v>845</v>
      </c>
      <c r="D419" s="179" t="s">
        <v>428</v>
      </c>
      <c r="E419" s="183">
        <v>1748</v>
      </c>
      <c r="F419" s="181">
        <v>0.156</v>
      </c>
      <c r="G419" s="182">
        <v>0</v>
      </c>
      <c r="H419" s="169"/>
      <c r="I419" s="177" t="str">
        <f t="shared" si="6"/>
        <v>WarehouseSyracuseAC With Electric Heat</v>
      </c>
      <c r="J419" s="183">
        <v>1748</v>
      </c>
      <c r="K419" s="181">
        <v>0.156</v>
      </c>
      <c r="L419" s="182">
        <v>0</v>
      </c>
    </row>
    <row r="420" spans="2:12" x14ac:dyDescent="0.25">
      <c r="B420" s="177" t="s">
        <v>296</v>
      </c>
      <c r="C420" s="178" t="s">
        <v>845</v>
      </c>
      <c r="D420" s="179" t="s">
        <v>434</v>
      </c>
      <c r="E420" s="180">
        <v>326</v>
      </c>
      <c r="F420" s="181">
        <v>0.156</v>
      </c>
      <c r="G420" s="182">
        <v>66.900000000000006</v>
      </c>
      <c r="H420" s="169"/>
      <c r="I420" s="177" t="str">
        <f t="shared" si="6"/>
        <v>WarehouseSyracuseAC With Fuel Heat</v>
      </c>
      <c r="J420" s="180">
        <v>326</v>
      </c>
      <c r="K420" s="181">
        <v>0.156</v>
      </c>
      <c r="L420" s="182">
        <v>66.900000000000006</v>
      </c>
    </row>
    <row r="421" spans="2:12" x14ac:dyDescent="0.25">
      <c r="B421" s="177" t="s">
        <v>296</v>
      </c>
      <c r="C421" s="178" t="s">
        <v>845</v>
      </c>
      <c r="D421" s="179" t="s">
        <v>435</v>
      </c>
      <c r="E421" s="183">
        <v>1468</v>
      </c>
      <c r="F421" s="181">
        <v>0.156</v>
      </c>
      <c r="G421" s="182">
        <v>0</v>
      </c>
      <c r="H421" s="169"/>
      <c r="I421" s="177" t="str">
        <f t="shared" si="6"/>
        <v>WarehouseSyracuseAir Source Heat Pump</v>
      </c>
      <c r="J421" s="183">
        <v>1468</v>
      </c>
      <c r="K421" s="181">
        <v>0.156</v>
      </c>
      <c r="L421" s="182">
        <v>0</v>
      </c>
    </row>
    <row r="422" spans="2:12" x14ac:dyDescent="0.25">
      <c r="B422" s="177" t="s">
        <v>296</v>
      </c>
      <c r="C422" s="178" t="s">
        <v>845</v>
      </c>
      <c r="D422" s="179" t="s">
        <v>436</v>
      </c>
      <c r="E422" s="183">
        <v>1507</v>
      </c>
      <c r="F422" s="181">
        <v>0</v>
      </c>
      <c r="G422" s="182">
        <v>0</v>
      </c>
      <c r="H422" s="169"/>
      <c r="I422" s="177" t="str">
        <f t="shared" si="6"/>
        <v>WarehouseSyracuseElectric Heat Only</v>
      </c>
      <c r="J422" s="183">
        <v>1507</v>
      </c>
      <c r="K422" s="181">
        <v>0</v>
      </c>
      <c r="L422" s="182">
        <v>0</v>
      </c>
    </row>
    <row r="423" spans="2:12" ht="15.75" thickBot="1" x14ac:dyDescent="0.3">
      <c r="B423" s="184" t="s">
        <v>296</v>
      </c>
      <c r="C423" s="185" t="s">
        <v>845</v>
      </c>
      <c r="D423" s="186" t="s">
        <v>437</v>
      </c>
      <c r="E423" s="187">
        <v>0</v>
      </c>
      <c r="F423" s="188">
        <v>0</v>
      </c>
      <c r="G423" s="189">
        <v>66.900000000000006</v>
      </c>
      <c r="H423" s="169"/>
      <c r="I423" s="184" t="str">
        <f t="shared" si="6"/>
        <v>WarehouseSyracuseFuel Heat Only</v>
      </c>
      <c r="J423" s="187">
        <v>0</v>
      </c>
      <c r="K423" s="188">
        <v>0</v>
      </c>
      <c r="L423" s="189">
        <v>66.900000000000006</v>
      </c>
    </row>
  </sheetData>
  <sheetProtection algorithmName="SHA-512" hashValue="KMeNif378ankT08b+BcozBeeKeLjrzXqJzAurxgLzw9cbMtN0nF8E3XaLljQkUYycXjdIL15YPoo52efhWGbGg==" saltValue="FxNE/9UeX3KL7cQTCOOIng==" spinCount="100000" sheet="1" objects="1" scenarios="1"/>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C4C26-1A66-4053-8EE1-661193936B35}">
  <sheetPr>
    <tabColor theme="5"/>
  </sheetPr>
  <dimension ref="B1:P81"/>
  <sheetViews>
    <sheetView zoomScaleNormal="100" workbookViewId="0">
      <selection activeCell="P16" sqref="A16:P16"/>
    </sheetView>
  </sheetViews>
  <sheetFormatPr defaultColWidth="9.140625" defaultRowHeight="15" x14ac:dyDescent="0.25"/>
  <cols>
    <col min="1" max="1" width="3.85546875" style="1" customWidth="1"/>
    <col min="2" max="2" width="26.42578125" style="1" customWidth="1"/>
    <col min="3" max="3" width="13" style="63" customWidth="1"/>
    <col min="4" max="4" width="30.85546875" style="1" bestFit="1" customWidth="1"/>
    <col min="5" max="11" width="16.28515625" style="1" customWidth="1"/>
    <col min="12" max="12" width="9.5703125" style="1" bestFit="1" customWidth="1"/>
    <col min="13" max="13" width="13.7109375" style="1" bestFit="1" customWidth="1"/>
    <col min="14" max="14" width="18.7109375" style="1" bestFit="1" customWidth="1"/>
    <col min="15" max="15" width="21.5703125" style="1" bestFit="1" customWidth="1"/>
    <col min="16" max="16" width="30.85546875" style="1" bestFit="1" customWidth="1"/>
    <col min="17" max="16384" width="9.140625" style="1"/>
  </cols>
  <sheetData>
    <row r="1" spans="2:16" s="100" customFormat="1" x14ac:dyDescent="0.25">
      <c r="B1" s="297" t="s">
        <v>848</v>
      </c>
      <c r="C1" s="315"/>
      <c r="D1" s="168"/>
      <c r="E1" s="168"/>
      <c r="F1" s="168"/>
      <c r="G1" s="168"/>
      <c r="H1" s="168"/>
      <c r="I1" s="168"/>
      <c r="K1" s="170"/>
      <c r="L1" s="170"/>
      <c r="M1" s="170"/>
      <c r="N1" s="170"/>
    </row>
    <row r="3" spans="2:16" x14ac:dyDescent="0.25">
      <c r="B3" s="71" t="s">
        <v>849</v>
      </c>
      <c r="C3" s="72" t="s">
        <v>426</v>
      </c>
      <c r="D3" s="291" t="s">
        <v>250</v>
      </c>
      <c r="E3" s="292" t="s">
        <v>211</v>
      </c>
      <c r="F3" s="292" t="s">
        <v>212</v>
      </c>
      <c r="G3" s="292" t="s">
        <v>213</v>
      </c>
      <c r="H3" s="292" t="s">
        <v>214</v>
      </c>
      <c r="I3" s="292" t="s">
        <v>216</v>
      </c>
      <c r="J3" s="292" t="s">
        <v>218</v>
      </c>
      <c r="K3" s="292" t="s">
        <v>219</v>
      </c>
    </row>
    <row r="4" spans="2:16" x14ac:dyDescent="0.25">
      <c r="B4" s="75" t="s">
        <v>850</v>
      </c>
      <c r="C4" s="76" t="s">
        <v>500</v>
      </c>
      <c r="D4" s="280" t="s">
        <v>257</v>
      </c>
      <c r="E4" s="286">
        <v>917</v>
      </c>
      <c r="F4" s="287">
        <v>1012</v>
      </c>
      <c r="G4" s="286">
        <v>959</v>
      </c>
      <c r="H4" s="286">
        <v>1141</v>
      </c>
      <c r="I4" s="286">
        <v>588</v>
      </c>
      <c r="J4" s="286">
        <v>783</v>
      </c>
      <c r="K4" s="286">
        <v>893</v>
      </c>
    </row>
    <row r="5" spans="2:16" x14ac:dyDescent="0.25">
      <c r="B5" s="75" t="s">
        <v>850</v>
      </c>
      <c r="C5" s="76" t="s">
        <v>500</v>
      </c>
      <c r="D5" s="280" t="s">
        <v>814</v>
      </c>
      <c r="E5" s="287">
        <v>3171</v>
      </c>
      <c r="F5" s="287">
        <v>3476</v>
      </c>
      <c r="G5" s="287">
        <v>3228</v>
      </c>
      <c r="H5" s="287">
        <v>3595</v>
      </c>
      <c r="I5" s="287">
        <v>1863</v>
      </c>
      <c r="J5" s="287">
        <v>2646</v>
      </c>
      <c r="K5" s="287">
        <v>3234</v>
      </c>
      <c r="M5" s="1" t="s">
        <v>209</v>
      </c>
      <c r="N5" s="1" t="s">
        <v>849</v>
      </c>
      <c r="O5" s="1" t="s">
        <v>250</v>
      </c>
      <c r="P5" s="1" t="s">
        <v>250</v>
      </c>
    </row>
    <row r="6" spans="2:16" x14ac:dyDescent="0.25">
      <c r="B6" s="75" t="s">
        <v>850</v>
      </c>
      <c r="C6" s="76" t="s">
        <v>500</v>
      </c>
      <c r="D6" s="280" t="s">
        <v>816</v>
      </c>
      <c r="E6" s="286">
        <v>528</v>
      </c>
      <c r="F6" s="286">
        <v>512</v>
      </c>
      <c r="G6" s="286">
        <v>540</v>
      </c>
      <c r="H6" s="286">
        <v>611</v>
      </c>
      <c r="I6" s="286">
        <v>186</v>
      </c>
      <c r="J6" s="286">
        <v>374</v>
      </c>
      <c r="K6" s="286">
        <v>516</v>
      </c>
      <c r="M6" s="1" t="s">
        <v>211</v>
      </c>
      <c r="N6" s="1" t="s">
        <v>850</v>
      </c>
      <c r="O6" s="1" t="s">
        <v>257</v>
      </c>
      <c r="P6" s="1" t="s">
        <v>851</v>
      </c>
    </row>
    <row r="7" spans="2:16" x14ac:dyDescent="0.25">
      <c r="B7" s="75" t="s">
        <v>850</v>
      </c>
      <c r="C7" s="76" t="s">
        <v>500</v>
      </c>
      <c r="D7" s="280" t="s">
        <v>503</v>
      </c>
      <c r="E7" s="287">
        <v>1360</v>
      </c>
      <c r="F7" s="287">
        <v>1535</v>
      </c>
      <c r="G7" s="287">
        <v>1445</v>
      </c>
      <c r="H7" s="287">
        <v>1665</v>
      </c>
      <c r="I7" s="286">
        <v>793</v>
      </c>
      <c r="J7" s="287">
        <v>1122</v>
      </c>
      <c r="K7" s="287">
        <v>1336</v>
      </c>
      <c r="M7" s="1" t="s">
        <v>212</v>
      </c>
      <c r="N7" s="1" t="s">
        <v>852</v>
      </c>
      <c r="O7" s="1" t="s">
        <v>814</v>
      </c>
      <c r="P7" s="1" t="s">
        <v>853</v>
      </c>
    </row>
    <row r="8" spans="2:16" x14ac:dyDescent="0.25">
      <c r="B8" s="75" t="s">
        <v>850</v>
      </c>
      <c r="C8" s="76" t="s">
        <v>500</v>
      </c>
      <c r="D8" s="280" t="s">
        <v>507</v>
      </c>
      <c r="E8" s="287">
        <v>1433</v>
      </c>
      <c r="F8" s="287">
        <v>1612</v>
      </c>
      <c r="G8" s="287">
        <v>1519</v>
      </c>
      <c r="H8" s="287">
        <v>1720</v>
      </c>
      <c r="I8" s="286">
        <v>801</v>
      </c>
      <c r="J8" s="287">
        <v>1164</v>
      </c>
      <c r="K8" s="287">
        <v>1403</v>
      </c>
      <c r="M8" s="1" t="s">
        <v>213</v>
      </c>
      <c r="O8" s="1" t="s">
        <v>816</v>
      </c>
      <c r="P8" s="1" t="s">
        <v>854</v>
      </c>
    </row>
    <row r="9" spans="2:16" x14ac:dyDescent="0.25">
      <c r="B9" s="75" t="s">
        <v>850</v>
      </c>
      <c r="C9" s="76" t="s">
        <v>500</v>
      </c>
      <c r="D9" s="280" t="s">
        <v>273</v>
      </c>
      <c r="E9" s="286">
        <v>528</v>
      </c>
      <c r="F9" s="286">
        <v>512</v>
      </c>
      <c r="G9" s="286">
        <v>540</v>
      </c>
      <c r="H9" s="286">
        <v>611</v>
      </c>
      <c r="I9" s="286">
        <v>186</v>
      </c>
      <c r="J9" s="286">
        <v>374</v>
      </c>
      <c r="K9" s="286">
        <v>516</v>
      </c>
      <c r="M9" s="1" t="s">
        <v>214</v>
      </c>
      <c r="O9" s="1" t="s">
        <v>503</v>
      </c>
      <c r="P9" s="1" t="s">
        <v>855</v>
      </c>
    </row>
    <row r="10" spans="2:16" x14ac:dyDescent="0.25">
      <c r="B10" s="75" t="s">
        <v>850</v>
      </c>
      <c r="C10" s="76" t="s">
        <v>500</v>
      </c>
      <c r="D10" s="280" t="s">
        <v>831</v>
      </c>
      <c r="E10" s="287">
        <v>1219</v>
      </c>
      <c r="F10" s="287">
        <v>1328</v>
      </c>
      <c r="G10" s="287">
        <v>1151</v>
      </c>
      <c r="H10" s="287">
        <v>1267</v>
      </c>
      <c r="I10" s="286">
        <v>696</v>
      </c>
      <c r="J10" s="286">
        <v>997</v>
      </c>
      <c r="K10" s="286">
        <v>1187</v>
      </c>
      <c r="M10" s="1" t="s">
        <v>216</v>
      </c>
      <c r="O10" s="1" t="s">
        <v>507</v>
      </c>
      <c r="P10" s="1" t="s">
        <v>856</v>
      </c>
    </row>
    <row r="11" spans="2:16" x14ac:dyDescent="0.25">
      <c r="B11" s="75" t="s">
        <v>850</v>
      </c>
      <c r="C11" s="76" t="s">
        <v>500</v>
      </c>
      <c r="D11" s="280" t="s">
        <v>279</v>
      </c>
      <c r="E11" s="286">
        <v>989</v>
      </c>
      <c r="F11" s="286">
        <v>792</v>
      </c>
      <c r="G11" s="286">
        <v>765</v>
      </c>
      <c r="H11" s="286">
        <v>820</v>
      </c>
      <c r="I11" s="286">
        <v>604</v>
      </c>
      <c r="J11" s="286">
        <v>604</v>
      </c>
      <c r="K11" s="286">
        <v>769</v>
      </c>
      <c r="M11" s="1" t="s">
        <v>218</v>
      </c>
      <c r="O11" s="1" t="s">
        <v>273</v>
      </c>
      <c r="P11" s="1" t="s">
        <v>857</v>
      </c>
    </row>
    <row r="12" spans="2:16" x14ac:dyDescent="0.25">
      <c r="B12" s="75" t="s">
        <v>850</v>
      </c>
      <c r="C12" s="76" t="s">
        <v>500</v>
      </c>
      <c r="D12" s="280" t="s">
        <v>846</v>
      </c>
      <c r="E12" s="287">
        <v>1240</v>
      </c>
      <c r="F12" s="287">
        <v>1298</v>
      </c>
      <c r="G12" s="287">
        <v>1315</v>
      </c>
      <c r="H12" s="287">
        <v>1292</v>
      </c>
      <c r="I12" s="286">
        <v>819</v>
      </c>
      <c r="J12" s="287">
        <v>1071</v>
      </c>
      <c r="K12" s="287">
        <v>1222</v>
      </c>
      <c r="M12" s="1" t="s">
        <v>219</v>
      </c>
      <c r="O12" s="1" t="s">
        <v>831</v>
      </c>
      <c r="P12" s="1" t="s">
        <v>858</v>
      </c>
    </row>
    <row r="13" spans="2:16" x14ac:dyDescent="0.25">
      <c r="B13" s="75" t="s">
        <v>850</v>
      </c>
      <c r="C13" s="76" t="s">
        <v>500</v>
      </c>
      <c r="D13" s="280" t="s">
        <v>847</v>
      </c>
      <c r="E13" s="286">
        <v>910</v>
      </c>
      <c r="F13" s="287">
        <v>1012</v>
      </c>
      <c r="G13" s="286">
        <v>948</v>
      </c>
      <c r="H13" s="286">
        <v>1000</v>
      </c>
      <c r="I13" s="286">
        <v>704</v>
      </c>
      <c r="J13" s="286">
        <v>803</v>
      </c>
      <c r="K13" s="286">
        <v>951</v>
      </c>
      <c r="O13" s="1" t="s">
        <v>279</v>
      </c>
      <c r="P13" s="1" t="s">
        <v>859</v>
      </c>
    </row>
    <row r="14" spans="2:16" x14ac:dyDescent="0.25">
      <c r="B14" s="75" t="s">
        <v>850</v>
      </c>
      <c r="C14" s="76" t="s">
        <v>500</v>
      </c>
      <c r="D14" s="280" t="s">
        <v>833</v>
      </c>
      <c r="E14" s="286">
        <v>712</v>
      </c>
      <c r="F14" s="286">
        <v>798</v>
      </c>
      <c r="G14" s="286">
        <v>737</v>
      </c>
      <c r="H14" s="286">
        <v>848</v>
      </c>
      <c r="I14" s="286">
        <v>420</v>
      </c>
      <c r="J14" s="286">
        <v>590</v>
      </c>
      <c r="K14" s="286">
        <v>742</v>
      </c>
      <c r="O14" s="1" t="s">
        <v>846</v>
      </c>
      <c r="P14" s="1" t="s">
        <v>860</v>
      </c>
    </row>
    <row r="15" spans="2:16" x14ac:dyDescent="0.25">
      <c r="B15" s="75" t="s">
        <v>850</v>
      </c>
      <c r="C15" s="76" t="s">
        <v>500</v>
      </c>
      <c r="D15" s="280" t="s">
        <v>509</v>
      </c>
      <c r="E15" s="286">
        <v>938</v>
      </c>
      <c r="F15" s="287">
        <v>1012</v>
      </c>
      <c r="G15" s="286">
        <v>989</v>
      </c>
      <c r="H15" s="286">
        <v>1117</v>
      </c>
      <c r="I15" s="286">
        <v>531</v>
      </c>
      <c r="J15" s="286">
        <v>766</v>
      </c>
      <c r="K15" s="286">
        <v>958</v>
      </c>
      <c r="O15" s="1" t="s">
        <v>847</v>
      </c>
      <c r="P15" s="1" t="s">
        <v>861</v>
      </c>
    </row>
    <row r="16" spans="2:16" x14ac:dyDescent="0.25">
      <c r="B16" s="75" t="s">
        <v>850</v>
      </c>
      <c r="C16" s="76" t="s">
        <v>500</v>
      </c>
      <c r="D16" s="280" t="s">
        <v>296</v>
      </c>
      <c r="E16" s="286">
        <v>874</v>
      </c>
      <c r="F16" s="287">
        <v>1029</v>
      </c>
      <c r="G16" s="286">
        <v>911</v>
      </c>
      <c r="H16" s="286">
        <v>1078</v>
      </c>
      <c r="I16" s="286">
        <v>441</v>
      </c>
      <c r="J16" s="286">
        <v>643</v>
      </c>
      <c r="K16" s="286">
        <v>878</v>
      </c>
      <c r="O16" s="1" t="s">
        <v>833</v>
      </c>
      <c r="P16" s="1" t="s">
        <v>862</v>
      </c>
    </row>
    <row r="17" spans="2:16" x14ac:dyDescent="0.25">
      <c r="B17" s="75" t="s">
        <v>850</v>
      </c>
      <c r="C17" s="76" t="s">
        <v>500</v>
      </c>
      <c r="D17" s="280" t="s">
        <v>298</v>
      </c>
      <c r="E17" s="287">
        <v>1140</v>
      </c>
      <c r="F17" s="287">
        <v>1163</v>
      </c>
      <c r="G17" s="287">
        <v>1157</v>
      </c>
      <c r="H17" s="287">
        <v>1290</v>
      </c>
      <c r="I17" s="286">
        <v>664</v>
      </c>
      <c r="J17" s="286">
        <v>918</v>
      </c>
      <c r="K17" s="286">
        <v>1123</v>
      </c>
      <c r="O17" s="1" t="s">
        <v>509</v>
      </c>
      <c r="P17" s="1" t="s">
        <v>863</v>
      </c>
    </row>
    <row r="18" spans="2:16" x14ac:dyDescent="0.25">
      <c r="D18" s="65"/>
      <c r="E18" s="65"/>
      <c r="F18" s="65"/>
      <c r="G18" s="65"/>
      <c r="H18" s="65"/>
      <c r="I18" s="65"/>
      <c r="J18" s="65"/>
      <c r="K18" s="65"/>
      <c r="O18" s="1" t="s">
        <v>296</v>
      </c>
      <c r="P18" s="1" t="s">
        <v>864</v>
      </c>
    </row>
    <row r="19" spans="2:16" x14ac:dyDescent="0.25">
      <c r="B19" s="71" t="s">
        <v>849</v>
      </c>
      <c r="C19" s="72" t="s">
        <v>426</v>
      </c>
      <c r="D19" s="291" t="s">
        <v>250</v>
      </c>
      <c r="E19" s="292" t="s">
        <v>211</v>
      </c>
      <c r="F19" s="292" t="s">
        <v>212</v>
      </c>
      <c r="G19" s="292" t="s">
        <v>213</v>
      </c>
      <c r="H19" s="292" t="s">
        <v>214</v>
      </c>
      <c r="I19" s="292" t="s">
        <v>216</v>
      </c>
      <c r="J19" s="292" t="s">
        <v>218</v>
      </c>
      <c r="K19" s="292" t="s">
        <v>219</v>
      </c>
      <c r="O19" s="1" t="s">
        <v>298</v>
      </c>
      <c r="P19" s="1" t="s">
        <v>865</v>
      </c>
    </row>
    <row r="20" spans="2:16" x14ac:dyDescent="0.25">
      <c r="B20" s="75" t="s">
        <v>850</v>
      </c>
      <c r="C20" s="76" t="s">
        <v>504</v>
      </c>
      <c r="D20" s="280" t="s">
        <v>257</v>
      </c>
      <c r="E20" s="286">
        <v>552</v>
      </c>
      <c r="F20" s="287">
        <v>445</v>
      </c>
      <c r="G20" s="286">
        <v>604</v>
      </c>
      <c r="H20" s="286">
        <v>453</v>
      </c>
      <c r="I20" s="286">
        <v>621</v>
      </c>
      <c r="J20" s="286">
        <v>701</v>
      </c>
      <c r="K20" s="286">
        <v>563</v>
      </c>
      <c r="P20" s="1" t="s">
        <v>866</v>
      </c>
    </row>
    <row r="21" spans="2:16" x14ac:dyDescent="0.25">
      <c r="B21" s="75" t="s">
        <v>850</v>
      </c>
      <c r="C21" s="76" t="s">
        <v>504</v>
      </c>
      <c r="D21" s="280" t="s">
        <v>814</v>
      </c>
      <c r="E21" s="287">
        <v>314</v>
      </c>
      <c r="F21" s="287">
        <v>249</v>
      </c>
      <c r="G21" s="287">
        <v>321</v>
      </c>
      <c r="H21" s="287">
        <v>243</v>
      </c>
      <c r="I21" s="287">
        <v>395</v>
      </c>
      <c r="J21" s="287">
        <v>369</v>
      </c>
      <c r="K21" s="287">
        <v>331</v>
      </c>
      <c r="P21" s="1" t="s">
        <v>867</v>
      </c>
    </row>
    <row r="22" spans="2:16" x14ac:dyDescent="0.25">
      <c r="B22" s="75" t="s">
        <v>850</v>
      </c>
      <c r="C22" s="76" t="s">
        <v>504</v>
      </c>
      <c r="D22" s="280" t="s">
        <v>816</v>
      </c>
      <c r="E22" s="286">
        <v>888</v>
      </c>
      <c r="F22" s="286">
        <v>776</v>
      </c>
      <c r="G22" s="286">
        <v>1004</v>
      </c>
      <c r="H22" s="286">
        <v>751</v>
      </c>
      <c r="I22" s="286">
        <v>1187</v>
      </c>
      <c r="J22" s="286">
        <v>1251</v>
      </c>
      <c r="K22" s="286">
        <v>924</v>
      </c>
      <c r="P22" s="1" t="s">
        <v>868</v>
      </c>
    </row>
    <row r="23" spans="2:16" x14ac:dyDescent="0.25">
      <c r="B23" s="75" t="s">
        <v>850</v>
      </c>
      <c r="C23" s="76" t="s">
        <v>504</v>
      </c>
      <c r="D23" s="280" t="s">
        <v>503</v>
      </c>
      <c r="E23" s="287">
        <v>591</v>
      </c>
      <c r="F23" s="287">
        <v>512</v>
      </c>
      <c r="G23" s="287">
        <v>631</v>
      </c>
      <c r="H23" s="287">
        <v>476</v>
      </c>
      <c r="I23" s="286">
        <v>598</v>
      </c>
      <c r="J23" s="287">
        <v>707</v>
      </c>
      <c r="K23" s="287">
        <v>605</v>
      </c>
      <c r="P23" s="1" t="s">
        <v>869</v>
      </c>
    </row>
    <row r="24" spans="2:16" x14ac:dyDescent="0.25">
      <c r="B24" s="75" t="s">
        <v>850</v>
      </c>
      <c r="C24" s="76" t="s">
        <v>504</v>
      </c>
      <c r="D24" s="280" t="s">
        <v>507</v>
      </c>
      <c r="E24" s="287">
        <v>504</v>
      </c>
      <c r="F24" s="287">
        <v>525</v>
      </c>
      <c r="G24" s="287">
        <v>559</v>
      </c>
      <c r="H24" s="287">
        <v>425</v>
      </c>
      <c r="I24" s="286">
        <v>533</v>
      </c>
      <c r="J24" s="287">
        <v>618</v>
      </c>
      <c r="K24" s="287">
        <v>518</v>
      </c>
      <c r="P24" s="1" t="s">
        <v>870</v>
      </c>
    </row>
    <row r="25" spans="2:16" x14ac:dyDescent="0.25">
      <c r="B25" s="75" t="s">
        <v>850</v>
      </c>
      <c r="C25" s="76" t="s">
        <v>504</v>
      </c>
      <c r="D25" s="280" t="s">
        <v>273</v>
      </c>
      <c r="E25" s="286">
        <v>888</v>
      </c>
      <c r="F25" s="286">
        <v>776</v>
      </c>
      <c r="G25" s="286">
        <v>1004</v>
      </c>
      <c r="H25" s="286">
        <v>751</v>
      </c>
      <c r="I25" s="286">
        <v>1187</v>
      </c>
      <c r="J25" s="286">
        <v>1251</v>
      </c>
      <c r="K25" s="286">
        <v>924</v>
      </c>
      <c r="P25" s="1" t="s">
        <v>871</v>
      </c>
    </row>
    <row r="26" spans="2:16" x14ac:dyDescent="0.25">
      <c r="B26" s="75" t="s">
        <v>850</v>
      </c>
      <c r="C26" s="76" t="s">
        <v>504</v>
      </c>
      <c r="D26" s="280" t="s">
        <v>831</v>
      </c>
      <c r="E26" s="287">
        <v>462</v>
      </c>
      <c r="F26" s="287">
        <v>444</v>
      </c>
      <c r="G26" s="287">
        <v>514</v>
      </c>
      <c r="H26" s="287">
        <v>404</v>
      </c>
      <c r="I26" s="286">
        <v>509</v>
      </c>
      <c r="J26" s="286">
        <v>580</v>
      </c>
      <c r="K26" s="286">
        <v>477</v>
      </c>
      <c r="P26" s="1" t="s">
        <v>872</v>
      </c>
    </row>
    <row r="27" spans="2:16" x14ac:dyDescent="0.25">
      <c r="B27" s="75" t="s">
        <v>850</v>
      </c>
      <c r="C27" s="76" t="s">
        <v>504</v>
      </c>
      <c r="D27" s="280" t="s">
        <v>279</v>
      </c>
      <c r="E27" s="286">
        <v>847</v>
      </c>
      <c r="F27" s="286">
        <v>980</v>
      </c>
      <c r="G27" s="286">
        <v>1318</v>
      </c>
      <c r="H27" s="286">
        <v>1088</v>
      </c>
      <c r="I27" s="286">
        <v>1144</v>
      </c>
      <c r="J27" s="286">
        <v>1397</v>
      </c>
      <c r="K27" s="286">
        <v>1192</v>
      </c>
      <c r="P27" s="1" t="s">
        <v>873</v>
      </c>
    </row>
    <row r="28" spans="2:16" x14ac:dyDescent="0.25">
      <c r="B28" s="75" t="s">
        <v>850</v>
      </c>
      <c r="C28" s="76" t="s">
        <v>504</v>
      </c>
      <c r="D28" s="280" t="s">
        <v>846</v>
      </c>
      <c r="E28" s="287">
        <v>343</v>
      </c>
      <c r="F28" s="287">
        <v>270</v>
      </c>
      <c r="G28" s="287">
        <v>297</v>
      </c>
      <c r="H28" s="287">
        <v>281</v>
      </c>
      <c r="I28" s="286">
        <v>366</v>
      </c>
      <c r="J28" s="287">
        <v>423</v>
      </c>
      <c r="K28" s="287">
        <v>305</v>
      </c>
    </row>
    <row r="29" spans="2:16" x14ac:dyDescent="0.25">
      <c r="B29" s="75" t="s">
        <v>850</v>
      </c>
      <c r="C29" s="76" t="s">
        <v>504</v>
      </c>
      <c r="D29" s="280" t="s">
        <v>847</v>
      </c>
      <c r="E29" s="286">
        <v>262</v>
      </c>
      <c r="F29" s="287">
        <v>206</v>
      </c>
      <c r="G29" s="286">
        <v>231</v>
      </c>
      <c r="H29" s="286">
        <v>223</v>
      </c>
      <c r="I29" s="286">
        <v>259</v>
      </c>
      <c r="J29" s="286">
        <v>281</v>
      </c>
      <c r="K29" s="286">
        <v>274</v>
      </c>
    </row>
    <row r="30" spans="2:16" x14ac:dyDescent="0.25">
      <c r="B30" s="75" t="s">
        <v>850</v>
      </c>
      <c r="C30" s="76" t="s">
        <v>504</v>
      </c>
      <c r="D30" s="280" t="s">
        <v>833</v>
      </c>
      <c r="E30" s="286">
        <v>856</v>
      </c>
      <c r="F30" s="286">
        <v>729</v>
      </c>
      <c r="G30" s="286">
        <v>906</v>
      </c>
      <c r="H30" s="286">
        <v>732</v>
      </c>
      <c r="I30" s="286">
        <v>886</v>
      </c>
      <c r="J30" s="286">
        <v>1037</v>
      </c>
      <c r="K30" s="286">
        <v>854</v>
      </c>
    </row>
    <row r="31" spans="2:16" x14ac:dyDescent="0.25">
      <c r="B31" s="75" t="s">
        <v>850</v>
      </c>
      <c r="C31" s="76" t="s">
        <v>504</v>
      </c>
      <c r="D31" s="280" t="s">
        <v>509</v>
      </c>
      <c r="E31" s="286">
        <v>741</v>
      </c>
      <c r="F31" s="287">
        <v>658</v>
      </c>
      <c r="G31" s="286">
        <v>810</v>
      </c>
      <c r="H31" s="286">
        <v>654</v>
      </c>
      <c r="I31" s="286">
        <v>818</v>
      </c>
      <c r="J31" s="286">
        <v>931</v>
      </c>
      <c r="K31" s="286">
        <v>754</v>
      </c>
    </row>
    <row r="32" spans="2:16" x14ac:dyDescent="0.25">
      <c r="B32" s="75" t="s">
        <v>850</v>
      </c>
      <c r="C32" s="76" t="s">
        <v>504</v>
      </c>
      <c r="D32" s="280" t="s">
        <v>296</v>
      </c>
      <c r="E32" s="286">
        <v>270</v>
      </c>
      <c r="F32" s="287">
        <v>198</v>
      </c>
      <c r="G32" s="286">
        <v>258</v>
      </c>
      <c r="H32" s="286">
        <v>249</v>
      </c>
      <c r="I32" s="286">
        <v>371</v>
      </c>
      <c r="J32" s="286">
        <v>347</v>
      </c>
      <c r="K32" s="286">
        <v>270</v>
      </c>
    </row>
    <row r="33" spans="2:11" x14ac:dyDescent="0.25">
      <c r="B33" s="75" t="s">
        <v>850</v>
      </c>
      <c r="C33" s="76" t="s">
        <v>504</v>
      </c>
      <c r="D33" s="280" t="s">
        <v>298</v>
      </c>
      <c r="E33" s="287">
        <v>578</v>
      </c>
      <c r="F33" s="287">
        <v>584</v>
      </c>
      <c r="G33" s="287">
        <v>650</v>
      </c>
      <c r="H33" s="287">
        <v>517</v>
      </c>
      <c r="I33" s="286">
        <v>683</v>
      </c>
      <c r="J33" s="286">
        <v>761</v>
      </c>
      <c r="K33" s="286">
        <v>615</v>
      </c>
    </row>
    <row r="35" spans="2:11" x14ac:dyDescent="0.25">
      <c r="B35" s="71" t="s">
        <v>849</v>
      </c>
      <c r="C35" s="72" t="s">
        <v>426</v>
      </c>
      <c r="D35" s="288" t="s">
        <v>250</v>
      </c>
      <c r="E35" s="289" t="s">
        <v>211</v>
      </c>
      <c r="F35" s="289" t="s">
        <v>212</v>
      </c>
      <c r="G35" s="289" t="s">
        <v>213</v>
      </c>
      <c r="H35" s="289" t="s">
        <v>214</v>
      </c>
      <c r="I35" s="289" t="s">
        <v>216</v>
      </c>
      <c r="J35" s="289" t="s">
        <v>218</v>
      </c>
      <c r="K35" s="290" t="s">
        <v>219</v>
      </c>
    </row>
    <row r="36" spans="2:11" x14ac:dyDescent="0.25">
      <c r="B36" s="75" t="s">
        <v>852</v>
      </c>
      <c r="C36" s="142" t="s">
        <v>500</v>
      </c>
      <c r="D36" s="277" t="s">
        <v>851</v>
      </c>
      <c r="E36" s="278">
        <v>1060</v>
      </c>
      <c r="F36" s="270">
        <v>1078</v>
      </c>
      <c r="G36" s="270">
        <v>1015</v>
      </c>
      <c r="H36" s="270">
        <v>1282</v>
      </c>
      <c r="I36" s="270">
        <v>1396</v>
      </c>
      <c r="J36" s="270">
        <v>1173</v>
      </c>
      <c r="K36" s="279">
        <v>1245</v>
      </c>
    </row>
    <row r="37" spans="2:11" x14ac:dyDescent="0.25">
      <c r="B37" s="75" t="s">
        <v>852</v>
      </c>
      <c r="C37" s="142" t="s">
        <v>500</v>
      </c>
      <c r="D37" s="280" t="s">
        <v>853</v>
      </c>
      <c r="E37" s="281">
        <v>1003</v>
      </c>
      <c r="F37" s="272">
        <v>1048</v>
      </c>
      <c r="G37" s="269">
        <v>975</v>
      </c>
      <c r="H37" s="272">
        <v>1160</v>
      </c>
      <c r="I37" s="272">
        <v>1237</v>
      </c>
      <c r="J37" s="272">
        <v>1051</v>
      </c>
      <c r="K37" s="273">
        <v>1164</v>
      </c>
    </row>
    <row r="38" spans="2:11" x14ac:dyDescent="0.25">
      <c r="B38" s="75" t="s">
        <v>852</v>
      </c>
      <c r="C38" s="142" t="s">
        <v>500</v>
      </c>
      <c r="D38" s="280" t="s">
        <v>854</v>
      </c>
      <c r="E38" s="282">
        <v>579</v>
      </c>
      <c r="F38" s="272">
        <v>1168</v>
      </c>
      <c r="G38" s="272">
        <v>1008</v>
      </c>
      <c r="H38" s="269">
        <v>597</v>
      </c>
      <c r="I38" s="269">
        <v>423</v>
      </c>
      <c r="J38" s="269">
        <v>390</v>
      </c>
      <c r="K38" s="271">
        <v>548</v>
      </c>
    </row>
    <row r="39" spans="2:11" x14ac:dyDescent="0.25">
      <c r="B39" s="75" t="s">
        <v>852</v>
      </c>
      <c r="C39" s="142" t="s">
        <v>500</v>
      </c>
      <c r="D39" s="283" t="s">
        <v>855</v>
      </c>
      <c r="E39" s="282">
        <v>567</v>
      </c>
      <c r="F39" s="269">
        <v>682</v>
      </c>
      <c r="G39" s="269">
        <v>730</v>
      </c>
      <c r="H39" s="269">
        <v>677</v>
      </c>
      <c r="I39" s="269">
        <v>453</v>
      </c>
      <c r="J39" s="269">
        <v>508</v>
      </c>
      <c r="K39" s="271">
        <v>665</v>
      </c>
    </row>
    <row r="40" spans="2:11" x14ac:dyDescent="0.25">
      <c r="B40" s="75" t="s">
        <v>852</v>
      </c>
      <c r="C40" s="142" t="s">
        <v>500</v>
      </c>
      <c r="D40" s="280" t="s">
        <v>856</v>
      </c>
      <c r="E40" s="282">
        <v>740</v>
      </c>
      <c r="F40" s="269">
        <v>787</v>
      </c>
      <c r="G40" s="269">
        <v>783</v>
      </c>
      <c r="H40" s="269">
        <v>810</v>
      </c>
      <c r="I40" s="269">
        <v>879</v>
      </c>
      <c r="J40" s="269">
        <v>899</v>
      </c>
      <c r="K40" s="271">
        <v>949</v>
      </c>
    </row>
    <row r="41" spans="2:11" x14ac:dyDescent="0.25">
      <c r="B41" s="75" t="s">
        <v>852</v>
      </c>
      <c r="C41" s="142" t="s">
        <v>500</v>
      </c>
      <c r="D41" s="280" t="s">
        <v>857</v>
      </c>
      <c r="E41" s="282">
        <v>669</v>
      </c>
      <c r="F41" s="269">
        <v>729</v>
      </c>
      <c r="G41" s="269">
        <v>718</v>
      </c>
      <c r="H41" s="269">
        <v>748</v>
      </c>
      <c r="I41" s="269">
        <v>819</v>
      </c>
      <c r="J41" s="269">
        <v>830</v>
      </c>
      <c r="K41" s="271">
        <v>892</v>
      </c>
    </row>
    <row r="42" spans="2:11" x14ac:dyDescent="0.25">
      <c r="B42" s="75" t="s">
        <v>852</v>
      </c>
      <c r="C42" s="142" t="s">
        <v>500</v>
      </c>
      <c r="D42" s="280" t="s">
        <v>858</v>
      </c>
      <c r="E42" s="282">
        <v>311</v>
      </c>
      <c r="F42" s="269">
        <v>302</v>
      </c>
      <c r="G42" s="269">
        <v>372</v>
      </c>
      <c r="H42" s="269">
        <v>376</v>
      </c>
      <c r="I42" s="269">
        <v>261</v>
      </c>
      <c r="J42" s="269">
        <v>303</v>
      </c>
      <c r="K42" s="271">
        <v>391</v>
      </c>
    </row>
    <row r="43" spans="2:11" x14ac:dyDescent="0.25">
      <c r="B43" s="75" t="s">
        <v>852</v>
      </c>
      <c r="C43" s="142" t="s">
        <v>500</v>
      </c>
      <c r="D43" s="280" t="s">
        <v>859</v>
      </c>
      <c r="E43" s="281">
        <v>2941</v>
      </c>
      <c r="F43" s="272">
        <v>2864</v>
      </c>
      <c r="G43" s="272">
        <v>2808</v>
      </c>
      <c r="H43" s="272">
        <v>2741</v>
      </c>
      <c r="I43" s="272">
        <v>3283</v>
      </c>
      <c r="J43" s="272">
        <v>2890</v>
      </c>
      <c r="K43" s="273">
        <v>3028</v>
      </c>
    </row>
    <row r="44" spans="2:11" x14ac:dyDescent="0.25">
      <c r="B44" s="75" t="s">
        <v>852</v>
      </c>
      <c r="C44" s="142" t="s">
        <v>500</v>
      </c>
      <c r="D44" s="280" t="s">
        <v>860</v>
      </c>
      <c r="E44" s="281">
        <v>2607</v>
      </c>
      <c r="F44" s="272">
        <v>2437</v>
      </c>
      <c r="G44" s="272">
        <v>2438</v>
      </c>
      <c r="H44" s="272">
        <v>2318</v>
      </c>
      <c r="I44" s="272">
        <v>3059</v>
      </c>
      <c r="J44" s="272">
        <v>2517</v>
      </c>
      <c r="K44" s="273">
        <v>2674</v>
      </c>
    </row>
    <row r="45" spans="2:11" x14ac:dyDescent="0.25">
      <c r="B45" s="75" t="s">
        <v>852</v>
      </c>
      <c r="C45" s="142" t="s">
        <v>500</v>
      </c>
      <c r="D45" s="280" t="s">
        <v>861</v>
      </c>
      <c r="E45" s="282">
        <v>728</v>
      </c>
      <c r="F45" s="269">
        <v>771</v>
      </c>
      <c r="G45" s="269">
        <v>622</v>
      </c>
      <c r="H45" s="269">
        <v>728</v>
      </c>
      <c r="I45" s="269">
        <v>289</v>
      </c>
      <c r="J45" s="269">
        <v>482</v>
      </c>
      <c r="K45" s="271">
        <v>762</v>
      </c>
    </row>
    <row r="46" spans="2:11" x14ac:dyDescent="0.25">
      <c r="B46" s="75" t="s">
        <v>852</v>
      </c>
      <c r="C46" s="142" t="s">
        <v>500</v>
      </c>
      <c r="D46" s="280" t="s">
        <v>862</v>
      </c>
      <c r="E46" s="281">
        <v>1173</v>
      </c>
      <c r="F46" s="272">
        <v>1184</v>
      </c>
      <c r="G46" s="272">
        <v>1182</v>
      </c>
      <c r="H46" s="272">
        <v>1221</v>
      </c>
      <c r="I46" s="272">
        <v>1050</v>
      </c>
      <c r="J46" s="272">
        <v>1055</v>
      </c>
      <c r="K46" s="273">
        <v>1162</v>
      </c>
    </row>
    <row r="47" spans="2:11" x14ac:dyDescent="0.25">
      <c r="B47" s="75" t="s">
        <v>852</v>
      </c>
      <c r="C47" s="142" t="s">
        <v>500</v>
      </c>
      <c r="D47" s="280" t="s">
        <v>863</v>
      </c>
      <c r="E47" s="282">
        <v>918</v>
      </c>
      <c r="F47" s="269">
        <v>912</v>
      </c>
      <c r="G47" s="269">
        <v>912</v>
      </c>
      <c r="H47" s="272">
        <v>1017</v>
      </c>
      <c r="I47" s="269">
        <v>734</v>
      </c>
      <c r="J47" s="269">
        <v>792</v>
      </c>
      <c r="K47" s="271">
        <v>909</v>
      </c>
    </row>
    <row r="48" spans="2:11" x14ac:dyDescent="0.25">
      <c r="B48" s="75" t="s">
        <v>852</v>
      </c>
      <c r="C48" s="142" t="s">
        <v>500</v>
      </c>
      <c r="D48" s="280" t="s">
        <v>864</v>
      </c>
      <c r="E48" s="282">
        <v>526</v>
      </c>
      <c r="F48" s="269">
        <v>485</v>
      </c>
      <c r="G48" s="269">
        <v>502</v>
      </c>
      <c r="H48" s="269">
        <v>651</v>
      </c>
      <c r="I48" s="269">
        <v>223</v>
      </c>
      <c r="J48" s="269">
        <v>377</v>
      </c>
      <c r="K48" s="271">
        <v>459</v>
      </c>
    </row>
    <row r="49" spans="2:11" x14ac:dyDescent="0.25">
      <c r="B49" s="75" t="s">
        <v>852</v>
      </c>
      <c r="C49" s="142" t="s">
        <v>500</v>
      </c>
      <c r="D49" s="280" t="s">
        <v>865</v>
      </c>
      <c r="E49" s="281">
        <v>2037</v>
      </c>
      <c r="F49" s="272">
        <v>2059</v>
      </c>
      <c r="G49" s="272">
        <v>1958</v>
      </c>
      <c r="H49" s="272">
        <v>2314</v>
      </c>
      <c r="I49" s="272">
        <v>1984</v>
      </c>
      <c r="J49" s="272">
        <v>2148</v>
      </c>
      <c r="K49" s="273">
        <v>2193</v>
      </c>
    </row>
    <row r="50" spans="2:11" x14ac:dyDescent="0.25">
      <c r="B50" s="75" t="s">
        <v>852</v>
      </c>
      <c r="C50" s="142" t="s">
        <v>500</v>
      </c>
      <c r="D50" s="280" t="s">
        <v>866</v>
      </c>
      <c r="E50" s="281">
        <v>2000</v>
      </c>
      <c r="F50" s="272">
        <v>1977</v>
      </c>
      <c r="G50" s="272">
        <v>1915</v>
      </c>
      <c r="H50" s="272">
        <v>2273</v>
      </c>
      <c r="I50" s="272">
        <v>2021</v>
      </c>
      <c r="J50" s="272">
        <v>2136</v>
      </c>
      <c r="K50" s="273">
        <v>2194</v>
      </c>
    </row>
    <row r="51" spans="2:11" x14ac:dyDescent="0.25">
      <c r="B51" s="75" t="s">
        <v>852</v>
      </c>
      <c r="C51" s="142" t="s">
        <v>500</v>
      </c>
      <c r="D51" s="280" t="s">
        <v>867</v>
      </c>
      <c r="E51" s="282">
        <v>462</v>
      </c>
      <c r="F51" s="269">
        <v>479</v>
      </c>
      <c r="G51" s="269">
        <v>470</v>
      </c>
      <c r="H51" s="269">
        <v>536</v>
      </c>
      <c r="I51" s="269">
        <v>284</v>
      </c>
      <c r="J51" s="269">
        <v>368</v>
      </c>
      <c r="K51" s="271">
        <v>436</v>
      </c>
    </row>
    <row r="52" spans="2:11" x14ac:dyDescent="0.25">
      <c r="B52" s="75" t="s">
        <v>852</v>
      </c>
      <c r="C52" s="142" t="s">
        <v>500</v>
      </c>
      <c r="D52" s="280" t="s">
        <v>868</v>
      </c>
      <c r="E52" s="281">
        <v>2067</v>
      </c>
      <c r="F52" s="272">
        <v>2161</v>
      </c>
      <c r="G52" s="272">
        <v>2081</v>
      </c>
      <c r="H52" s="272">
        <v>2210</v>
      </c>
      <c r="I52" s="272">
        <v>2049</v>
      </c>
      <c r="J52" s="272">
        <v>2033</v>
      </c>
      <c r="K52" s="273">
        <v>2120</v>
      </c>
    </row>
    <row r="53" spans="2:11" x14ac:dyDescent="0.25">
      <c r="B53" s="75" t="s">
        <v>852</v>
      </c>
      <c r="C53" s="142" t="s">
        <v>500</v>
      </c>
      <c r="D53" s="280" t="s">
        <v>869</v>
      </c>
      <c r="E53" s="281">
        <v>1962</v>
      </c>
      <c r="F53" s="272">
        <v>1995</v>
      </c>
      <c r="G53" s="272">
        <v>1953</v>
      </c>
      <c r="H53" s="272">
        <v>2075</v>
      </c>
      <c r="I53" s="272">
        <v>1983</v>
      </c>
      <c r="J53" s="272">
        <v>1916</v>
      </c>
      <c r="K53" s="273">
        <v>2007</v>
      </c>
    </row>
    <row r="54" spans="2:11" x14ac:dyDescent="0.25">
      <c r="B54" s="75" t="s">
        <v>852</v>
      </c>
      <c r="C54" s="142" t="s">
        <v>500</v>
      </c>
      <c r="D54" s="280" t="s">
        <v>870</v>
      </c>
      <c r="E54" s="282">
        <v>819</v>
      </c>
      <c r="F54" s="269">
        <v>739</v>
      </c>
      <c r="G54" s="269">
        <v>753</v>
      </c>
      <c r="H54" s="269">
        <v>913</v>
      </c>
      <c r="I54" s="269">
        <v>648</v>
      </c>
      <c r="J54" s="269">
        <v>633</v>
      </c>
      <c r="K54" s="271">
        <v>774</v>
      </c>
    </row>
    <row r="55" spans="2:11" x14ac:dyDescent="0.25">
      <c r="B55" s="75" t="s">
        <v>852</v>
      </c>
      <c r="C55" s="142" t="s">
        <v>500</v>
      </c>
      <c r="D55" s="280" t="s">
        <v>871</v>
      </c>
      <c r="E55" s="281">
        <v>1396</v>
      </c>
      <c r="F55" s="272">
        <v>1582</v>
      </c>
      <c r="G55" s="272">
        <v>1484</v>
      </c>
      <c r="H55" s="272">
        <v>1566</v>
      </c>
      <c r="I55" s="272">
        <v>1161</v>
      </c>
      <c r="J55" s="272">
        <v>1354</v>
      </c>
      <c r="K55" s="273">
        <v>1374</v>
      </c>
    </row>
    <row r="56" spans="2:11" x14ac:dyDescent="0.25">
      <c r="B56" s="75" t="s">
        <v>852</v>
      </c>
      <c r="C56" s="142" t="s">
        <v>500</v>
      </c>
      <c r="D56" s="280" t="s">
        <v>872</v>
      </c>
      <c r="E56" s="281">
        <v>1372</v>
      </c>
      <c r="F56" s="272">
        <v>1447</v>
      </c>
      <c r="G56" s="272">
        <v>1416</v>
      </c>
      <c r="H56" s="272">
        <v>1435</v>
      </c>
      <c r="I56" s="272">
        <v>1077</v>
      </c>
      <c r="J56" s="272">
        <v>1310</v>
      </c>
      <c r="K56" s="273">
        <v>1341</v>
      </c>
    </row>
    <row r="57" spans="2:11" x14ac:dyDescent="0.25">
      <c r="B57" s="75" t="s">
        <v>852</v>
      </c>
      <c r="C57" s="142" t="s">
        <v>500</v>
      </c>
      <c r="D57" s="280" t="s">
        <v>873</v>
      </c>
      <c r="E57" s="284">
        <v>1011</v>
      </c>
      <c r="F57" s="275">
        <v>572</v>
      </c>
      <c r="G57" s="274">
        <v>1169</v>
      </c>
      <c r="H57" s="274">
        <v>1206</v>
      </c>
      <c r="I57" s="275">
        <v>667</v>
      </c>
      <c r="J57" s="275">
        <v>762</v>
      </c>
      <c r="K57" s="276">
        <v>617</v>
      </c>
    </row>
    <row r="59" spans="2:11" x14ac:dyDescent="0.25">
      <c r="B59" s="71" t="s">
        <v>849</v>
      </c>
      <c r="C59" s="72" t="s">
        <v>426</v>
      </c>
      <c r="D59" s="288" t="s">
        <v>250</v>
      </c>
      <c r="E59" s="289" t="s">
        <v>211</v>
      </c>
      <c r="F59" s="289" t="s">
        <v>212</v>
      </c>
      <c r="G59" s="289" t="s">
        <v>213</v>
      </c>
      <c r="H59" s="289" t="s">
        <v>214</v>
      </c>
      <c r="I59" s="289" t="s">
        <v>216</v>
      </c>
      <c r="J59" s="289" t="s">
        <v>218</v>
      </c>
      <c r="K59" s="290" t="s">
        <v>219</v>
      </c>
    </row>
    <row r="60" spans="2:11" x14ac:dyDescent="0.25">
      <c r="B60" s="75" t="s">
        <v>852</v>
      </c>
      <c r="C60" s="142" t="s">
        <v>504</v>
      </c>
      <c r="D60" s="277" t="s">
        <v>851</v>
      </c>
      <c r="E60" s="278">
        <v>675</v>
      </c>
      <c r="F60" s="270">
        <v>442</v>
      </c>
      <c r="G60" s="270">
        <v>632</v>
      </c>
      <c r="H60" s="270">
        <v>556</v>
      </c>
      <c r="I60" s="270">
        <v>785</v>
      </c>
      <c r="J60" s="270">
        <v>863</v>
      </c>
      <c r="K60" s="279">
        <v>677</v>
      </c>
    </row>
    <row r="61" spans="2:11" x14ac:dyDescent="0.25">
      <c r="B61" s="75" t="s">
        <v>852</v>
      </c>
      <c r="C61" s="142" t="s">
        <v>504</v>
      </c>
      <c r="D61" s="280" t="s">
        <v>853</v>
      </c>
      <c r="E61" s="281">
        <v>892</v>
      </c>
      <c r="F61" s="272">
        <v>599</v>
      </c>
      <c r="G61" s="269">
        <v>843</v>
      </c>
      <c r="H61" s="272">
        <v>755</v>
      </c>
      <c r="I61" s="272">
        <v>1047</v>
      </c>
      <c r="J61" s="272">
        <v>1218</v>
      </c>
      <c r="K61" s="273">
        <v>902</v>
      </c>
    </row>
    <row r="62" spans="2:11" x14ac:dyDescent="0.25">
      <c r="B62" s="75" t="s">
        <v>852</v>
      </c>
      <c r="C62" s="142" t="s">
        <v>504</v>
      </c>
      <c r="D62" s="280" t="s">
        <v>854</v>
      </c>
      <c r="E62" s="282">
        <v>543</v>
      </c>
      <c r="F62" s="272">
        <v>384</v>
      </c>
      <c r="G62" s="272">
        <v>554</v>
      </c>
      <c r="H62" s="269">
        <v>385</v>
      </c>
      <c r="I62" s="269">
        <v>611</v>
      </c>
      <c r="J62" s="269">
        <v>650</v>
      </c>
      <c r="K62" s="271">
        <v>506</v>
      </c>
    </row>
    <row r="63" spans="2:11" x14ac:dyDescent="0.25">
      <c r="B63" s="75" t="s">
        <v>852</v>
      </c>
      <c r="C63" s="142" t="s">
        <v>504</v>
      </c>
      <c r="D63" s="283" t="s">
        <v>855</v>
      </c>
      <c r="E63" s="282">
        <v>850</v>
      </c>
      <c r="F63" s="269">
        <v>671</v>
      </c>
      <c r="G63" s="269">
        <v>914</v>
      </c>
      <c r="H63" s="269">
        <v>756</v>
      </c>
      <c r="I63" s="269">
        <v>742</v>
      </c>
      <c r="J63" s="269">
        <v>929</v>
      </c>
      <c r="K63" s="271">
        <v>848</v>
      </c>
    </row>
    <row r="64" spans="2:11" x14ac:dyDescent="0.25">
      <c r="B64" s="75" t="s">
        <v>852</v>
      </c>
      <c r="C64" s="142" t="s">
        <v>504</v>
      </c>
      <c r="D64" s="280" t="s">
        <v>856</v>
      </c>
      <c r="E64" s="282">
        <v>402</v>
      </c>
      <c r="F64" s="269">
        <v>311</v>
      </c>
      <c r="G64" s="269">
        <v>393</v>
      </c>
      <c r="H64" s="269">
        <v>347</v>
      </c>
      <c r="I64" s="269">
        <v>432</v>
      </c>
      <c r="J64" s="269">
        <v>497</v>
      </c>
      <c r="K64" s="271">
        <v>431</v>
      </c>
    </row>
    <row r="65" spans="2:11" x14ac:dyDescent="0.25">
      <c r="B65" s="75" t="s">
        <v>852</v>
      </c>
      <c r="C65" s="142" t="s">
        <v>504</v>
      </c>
      <c r="D65" s="280" t="s">
        <v>857</v>
      </c>
      <c r="E65" s="282">
        <v>823</v>
      </c>
      <c r="F65" s="269">
        <v>743</v>
      </c>
      <c r="G65" s="269">
        <v>901</v>
      </c>
      <c r="H65" s="269">
        <v>794</v>
      </c>
      <c r="I65" s="269">
        <v>799</v>
      </c>
      <c r="J65" s="269">
        <v>962</v>
      </c>
      <c r="K65" s="271">
        <v>850</v>
      </c>
    </row>
    <row r="66" spans="2:11" x14ac:dyDescent="0.25">
      <c r="B66" s="75" t="s">
        <v>852</v>
      </c>
      <c r="C66" s="142" t="s">
        <v>504</v>
      </c>
      <c r="D66" s="280" t="s">
        <v>858</v>
      </c>
      <c r="E66" s="282">
        <v>274</v>
      </c>
      <c r="F66" s="269">
        <v>207</v>
      </c>
      <c r="G66" s="269">
        <v>261</v>
      </c>
      <c r="H66" s="269">
        <v>235</v>
      </c>
      <c r="I66" s="269">
        <v>316</v>
      </c>
      <c r="J66" s="269">
        <v>353</v>
      </c>
      <c r="K66" s="271">
        <v>285</v>
      </c>
    </row>
    <row r="67" spans="2:11" x14ac:dyDescent="0.25">
      <c r="B67" s="75" t="s">
        <v>852</v>
      </c>
      <c r="C67" s="142" t="s">
        <v>504</v>
      </c>
      <c r="D67" s="280" t="s">
        <v>859</v>
      </c>
      <c r="E67" s="281">
        <v>1198</v>
      </c>
      <c r="F67" s="272">
        <v>938</v>
      </c>
      <c r="G67" s="272">
        <v>1354</v>
      </c>
      <c r="H67" s="272">
        <v>1133</v>
      </c>
      <c r="I67" s="272">
        <v>1321</v>
      </c>
      <c r="J67" s="272">
        <v>1504</v>
      </c>
      <c r="K67" s="273">
        <v>1275</v>
      </c>
    </row>
    <row r="68" spans="2:11" x14ac:dyDescent="0.25">
      <c r="B68" s="75" t="s">
        <v>852</v>
      </c>
      <c r="C68" s="142" t="s">
        <v>504</v>
      </c>
      <c r="D68" s="280" t="s">
        <v>860</v>
      </c>
      <c r="E68" s="281">
        <v>1995</v>
      </c>
      <c r="F68" s="272">
        <v>1698</v>
      </c>
      <c r="G68" s="272">
        <v>2320</v>
      </c>
      <c r="H68" s="272">
        <v>1888</v>
      </c>
      <c r="I68" s="272">
        <v>2076</v>
      </c>
      <c r="J68" s="272">
        <v>2423</v>
      </c>
      <c r="K68" s="273">
        <v>2119</v>
      </c>
    </row>
    <row r="69" spans="2:11" x14ac:dyDescent="0.25">
      <c r="B69" s="75" t="s">
        <v>852</v>
      </c>
      <c r="C69" s="142" t="s">
        <v>504</v>
      </c>
      <c r="D69" s="280" t="s">
        <v>861</v>
      </c>
      <c r="E69" s="282">
        <v>1109</v>
      </c>
      <c r="F69" s="269">
        <v>874</v>
      </c>
      <c r="G69" s="269">
        <v>1247</v>
      </c>
      <c r="H69" s="269">
        <v>1050</v>
      </c>
      <c r="I69" s="269">
        <v>1129</v>
      </c>
      <c r="J69" s="269">
        <v>1331</v>
      </c>
      <c r="K69" s="271">
        <v>1168</v>
      </c>
    </row>
    <row r="70" spans="2:11" x14ac:dyDescent="0.25">
      <c r="B70" s="75" t="s">
        <v>852</v>
      </c>
      <c r="C70" s="142" t="s">
        <v>504</v>
      </c>
      <c r="D70" s="280" t="s">
        <v>862</v>
      </c>
      <c r="E70" s="281">
        <v>3167</v>
      </c>
      <c r="F70" s="272">
        <v>3145</v>
      </c>
      <c r="G70" s="272">
        <v>3336</v>
      </c>
      <c r="H70" s="272">
        <v>3064</v>
      </c>
      <c r="I70" s="272">
        <v>2707</v>
      </c>
      <c r="J70" s="272">
        <v>3713</v>
      </c>
      <c r="K70" s="273">
        <v>3860</v>
      </c>
    </row>
    <row r="71" spans="2:11" x14ac:dyDescent="0.25">
      <c r="B71" s="75" t="s">
        <v>852</v>
      </c>
      <c r="C71" s="142" t="s">
        <v>504</v>
      </c>
      <c r="D71" s="280" t="s">
        <v>863</v>
      </c>
      <c r="E71" s="282">
        <v>3399</v>
      </c>
      <c r="F71" s="269">
        <v>3341</v>
      </c>
      <c r="G71" s="269">
        <v>3581</v>
      </c>
      <c r="H71" s="272">
        <v>3298</v>
      </c>
      <c r="I71" s="269">
        <v>2884</v>
      </c>
      <c r="J71" s="269">
        <v>3975</v>
      </c>
      <c r="K71" s="271">
        <v>4062</v>
      </c>
    </row>
    <row r="72" spans="2:11" x14ac:dyDescent="0.25">
      <c r="B72" s="75" t="s">
        <v>852</v>
      </c>
      <c r="C72" s="142" t="s">
        <v>504</v>
      </c>
      <c r="D72" s="280" t="s">
        <v>864</v>
      </c>
      <c r="E72" s="282">
        <v>3119</v>
      </c>
      <c r="F72" s="269">
        <v>3112</v>
      </c>
      <c r="G72" s="269">
        <v>3285</v>
      </c>
      <c r="H72" s="269">
        <v>2996</v>
      </c>
      <c r="I72" s="269">
        <v>2718</v>
      </c>
      <c r="J72" s="269">
        <v>3588</v>
      </c>
      <c r="K72" s="271">
        <v>3822</v>
      </c>
    </row>
    <row r="73" spans="2:11" x14ac:dyDescent="0.25">
      <c r="B73" s="75" t="s">
        <v>852</v>
      </c>
      <c r="C73" s="142" t="s">
        <v>504</v>
      </c>
      <c r="D73" s="280" t="s">
        <v>865</v>
      </c>
      <c r="E73" s="281">
        <v>815</v>
      </c>
      <c r="F73" s="272">
        <v>546</v>
      </c>
      <c r="G73" s="272">
        <v>714</v>
      </c>
      <c r="H73" s="272">
        <v>666</v>
      </c>
      <c r="I73" s="272">
        <v>668</v>
      </c>
      <c r="J73" s="272">
        <v>871</v>
      </c>
      <c r="K73" s="273">
        <v>742</v>
      </c>
    </row>
    <row r="74" spans="2:11" x14ac:dyDescent="0.25">
      <c r="B74" s="75" t="s">
        <v>852</v>
      </c>
      <c r="C74" s="142" t="s">
        <v>504</v>
      </c>
      <c r="D74" s="280" t="s">
        <v>866</v>
      </c>
      <c r="E74" s="281">
        <v>2186</v>
      </c>
      <c r="F74" s="272">
        <v>1825</v>
      </c>
      <c r="G74" s="272">
        <v>2451</v>
      </c>
      <c r="H74" s="272">
        <v>1994</v>
      </c>
      <c r="I74" s="272">
        <v>2088</v>
      </c>
      <c r="J74" s="272">
        <v>2532</v>
      </c>
      <c r="K74" s="273">
        <v>2397</v>
      </c>
    </row>
    <row r="75" spans="2:11" x14ac:dyDescent="0.25">
      <c r="B75" s="75" t="s">
        <v>852</v>
      </c>
      <c r="C75" s="142" t="s">
        <v>504</v>
      </c>
      <c r="D75" s="280" t="s">
        <v>867</v>
      </c>
      <c r="E75" s="282">
        <v>719</v>
      </c>
      <c r="F75" s="269">
        <v>530</v>
      </c>
      <c r="G75" s="269">
        <v>613</v>
      </c>
      <c r="H75" s="269">
        <v>551</v>
      </c>
      <c r="I75" s="269">
        <v>664</v>
      </c>
      <c r="J75" s="269">
        <v>819</v>
      </c>
      <c r="K75" s="271">
        <v>636</v>
      </c>
    </row>
    <row r="76" spans="2:11" x14ac:dyDescent="0.25">
      <c r="B76" s="75" t="s">
        <v>852</v>
      </c>
      <c r="C76" s="142" t="s">
        <v>504</v>
      </c>
      <c r="D76" s="280" t="s">
        <v>868</v>
      </c>
      <c r="E76" s="281">
        <v>990</v>
      </c>
      <c r="F76" s="272">
        <v>737</v>
      </c>
      <c r="G76" s="272">
        <v>1032</v>
      </c>
      <c r="H76" s="272">
        <v>822</v>
      </c>
      <c r="I76" s="272">
        <v>991</v>
      </c>
      <c r="J76" s="272">
        <v>1124</v>
      </c>
      <c r="K76" s="273">
        <v>954</v>
      </c>
    </row>
    <row r="77" spans="2:11" x14ac:dyDescent="0.25">
      <c r="B77" s="75" t="s">
        <v>852</v>
      </c>
      <c r="C77" s="142" t="s">
        <v>504</v>
      </c>
      <c r="D77" s="280" t="s">
        <v>869</v>
      </c>
      <c r="E77" s="281">
        <v>1912</v>
      </c>
      <c r="F77" s="272">
        <v>1648</v>
      </c>
      <c r="G77" s="272">
        <v>2144</v>
      </c>
      <c r="H77" s="272">
        <v>1687</v>
      </c>
      <c r="I77" s="272">
        <v>1625</v>
      </c>
      <c r="J77" s="272">
        <v>2040</v>
      </c>
      <c r="K77" s="273">
        <v>1841</v>
      </c>
    </row>
    <row r="78" spans="2:11" x14ac:dyDescent="0.25">
      <c r="B78" s="75" t="s">
        <v>852</v>
      </c>
      <c r="C78" s="142" t="s">
        <v>504</v>
      </c>
      <c r="D78" s="280" t="s">
        <v>870</v>
      </c>
      <c r="E78" s="282">
        <v>813</v>
      </c>
      <c r="F78" s="269">
        <v>607</v>
      </c>
      <c r="G78" s="269">
        <v>867</v>
      </c>
      <c r="H78" s="269">
        <v>667</v>
      </c>
      <c r="I78" s="269">
        <v>822</v>
      </c>
      <c r="J78" s="269">
        <v>925</v>
      </c>
      <c r="K78" s="271">
        <v>783</v>
      </c>
    </row>
    <row r="79" spans="2:11" x14ac:dyDescent="0.25">
      <c r="B79" s="75" t="s">
        <v>852</v>
      </c>
      <c r="C79" s="142" t="s">
        <v>504</v>
      </c>
      <c r="D79" s="280" t="s">
        <v>871</v>
      </c>
      <c r="E79" s="281">
        <v>785</v>
      </c>
      <c r="F79" s="272">
        <v>507</v>
      </c>
      <c r="G79" s="272">
        <v>742</v>
      </c>
      <c r="H79" s="272">
        <v>619</v>
      </c>
      <c r="I79" s="272">
        <v>818</v>
      </c>
      <c r="J79" s="272">
        <v>863</v>
      </c>
      <c r="K79" s="273">
        <v>777</v>
      </c>
    </row>
    <row r="80" spans="2:11" x14ac:dyDescent="0.25">
      <c r="B80" s="75" t="s">
        <v>852</v>
      </c>
      <c r="C80" s="142" t="s">
        <v>504</v>
      </c>
      <c r="D80" s="280" t="s">
        <v>872</v>
      </c>
      <c r="E80" s="281">
        <v>1080</v>
      </c>
      <c r="F80" s="272">
        <v>739</v>
      </c>
      <c r="G80" s="272">
        <v>1058</v>
      </c>
      <c r="H80" s="272">
        <v>885</v>
      </c>
      <c r="I80" s="272">
        <v>1121</v>
      </c>
      <c r="J80" s="272">
        <v>1258</v>
      </c>
      <c r="K80" s="273">
        <v>1057</v>
      </c>
    </row>
    <row r="81" spans="2:11" x14ac:dyDescent="0.25">
      <c r="B81" s="75" t="s">
        <v>852</v>
      </c>
      <c r="C81" s="142" t="s">
        <v>504</v>
      </c>
      <c r="D81" s="280" t="s">
        <v>873</v>
      </c>
      <c r="E81" s="284">
        <v>607</v>
      </c>
      <c r="F81" s="275">
        <v>441</v>
      </c>
      <c r="G81" s="274">
        <v>630</v>
      </c>
      <c r="H81" s="274">
        <v>451</v>
      </c>
      <c r="I81" s="275">
        <v>640</v>
      </c>
      <c r="J81" s="275">
        <v>694</v>
      </c>
      <c r="K81" s="276">
        <v>582</v>
      </c>
    </row>
  </sheetData>
  <sheetProtection algorithmName="SHA-512" hashValue="vZJVShhzsJaE8YQmnrLrl/JUp+asIoxiqQ3YUE0IoKDvug3UJj9avOoS2sQNP7loW6FEKc+XvqhNizPtPgBJqw==" saltValue="ICYdiBSkXi9z0de8ApcNaQ==" spinCount="100000" sheet="1" objects="1" scenarios="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02403-4376-4035-AC7B-441BC7E53CCB}">
  <sheetPr>
    <tabColor theme="5"/>
  </sheetPr>
  <dimension ref="B1:T103"/>
  <sheetViews>
    <sheetView zoomScaleNormal="100" workbookViewId="0">
      <selection activeCell="P16" sqref="A16:P16"/>
    </sheetView>
  </sheetViews>
  <sheetFormatPr defaultColWidth="9.140625" defaultRowHeight="15" x14ac:dyDescent="0.25"/>
  <cols>
    <col min="1" max="1" width="3.85546875" style="1" customWidth="1"/>
    <col min="2" max="2" width="25.5703125" style="204" bestFit="1" customWidth="1"/>
    <col min="3" max="3" width="13.5703125" style="63" customWidth="1"/>
    <col min="4" max="4" width="13.28515625" style="296" customWidth="1"/>
    <col min="5" max="5" width="19.28515625" style="143" bestFit="1" customWidth="1"/>
    <col min="6" max="6" width="8.7109375" style="143" bestFit="1" customWidth="1"/>
    <col min="7" max="7" width="14.85546875" style="143" bestFit="1" customWidth="1"/>
    <col min="8" max="8" width="9.140625" style="143" bestFit="1"/>
    <col min="9" max="9" width="10.140625" style="143" bestFit="1" customWidth="1"/>
    <col min="10" max="10" width="7" style="143" bestFit="1" customWidth="1"/>
    <col min="11" max="11" width="10.5703125" style="143" bestFit="1" customWidth="1"/>
    <col min="12" max="12" width="8.7109375" style="143" customWidth="1"/>
    <col min="13" max="13" width="16.5703125" style="305" customWidth="1"/>
    <col min="14" max="14" width="21.5703125" style="1" bestFit="1" customWidth="1"/>
    <col min="15" max="15" width="12.140625" style="1" bestFit="1" customWidth="1"/>
    <col min="16" max="16" width="21.140625" style="204" bestFit="1" customWidth="1"/>
    <col min="17" max="16384" width="9.140625" style="1"/>
  </cols>
  <sheetData>
    <row r="1" spans="2:20" x14ac:dyDescent="0.25">
      <c r="B1" s="298" t="s">
        <v>874</v>
      </c>
      <c r="C1" s="296"/>
    </row>
    <row r="3" spans="2:20" s="65" customFormat="1" ht="30" x14ac:dyDescent="0.25">
      <c r="B3" s="303" t="s">
        <v>250</v>
      </c>
      <c r="C3" s="80" t="s">
        <v>245</v>
      </c>
      <c r="D3" s="304" t="s">
        <v>497</v>
      </c>
      <c r="E3" s="80" t="s">
        <v>498</v>
      </c>
      <c r="F3" s="73" t="s">
        <v>211</v>
      </c>
      <c r="G3" s="73" t="s">
        <v>212</v>
      </c>
      <c r="H3" s="73" t="s">
        <v>213</v>
      </c>
      <c r="I3" s="73" t="s">
        <v>214</v>
      </c>
      <c r="J3" s="73" t="s">
        <v>216</v>
      </c>
      <c r="K3" s="73" t="s">
        <v>219</v>
      </c>
      <c r="L3" s="143"/>
      <c r="M3" s="305" t="s">
        <v>209</v>
      </c>
      <c r="N3" s="65" t="s">
        <v>250</v>
      </c>
      <c r="O3" s="65" t="s">
        <v>245</v>
      </c>
      <c r="P3" s="305" t="s">
        <v>497</v>
      </c>
      <c r="Q3" s="65" t="s">
        <v>498</v>
      </c>
      <c r="T3" s="295"/>
    </row>
    <row r="4" spans="2:20" x14ac:dyDescent="0.25">
      <c r="B4" s="381" t="s">
        <v>257</v>
      </c>
      <c r="C4" s="416" t="s">
        <v>500</v>
      </c>
      <c r="D4" s="417">
        <v>0.08</v>
      </c>
      <c r="E4" s="336" t="s">
        <v>501</v>
      </c>
      <c r="F4" s="342">
        <v>0.90900000000000003</v>
      </c>
      <c r="G4" s="342">
        <v>0.92300000000000004</v>
      </c>
      <c r="H4" s="342">
        <v>0.91800000000000004</v>
      </c>
      <c r="I4" s="342">
        <v>0.92500000000000004</v>
      </c>
      <c r="J4" s="342">
        <v>0.85699999999999998</v>
      </c>
      <c r="K4" s="342">
        <v>0.88100000000000001</v>
      </c>
      <c r="M4" s="305" t="s">
        <v>211</v>
      </c>
      <c r="N4" s="1" t="s">
        <v>257</v>
      </c>
      <c r="O4" s="1" t="s">
        <v>500</v>
      </c>
      <c r="P4" s="306">
        <v>0.08</v>
      </c>
      <c r="Q4" s="1" t="s">
        <v>501</v>
      </c>
    </row>
    <row r="5" spans="2:20" x14ac:dyDescent="0.25">
      <c r="B5" s="381" t="s">
        <v>257</v>
      </c>
      <c r="C5" s="416" t="s">
        <v>500</v>
      </c>
      <c r="D5" s="417">
        <v>0.15</v>
      </c>
      <c r="E5" s="336" t="s">
        <v>501</v>
      </c>
      <c r="F5" s="342">
        <v>0.879</v>
      </c>
      <c r="G5" s="342">
        <v>0.89</v>
      </c>
      <c r="H5" s="342">
        <v>0.88900000000000001</v>
      </c>
      <c r="I5" s="342">
        <v>0.89</v>
      </c>
      <c r="J5" s="342">
        <v>0.82899999999999996</v>
      </c>
      <c r="K5" s="342">
        <v>0.85099999999999998</v>
      </c>
      <c r="M5" s="305" t="s">
        <v>212</v>
      </c>
      <c r="N5" s="1" t="s">
        <v>503</v>
      </c>
      <c r="O5" s="1" t="s">
        <v>504</v>
      </c>
      <c r="P5" s="306">
        <v>0.15</v>
      </c>
      <c r="Q5" s="1" t="s">
        <v>505</v>
      </c>
    </row>
    <row r="6" spans="2:20" x14ac:dyDescent="0.25">
      <c r="B6" s="381" t="s">
        <v>257</v>
      </c>
      <c r="C6" s="416" t="s">
        <v>500</v>
      </c>
      <c r="D6" s="417">
        <v>0.2</v>
      </c>
      <c r="E6" s="336" t="s">
        <v>501</v>
      </c>
      <c r="F6" s="342">
        <v>0.85799999999999998</v>
      </c>
      <c r="G6" s="342">
        <v>0.86799999999999999</v>
      </c>
      <c r="H6" s="342">
        <v>0.86699999999999999</v>
      </c>
      <c r="I6" s="342">
        <v>0.86899999999999999</v>
      </c>
      <c r="J6" s="342">
        <v>0.81</v>
      </c>
      <c r="K6" s="342">
        <v>0.83099999999999996</v>
      </c>
      <c r="M6" s="305" t="s">
        <v>213</v>
      </c>
      <c r="N6" s="1" t="s">
        <v>507</v>
      </c>
      <c r="P6" s="306">
        <v>0.2</v>
      </c>
    </row>
    <row r="7" spans="2:20" x14ac:dyDescent="0.25">
      <c r="B7" s="381" t="s">
        <v>257</v>
      </c>
      <c r="C7" s="416" t="s">
        <v>500</v>
      </c>
      <c r="D7" s="417">
        <v>0.25</v>
      </c>
      <c r="E7" s="336" t="s">
        <v>501</v>
      </c>
      <c r="F7" s="342">
        <v>0.83499999999999996</v>
      </c>
      <c r="G7" s="342">
        <v>0.84799999999999998</v>
      </c>
      <c r="H7" s="342">
        <v>0.84599999999999997</v>
      </c>
      <c r="I7" s="342">
        <v>0.84899999999999998</v>
      </c>
      <c r="J7" s="342">
        <v>0.79300000000000004</v>
      </c>
      <c r="K7" s="342">
        <v>0.81200000000000006</v>
      </c>
      <c r="M7" s="305" t="s">
        <v>214</v>
      </c>
      <c r="N7" s="1" t="s">
        <v>509</v>
      </c>
      <c r="P7" s="306">
        <v>0.25</v>
      </c>
    </row>
    <row r="8" spans="2:20" x14ac:dyDescent="0.25">
      <c r="B8" s="381" t="s">
        <v>257</v>
      </c>
      <c r="C8" s="416" t="s">
        <v>500</v>
      </c>
      <c r="D8" s="417">
        <v>0.3</v>
      </c>
      <c r="E8" s="336" t="s">
        <v>501</v>
      </c>
      <c r="F8" s="342">
        <v>0.81599999999999995</v>
      </c>
      <c r="G8" s="342">
        <v>0.82899999999999996</v>
      </c>
      <c r="H8" s="342">
        <v>0.82799999999999996</v>
      </c>
      <c r="I8" s="342">
        <v>0.82899999999999996</v>
      </c>
      <c r="J8" s="342">
        <v>0.77600000000000002</v>
      </c>
      <c r="K8" s="342">
        <v>0.79500000000000004</v>
      </c>
      <c r="M8" s="305" t="s">
        <v>216</v>
      </c>
      <c r="N8" s="1" t="s">
        <v>298</v>
      </c>
      <c r="P8" s="306">
        <v>0.3</v>
      </c>
    </row>
    <row r="9" spans="2:20" x14ac:dyDescent="0.25">
      <c r="B9" s="300" t="s">
        <v>257</v>
      </c>
      <c r="C9" s="76" t="s">
        <v>500</v>
      </c>
      <c r="D9" s="301">
        <v>0.08</v>
      </c>
      <c r="E9" s="264" t="s">
        <v>505</v>
      </c>
      <c r="F9" s="302">
        <v>0.95099999999999996</v>
      </c>
      <c r="G9" s="302">
        <v>0.96099999999999997</v>
      </c>
      <c r="H9" s="302">
        <v>0.95899999999999996</v>
      </c>
      <c r="I9" s="302">
        <v>0.95599999999999996</v>
      </c>
      <c r="J9" s="302">
        <v>0.89600000000000002</v>
      </c>
      <c r="K9" s="302">
        <v>0.91500000000000004</v>
      </c>
      <c r="M9" s="305" t="s">
        <v>219</v>
      </c>
    </row>
    <row r="10" spans="2:20" x14ac:dyDescent="0.25">
      <c r="B10" s="300" t="s">
        <v>257</v>
      </c>
      <c r="C10" s="76" t="s">
        <v>500</v>
      </c>
      <c r="D10" s="301">
        <v>0.15</v>
      </c>
      <c r="E10" s="264" t="s">
        <v>505</v>
      </c>
      <c r="F10" s="302">
        <v>0.91700000000000004</v>
      </c>
      <c r="G10" s="302">
        <v>0.93</v>
      </c>
      <c r="H10" s="302">
        <v>0.92600000000000005</v>
      </c>
      <c r="I10" s="302">
        <v>0.92300000000000004</v>
      </c>
      <c r="J10" s="302">
        <v>0.86299999999999999</v>
      </c>
      <c r="K10" s="302">
        <v>0.88300000000000001</v>
      </c>
    </row>
    <row r="11" spans="2:20" x14ac:dyDescent="0.25">
      <c r="B11" s="300" t="s">
        <v>257</v>
      </c>
      <c r="C11" s="76" t="s">
        <v>500</v>
      </c>
      <c r="D11" s="301">
        <v>0.2</v>
      </c>
      <c r="E11" s="264" t="s">
        <v>505</v>
      </c>
      <c r="F11" s="302">
        <v>0.89500000000000002</v>
      </c>
      <c r="G11" s="302">
        <v>0.90600000000000003</v>
      </c>
      <c r="H11" s="302">
        <v>0.90200000000000002</v>
      </c>
      <c r="I11" s="302">
        <v>0.90100000000000002</v>
      </c>
      <c r="J11" s="302">
        <v>0.84099999999999997</v>
      </c>
      <c r="K11" s="302">
        <v>0.86099999999999999</v>
      </c>
    </row>
    <row r="12" spans="2:20" x14ac:dyDescent="0.25">
      <c r="B12" s="300" t="s">
        <v>257</v>
      </c>
      <c r="C12" s="76" t="s">
        <v>500</v>
      </c>
      <c r="D12" s="301">
        <v>0.25</v>
      </c>
      <c r="E12" s="264" t="s">
        <v>505</v>
      </c>
      <c r="F12" s="302">
        <v>0.871</v>
      </c>
      <c r="G12" s="302">
        <v>0.88400000000000001</v>
      </c>
      <c r="H12" s="302">
        <v>0.879</v>
      </c>
      <c r="I12" s="302">
        <v>0.88100000000000001</v>
      </c>
      <c r="J12" s="302">
        <v>0.82099999999999995</v>
      </c>
      <c r="K12" s="302">
        <v>0.84</v>
      </c>
    </row>
    <row r="13" spans="2:20" x14ac:dyDescent="0.25">
      <c r="B13" s="300" t="s">
        <v>257</v>
      </c>
      <c r="C13" s="76" t="s">
        <v>500</v>
      </c>
      <c r="D13" s="301">
        <v>0.3</v>
      </c>
      <c r="E13" s="264" t="s">
        <v>505</v>
      </c>
      <c r="F13" s="302">
        <v>0.84899999999999998</v>
      </c>
      <c r="G13" s="302">
        <v>0.86199999999999999</v>
      </c>
      <c r="H13" s="302">
        <v>0.86</v>
      </c>
      <c r="I13" s="302">
        <v>0.86199999999999999</v>
      </c>
      <c r="J13" s="302">
        <v>0.80100000000000005</v>
      </c>
      <c r="K13" s="302">
        <v>0.81899999999999995</v>
      </c>
    </row>
    <row r="14" spans="2:20" x14ac:dyDescent="0.25">
      <c r="B14" s="300" t="s">
        <v>257</v>
      </c>
      <c r="C14" s="76" t="s">
        <v>504</v>
      </c>
      <c r="D14" s="301">
        <v>0.08</v>
      </c>
      <c r="E14" s="264" t="s">
        <v>501</v>
      </c>
      <c r="F14" s="302">
        <v>0.87</v>
      </c>
      <c r="G14" s="302">
        <v>0.84499999999999997</v>
      </c>
      <c r="H14" s="302">
        <v>0.85699999999999998</v>
      </c>
      <c r="I14" s="302">
        <v>0.86899999999999999</v>
      </c>
      <c r="J14" s="302">
        <v>0.92200000000000004</v>
      </c>
      <c r="K14" s="302">
        <v>0.89800000000000002</v>
      </c>
    </row>
    <row r="15" spans="2:20" x14ac:dyDescent="0.25">
      <c r="B15" s="300" t="s">
        <v>257</v>
      </c>
      <c r="C15" s="76" t="s">
        <v>504</v>
      </c>
      <c r="D15" s="301">
        <v>0.15</v>
      </c>
      <c r="E15" s="264" t="s">
        <v>501</v>
      </c>
      <c r="F15" s="302">
        <v>0.85899999999999999</v>
      </c>
      <c r="G15" s="302">
        <v>0.83499999999999996</v>
      </c>
      <c r="H15" s="302">
        <v>0.84599999999999997</v>
      </c>
      <c r="I15" s="302">
        <v>0.85799999999999998</v>
      </c>
      <c r="J15" s="302">
        <v>0.90800000000000003</v>
      </c>
      <c r="K15" s="302">
        <v>0.88700000000000001</v>
      </c>
    </row>
    <row r="16" spans="2:20" x14ac:dyDescent="0.25">
      <c r="B16" s="300" t="s">
        <v>257</v>
      </c>
      <c r="C16" s="76" t="s">
        <v>504</v>
      </c>
      <c r="D16" s="301">
        <v>0.2</v>
      </c>
      <c r="E16" s="264" t="s">
        <v>501</v>
      </c>
      <c r="F16" s="302">
        <v>0.85</v>
      </c>
      <c r="G16" s="302">
        <v>0.82499999999999996</v>
      </c>
      <c r="H16" s="302">
        <v>0.83799999999999997</v>
      </c>
      <c r="I16" s="302">
        <v>0.85</v>
      </c>
      <c r="J16" s="302">
        <v>0.89700000000000002</v>
      </c>
      <c r="K16" s="302">
        <v>0.878</v>
      </c>
    </row>
    <row r="17" spans="2:11" x14ac:dyDescent="0.25">
      <c r="B17" s="300" t="s">
        <v>257</v>
      </c>
      <c r="C17" s="76" t="s">
        <v>504</v>
      </c>
      <c r="D17" s="301">
        <v>0.25</v>
      </c>
      <c r="E17" s="264" t="s">
        <v>501</v>
      </c>
      <c r="F17" s="302">
        <v>0.84</v>
      </c>
      <c r="G17" s="302">
        <v>0.81499999999999995</v>
      </c>
      <c r="H17" s="302">
        <v>0.82799999999999996</v>
      </c>
      <c r="I17" s="302">
        <v>0.84</v>
      </c>
      <c r="J17" s="302">
        <v>0.88600000000000001</v>
      </c>
      <c r="K17" s="302">
        <v>0.86699999999999999</v>
      </c>
    </row>
    <row r="18" spans="2:11" x14ac:dyDescent="0.25">
      <c r="B18" s="300" t="s">
        <v>257</v>
      </c>
      <c r="C18" s="76" t="s">
        <v>504</v>
      </c>
      <c r="D18" s="301">
        <v>0.3</v>
      </c>
      <c r="E18" s="264" t="s">
        <v>501</v>
      </c>
      <c r="F18" s="302">
        <v>0.82899999999999996</v>
      </c>
      <c r="G18" s="302">
        <v>0.80500000000000005</v>
      </c>
      <c r="H18" s="302">
        <v>0.81699999999999995</v>
      </c>
      <c r="I18" s="302">
        <v>0.82899999999999996</v>
      </c>
      <c r="J18" s="302">
        <v>0.873</v>
      </c>
      <c r="K18" s="302">
        <v>0.85599999999999998</v>
      </c>
    </row>
    <row r="19" spans="2:11" x14ac:dyDescent="0.25">
      <c r="B19" s="300" t="s">
        <v>257</v>
      </c>
      <c r="C19" s="76" t="s">
        <v>504</v>
      </c>
      <c r="D19" s="301">
        <v>0.08</v>
      </c>
      <c r="E19" s="264" t="s">
        <v>505</v>
      </c>
      <c r="F19" s="302">
        <v>0.94799999999999995</v>
      </c>
      <c r="G19" s="302">
        <v>0.93</v>
      </c>
      <c r="H19" s="302">
        <v>0.93600000000000005</v>
      </c>
      <c r="I19" s="302">
        <v>0.95099999999999996</v>
      </c>
      <c r="J19" s="302">
        <v>0.98599999999999999</v>
      </c>
      <c r="K19" s="302">
        <v>0.98</v>
      </c>
    </row>
    <row r="20" spans="2:11" x14ac:dyDescent="0.25">
      <c r="B20" s="300" t="s">
        <v>257</v>
      </c>
      <c r="C20" s="76" t="s">
        <v>504</v>
      </c>
      <c r="D20" s="301">
        <v>0.15</v>
      </c>
      <c r="E20" s="264" t="s">
        <v>505</v>
      </c>
      <c r="F20" s="302">
        <v>0.93200000000000005</v>
      </c>
      <c r="G20" s="302">
        <v>0.91600000000000004</v>
      </c>
      <c r="H20" s="302">
        <v>0.92100000000000004</v>
      </c>
      <c r="I20" s="302">
        <v>0.93600000000000005</v>
      </c>
      <c r="J20" s="302">
        <v>0.96699999999999997</v>
      </c>
      <c r="K20" s="302">
        <v>0.96399999999999997</v>
      </c>
    </row>
    <row r="21" spans="2:11" x14ac:dyDescent="0.25">
      <c r="B21" s="300" t="s">
        <v>257</v>
      </c>
      <c r="C21" s="76" t="s">
        <v>504</v>
      </c>
      <c r="D21" s="301">
        <v>0.2</v>
      </c>
      <c r="E21" s="264" t="s">
        <v>505</v>
      </c>
      <c r="F21" s="302">
        <v>0.92</v>
      </c>
      <c r="G21" s="302">
        <v>0.90400000000000003</v>
      </c>
      <c r="H21" s="302">
        <v>0.90900000000000003</v>
      </c>
      <c r="I21" s="302">
        <v>0.92400000000000004</v>
      </c>
      <c r="J21" s="302">
        <v>0.95399999999999996</v>
      </c>
      <c r="K21" s="302">
        <v>0.95099999999999996</v>
      </c>
    </row>
    <row r="22" spans="2:11" x14ac:dyDescent="0.25">
      <c r="B22" s="300" t="s">
        <v>257</v>
      </c>
      <c r="C22" s="76" t="s">
        <v>504</v>
      </c>
      <c r="D22" s="301">
        <v>0.25</v>
      </c>
      <c r="E22" s="264" t="s">
        <v>505</v>
      </c>
      <c r="F22" s="302">
        <v>0.90600000000000003</v>
      </c>
      <c r="G22" s="302">
        <v>0.89100000000000001</v>
      </c>
      <c r="H22" s="302">
        <v>0.89600000000000002</v>
      </c>
      <c r="I22" s="302">
        <v>0.91</v>
      </c>
      <c r="J22" s="302">
        <v>0.93899999999999995</v>
      </c>
      <c r="K22" s="302">
        <v>0.93799999999999994</v>
      </c>
    </row>
    <row r="23" spans="2:11" x14ac:dyDescent="0.25">
      <c r="B23" s="300" t="s">
        <v>257</v>
      </c>
      <c r="C23" s="76" t="s">
        <v>504</v>
      </c>
      <c r="D23" s="301">
        <v>0.3</v>
      </c>
      <c r="E23" s="264" t="s">
        <v>505</v>
      </c>
      <c r="F23" s="302">
        <v>0.89200000000000002</v>
      </c>
      <c r="G23" s="302">
        <v>0.877</v>
      </c>
      <c r="H23" s="302">
        <v>0.88200000000000001</v>
      </c>
      <c r="I23" s="302">
        <v>0.89600000000000002</v>
      </c>
      <c r="J23" s="302">
        <v>0.92400000000000004</v>
      </c>
      <c r="K23" s="302">
        <v>0.92300000000000004</v>
      </c>
    </row>
    <row r="24" spans="2:11" x14ac:dyDescent="0.25">
      <c r="B24" s="381" t="s">
        <v>503</v>
      </c>
      <c r="C24" s="416" t="s">
        <v>500</v>
      </c>
      <c r="D24" s="417">
        <v>0.08</v>
      </c>
      <c r="E24" s="336" t="s">
        <v>501</v>
      </c>
      <c r="F24" s="342">
        <v>0.80900000000000005</v>
      </c>
      <c r="G24" s="342">
        <v>0.80700000000000005</v>
      </c>
      <c r="H24" s="342">
        <v>0.80400000000000005</v>
      </c>
      <c r="I24" s="342">
        <v>0.82</v>
      </c>
      <c r="J24" s="342">
        <v>0.76600000000000001</v>
      </c>
      <c r="K24" s="342">
        <v>0.80500000000000005</v>
      </c>
    </row>
    <row r="25" spans="2:11" x14ac:dyDescent="0.25">
      <c r="B25" s="381" t="s">
        <v>503</v>
      </c>
      <c r="C25" s="416" t="s">
        <v>500</v>
      </c>
      <c r="D25" s="417">
        <v>0.15</v>
      </c>
      <c r="E25" s="336" t="s">
        <v>501</v>
      </c>
      <c r="F25" s="342">
        <v>0.78400000000000003</v>
      </c>
      <c r="G25" s="342">
        <v>0.78400000000000003</v>
      </c>
      <c r="H25" s="342">
        <v>0.78100000000000003</v>
      </c>
      <c r="I25" s="342">
        <v>0.79700000000000004</v>
      </c>
      <c r="J25" s="342">
        <v>0.73399999999999999</v>
      </c>
      <c r="K25" s="342">
        <v>0.77800000000000002</v>
      </c>
    </row>
    <row r="26" spans="2:11" x14ac:dyDescent="0.25">
      <c r="B26" s="381" t="s">
        <v>503</v>
      </c>
      <c r="C26" s="416" t="s">
        <v>500</v>
      </c>
      <c r="D26" s="417">
        <v>0.2</v>
      </c>
      <c r="E26" s="336" t="s">
        <v>501</v>
      </c>
      <c r="F26" s="342">
        <v>0.76600000000000001</v>
      </c>
      <c r="G26" s="342">
        <v>0.76800000000000002</v>
      </c>
      <c r="H26" s="342">
        <v>0.76500000000000001</v>
      </c>
      <c r="I26" s="342">
        <v>0.78</v>
      </c>
      <c r="J26" s="342">
        <v>0.71399999999999997</v>
      </c>
      <c r="K26" s="342">
        <v>0.75900000000000001</v>
      </c>
    </row>
    <row r="27" spans="2:11" x14ac:dyDescent="0.25">
      <c r="B27" s="381" t="s">
        <v>503</v>
      </c>
      <c r="C27" s="416" t="s">
        <v>500</v>
      </c>
      <c r="D27" s="417">
        <v>0.25</v>
      </c>
      <c r="E27" s="336" t="s">
        <v>501</v>
      </c>
      <c r="F27" s="342">
        <v>0.75</v>
      </c>
      <c r="G27" s="342">
        <v>0.753</v>
      </c>
      <c r="H27" s="342">
        <v>0.749</v>
      </c>
      <c r="I27" s="342">
        <v>0.76500000000000001</v>
      </c>
      <c r="J27" s="342">
        <v>0.69299999999999995</v>
      </c>
      <c r="K27" s="342">
        <v>0.74199999999999999</v>
      </c>
    </row>
    <row r="28" spans="2:11" x14ac:dyDescent="0.25">
      <c r="B28" s="381" t="s">
        <v>503</v>
      </c>
      <c r="C28" s="416" t="s">
        <v>500</v>
      </c>
      <c r="D28" s="417">
        <v>0.3</v>
      </c>
      <c r="E28" s="336" t="s">
        <v>501</v>
      </c>
      <c r="F28" s="342">
        <v>0.73399999999999999</v>
      </c>
      <c r="G28" s="342">
        <v>0.73899999999999999</v>
      </c>
      <c r="H28" s="342">
        <v>0.73399999999999999</v>
      </c>
      <c r="I28" s="342">
        <v>0.75</v>
      </c>
      <c r="J28" s="342">
        <v>0.67500000000000004</v>
      </c>
      <c r="K28" s="342">
        <v>0.72499999999999998</v>
      </c>
    </row>
    <row r="29" spans="2:11" x14ac:dyDescent="0.25">
      <c r="B29" s="300" t="s">
        <v>503</v>
      </c>
      <c r="C29" s="76" t="s">
        <v>500</v>
      </c>
      <c r="D29" s="301">
        <v>0.08</v>
      </c>
      <c r="E29" s="264" t="s">
        <v>505</v>
      </c>
      <c r="F29" s="302">
        <v>0.90100000000000002</v>
      </c>
      <c r="G29" s="302">
        <v>0.90400000000000003</v>
      </c>
      <c r="H29" s="302">
        <v>0.90100000000000002</v>
      </c>
      <c r="I29" s="302">
        <v>0.90500000000000003</v>
      </c>
      <c r="J29" s="302">
        <v>0.875</v>
      </c>
      <c r="K29" s="302">
        <v>0.89800000000000002</v>
      </c>
    </row>
    <row r="30" spans="2:11" x14ac:dyDescent="0.25">
      <c r="B30" s="300" t="s">
        <v>503</v>
      </c>
      <c r="C30" s="76" t="s">
        <v>500</v>
      </c>
      <c r="D30" s="301">
        <v>0.15</v>
      </c>
      <c r="E30" s="264" t="s">
        <v>505</v>
      </c>
      <c r="F30" s="302">
        <v>0.86199999999999999</v>
      </c>
      <c r="G30" s="302">
        <v>0.86699999999999999</v>
      </c>
      <c r="H30" s="302">
        <v>0.86399999999999999</v>
      </c>
      <c r="I30" s="302">
        <v>0.86699999999999999</v>
      </c>
      <c r="J30" s="302">
        <v>0.82499999999999996</v>
      </c>
      <c r="K30" s="302">
        <v>0.85799999999999998</v>
      </c>
    </row>
    <row r="31" spans="2:11" x14ac:dyDescent="0.25">
      <c r="B31" s="300" t="s">
        <v>503</v>
      </c>
      <c r="C31" s="76" t="s">
        <v>500</v>
      </c>
      <c r="D31" s="301">
        <v>0.2</v>
      </c>
      <c r="E31" s="264" t="s">
        <v>505</v>
      </c>
      <c r="F31" s="302">
        <v>0.83599999999999997</v>
      </c>
      <c r="G31" s="302">
        <v>0.84399999999999997</v>
      </c>
      <c r="H31" s="302">
        <v>0.84</v>
      </c>
      <c r="I31" s="302">
        <v>0.84399999999999997</v>
      </c>
      <c r="J31" s="302">
        <v>0.79400000000000004</v>
      </c>
      <c r="K31" s="302">
        <v>0.83099999999999996</v>
      </c>
    </row>
    <row r="32" spans="2:11" x14ac:dyDescent="0.25">
      <c r="B32" s="300" t="s">
        <v>503</v>
      </c>
      <c r="C32" s="76" t="s">
        <v>500</v>
      </c>
      <c r="D32" s="301">
        <v>0.25</v>
      </c>
      <c r="E32" s="264" t="s">
        <v>505</v>
      </c>
      <c r="F32" s="302">
        <v>0.81299999999999994</v>
      </c>
      <c r="G32" s="302">
        <v>0.82199999999999995</v>
      </c>
      <c r="H32" s="302">
        <v>0.81699999999999995</v>
      </c>
      <c r="I32" s="302">
        <v>0.82199999999999995</v>
      </c>
      <c r="J32" s="302">
        <v>0.76500000000000001</v>
      </c>
      <c r="K32" s="302">
        <v>0.80600000000000005</v>
      </c>
    </row>
    <row r="33" spans="2:11" x14ac:dyDescent="0.25">
      <c r="B33" s="300" t="s">
        <v>503</v>
      </c>
      <c r="C33" s="76" t="s">
        <v>500</v>
      </c>
      <c r="D33" s="301">
        <v>0.3</v>
      </c>
      <c r="E33" s="264" t="s">
        <v>505</v>
      </c>
      <c r="F33" s="302">
        <v>0.79100000000000004</v>
      </c>
      <c r="G33" s="302">
        <v>0.80100000000000005</v>
      </c>
      <c r="H33" s="302">
        <v>0.79600000000000004</v>
      </c>
      <c r="I33" s="302">
        <v>0.80100000000000005</v>
      </c>
      <c r="J33" s="302">
        <v>0.73899999999999999</v>
      </c>
      <c r="K33" s="302">
        <v>0.78300000000000003</v>
      </c>
    </row>
    <row r="34" spans="2:11" x14ac:dyDescent="0.25">
      <c r="B34" s="300" t="s">
        <v>503</v>
      </c>
      <c r="C34" s="76" t="s">
        <v>504</v>
      </c>
      <c r="D34" s="301">
        <v>0.08</v>
      </c>
      <c r="E34" s="264" t="s">
        <v>501</v>
      </c>
      <c r="F34" s="302">
        <v>0.85299999999999998</v>
      </c>
      <c r="G34" s="302">
        <v>0.84299999999999997</v>
      </c>
      <c r="H34" s="302">
        <v>0.85299999999999998</v>
      </c>
      <c r="I34" s="302">
        <v>0.84499999999999997</v>
      </c>
      <c r="J34" s="302">
        <v>0.86599999999999999</v>
      </c>
      <c r="K34" s="302">
        <v>0.84799999999999998</v>
      </c>
    </row>
    <row r="35" spans="2:11" x14ac:dyDescent="0.25">
      <c r="B35" s="300" t="s">
        <v>503</v>
      </c>
      <c r="C35" s="76" t="s">
        <v>504</v>
      </c>
      <c r="D35" s="301">
        <v>0.15</v>
      </c>
      <c r="E35" s="264" t="s">
        <v>501</v>
      </c>
      <c r="F35" s="302">
        <v>0.84299999999999997</v>
      </c>
      <c r="G35" s="302">
        <v>0.83399999999999996</v>
      </c>
      <c r="H35" s="302">
        <v>0.84299999999999997</v>
      </c>
      <c r="I35" s="302">
        <v>0.83699999999999997</v>
      </c>
      <c r="J35" s="302">
        <v>0.85299999999999998</v>
      </c>
      <c r="K35" s="302">
        <v>0.83899999999999997</v>
      </c>
    </row>
    <row r="36" spans="2:11" x14ac:dyDescent="0.25">
      <c r="B36" s="300" t="s">
        <v>503</v>
      </c>
      <c r="C36" s="76" t="s">
        <v>504</v>
      </c>
      <c r="D36" s="301">
        <v>0.2</v>
      </c>
      <c r="E36" s="264" t="s">
        <v>501</v>
      </c>
      <c r="F36" s="302">
        <v>0.83599999999999997</v>
      </c>
      <c r="G36" s="302">
        <v>0.82699999999999996</v>
      </c>
      <c r="H36" s="302">
        <v>0.83499999999999996</v>
      </c>
      <c r="I36" s="302">
        <v>0.83</v>
      </c>
      <c r="J36" s="302">
        <v>0.84399999999999997</v>
      </c>
      <c r="K36" s="302">
        <v>0.83099999999999996</v>
      </c>
    </row>
    <row r="37" spans="2:11" x14ac:dyDescent="0.25">
      <c r="B37" s="300" t="s">
        <v>503</v>
      </c>
      <c r="C37" s="76" t="s">
        <v>504</v>
      </c>
      <c r="D37" s="301">
        <v>0.25</v>
      </c>
      <c r="E37" s="264" t="s">
        <v>501</v>
      </c>
      <c r="F37" s="302">
        <v>0.82699999999999996</v>
      </c>
      <c r="G37" s="302">
        <v>0.81899999999999995</v>
      </c>
      <c r="H37" s="302">
        <v>0.82699999999999996</v>
      </c>
      <c r="I37" s="302">
        <v>0.82199999999999995</v>
      </c>
      <c r="J37" s="302">
        <v>0.83399999999999996</v>
      </c>
      <c r="K37" s="302">
        <v>0.82299999999999995</v>
      </c>
    </row>
    <row r="38" spans="2:11" x14ac:dyDescent="0.25">
      <c r="B38" s="300" t="s">
        <v>503</v>
      </c>
      <c r="C38" s="76" t="s">
        <v>504</v>
      </c>
      <c r="D38" s="301">
        <v>0.3</v>
      </c>
      <c r="E38" s="264" t="s">
        <v>501</v>
      </c>
      <c r="F38" s="302">
        <v>0.81799999999999995</v>
      </c>
      <c r="G38" s="302">
        <v>0.81</v>
      </c>
      <c r="H38" s="302">
        <v>0.81699999999999995</v>
      </c>
      <c r="I38" s="302">
        <v>0.81399999999999995</v>
      </c>
      <c r="J38" s="302">
        <v>0.82299999999999995</v>
      </c>
      <c r="K38" s="302">
        <v>0.81399999999999995</v>
      </c>
    </row>
    <row r="39" spans="2:11" x14ac:dyDescent="0.25">
      <c r="B39" s="300" t="s">
        <v>503</v>
      </c>
      <c r="C39" s="76" t="s">
        <v>504</v>
      </c>
      <c r="D39" s="301">
        <v>0.08</v>
      </c>
      <c r="E39" s="264" t="s">
        <v>505</v>
      </c>
      <c r="F39" s="302">
        <v>0.95</v>
      </c>
      <c r="G39" s="302">
        <v>0.95</v>
      </c>
      <c r="H39" s="302">
        <v>0.95299999999999996</v>
      </c>
      <c r="I39" s="302">
        <v>0.94799999999999995</v>
      </c>
      <c r="J39" s="302">
        <v>0.94499999999999995</v>
      </c>
      <c r="K39" s="302">
        <v>0.94699999999999995</v>
      </c>
    </row>
    <row r="40" spans="2:11" x14ac:dyDescent="0.25">
      <c r="B40" s="300" t="s">
        <v>503</v>
      </c>
      <c r="C40" s="76" t="s">
        <v>504</v>
      </c>
      <c r="D40" s="301">
        <v>0.15</v>
      </c>
      <c r="E40" s="264" t="s">
        <v>505</v>
      </c>
      <c r="F40" s="302">
        <v>0.93300000000000005</v>
      </c>
      <c r="G40" s="302">
        <v>0.93500000000000005</v>
      </c>
      <c r="H40" s="302">
        <v>0.93700000000000006</v>
      </c>
      <c r="I40" s="302">
        <v>0.93200000000000005</v>
      </c>
      <c r="J40" s="302">
        <v>0.92500000000000004</v>
      </c>
      <c r="K40" s="302">
        <v>0.93</v>
      </c>
    </row>
    <row r="41" spans="2:11" x14ac:dyDescent="0.25">
      <c r="B41" s="300" t="s">
        <v>503</v>
      </c>
      <c r="C41" s="76" t="s">
        <v>504</v>
      </c>
      <c r="D41" s="301">
        <v>0.2</v>
      </c>
      <c r="E41" s="264" t="s">
        <v>505</v>
      </c>
      <c r="F41" s="302">
        <v>0.92100000000000004</v>
      </c>
      <c r="G41" s="302">
        <v>0.92400000000000004</v>
      </c>
      <c r="H41" s="302">
        <v>0.92500000000000004</v>
      </c>
      <c r="I41" s="302">
        <v>0.91900000000000004</v>
      </c>
      <c r="J41" s="302">
        <v>0.91100000000000003</v>
      </c>
      <c r="K41" s="302">
        <v>0.91700000000000004</v>
      </c>
    </row>
    <row r="42" spans="2:11" x14ac:dyDescent="0.25">
      <c r="B42" s="300" t="s">
        <v>503</v>
      </c>
      <c r="C42" s="76" t="s">
        <v>504</v>
      </c>
      <c r="D42" s="301">
        <v>0.25</v>
      </c>
      <c r="E42" s="264" t="s">
        <v>505</v>
      </c>
      <c r="F42" s="302">
        <v>0.90800000000000003</v>
      </c>
      <c r="G42" s="302">
        <v>0.91200000000000003</v>
      </c>
      <c r="H42" s="302">
        <v>0.91200000000000003</v>
      </c>
      <c r="I42" s="302">
        <v>0.90700000000000003</v>
      </c>
      <c r="J42" s="302">
        <v>0.89600000000000002</v>
      </c>
      <c r="K42" s="302">
        <v>0.90400000000000003</v>
      </c>
    </row>
    <row r="43" spans="2:11" x14ac:dyDescent="0.25">
      <c r="B43" s="300" t="s">
        <v>503</v>
      </c>
      <c r="C43" s="76" t="s">
        <v>504</v>
      </c>
      <c r="D43" s="301">
        <v>0.3</v>
      </c>
      <c r="E43" s="264" t="s">
        <v>505</v>
      </c>
      <c r="F43" s="302">
        <v>0.89500000000000002</v>
      </c>
      <c r="G43" s="302">
        <v>0.89900000000000002</v>
      </c>
      <c r="H43" s="302">
        <v>0.89800000000000002</v>
      </c>
      <c r="I43" s="302">
        <v>0.89400000000000002</v>
      </c>
      <c r="J43" s="302">
        <v>0.88100000000000001</v>
      </c>
      <c r="K43" s="302">
        <v>0.89100000000000001</v>
      </c>
    </row>
    <row r="44" spans="2:11" x14ac:dyDescent="0.25">
      <c r="B44" s="300" t="s">
        <v>507</v>
      </c>
      <c r="C44" s="76" t="s">
        <v>500</v>
      </c>
      <c r="D44" s="301">
        <v>0.08</v>
      </c>
      <c r="E44" s="264" t="s">
        <v>501</v>
      </c>
      <c r="F44" s="302">
        <v>0.81599999999999995</v>
      </c>
      <c r="G44" s="302">
        <v>0.82099999999999995</v>
      </c>
      <c r="H44" s="302">
        <v>0.81599999999999995</v>
      </c>
      <c r="I44" s="302">
        <v>0.81899999999999995</v>
      </c>
      <c r="J44" s="302">
        <v>0.79700000000000004</v>
      </c>
      <c r="K44" s="302">
        <v>0.81</v>
      </c>
    </row>
    <row r="45" spans="2:11" x14ac:dyDescent="0.25">
      <c r="B45" s="300" t="s">
        <v>507</v>
      </c>
      <c r="C45" s="76" t="s">
        <v>500</v>
      </c>
      <c r="D45" s="301">
        <v>0.15</v>
      </c>
      <c r="E45" s="264" t="s">
        <v>501</v>
      </c>
      <c r="F45" s="302">
        <v>0.78900000000000003</v>
      </c>
      <c r="G45" s="302">
        <v>0.79700000000000004</v>
      </c>
      <c r="H45" s="302">
        <v>0.79100000000000004</v>
      </c>
      <c r="I45" s="302">
        <v>0.79400000000000004</v>
      </c>
      <c r="J45" s="302">
        <v>0.76500000000000001</v>
      </c>
      <c r="K45" s="302">
        <v>0.78200000000000003</v>
      </c>
    </row>
    <row r="46" spans="2:11" x14ac:dyDescent="0.25">
      <c r="B46" s="300" t="s">
        <v>507</v>
      </c>
      <c r="C46" s="76" t="s">
        <v>500</v>
      </c>
      <c r="D46" s="301">
        <v>0.2</v>
      </c>
      <c r="E46" s="264" t="s">
        <v>501</v>
      </c>
      <c r="F46" s="302">
        <v>0.77</v>
      </c>
      <c r="G46" s="302">
        <v>0.78100000000000003</v>
      </c>
      <c r="H46" s="302">
        <v>0.77500000000000002</v>
      </c>
      <c r="I46" s="302">
        <v>0.77600000000000002</v>
      </c>
      <c r="J46" s="302">
        <v>0.74299999999999999</v>
      </c>
      <c r="K46" s="302">
        <v>0.76300000000000001</v>
      </c>
    </row>
    <row r="47" spans="2:11" x14ac:dyDescent="0.25">
      <c r="B47" s="300" t="s">
        <v>507</v>
      </c>
      <c r="C47" s="76" t="s">
        <v>500</v>
      </c>
      <c r="D47" s="301">
        <v>0.25</v>
      </c>
      <c r="E47" s="264" t="s">
        <v>501</v>
      </c>
      <c r="F47" s="302">
        <v>0.753</v>
      </c>
      <c r="G47" s="302">
        <v>0.76500000000000001</v>
      </c>
      <c r="H47" s="302">
        <v>0.76</v>
      </c>
      <c r="I47" s="302">
        <v>0.75900000000000001</v>
      </c>
      <c r="J47" s="302">
        <v>0.72099999999999997</v>
      </c>
      <c r="K47" s="302">
        <v>0.745</v>
      </c>
    </row>
    <row r="48" spans="2:11" x14ac:dyDescent="0.25">
      <c r="B48" s="300" t="s">
        <v>507</v>
      </c>
      <c r="C48" s="76" t="s">
        <v>500</v>
      </c>
      <c r="D48" s="301">
        <v>0.3</v>
      </c>
      <c r="E48" s="264" t="s">
        <v>501</v>
      </c>
      <c r="F48" s="302">
        <v>0.73599999999999999</v>
      </c>
      <c r="G48" s="302">
        <v>0.75</v>
      </c>
      <c r="H48" s="302">
        <v>0.745</v>
      </c>
      <c r="I48" s="302">
        <v>0.74399999999999999</v>
      </c>
      <c r="J48" s="302">
        <v>0.70099999999999996</v>
      </c>
      <c r="K48" s="302">
        <v>0.72799999999999998</v>
      </c>
    </row>
    <row r="49" spans="2:11" x14ac:dyDescent="0.25">
      <c r="B49" s="300" t="s">
        <v>507</v>
      </c>
      <c r="C49" s="76" t="s">
        <v>500</v>
      </c>
      <c r="D49" s="301">
        <v>0.08</v>
      </c>
      <c r="E49" s="264" t="s">
        <v>505</v>
      </c>
      <c r="F49" s="302">
        <v>0.90400000000000003</v>
      </c>
      <c r="G49" s="302">
        <v>0.91</v>
      </c>
      <c r="H49" s="302">
        <v>0.90500000000000003</v>
      </c>
      <c r="I49" s="302">
        <v>0.90200000000000002</v>
      </c>
      <c r="J49" s="302">
        <v>0.89300000000000002</v>
      </c>
      <c r="K49" s="302">
        <v>0.90100000000000002</v>
      </c>
    </row>
    <row r="50" spans="2:11" x14ac:dyDescent="0.25">
      <c r="B50" s="300" t="s">
        <v>507</v>
      </c>
      <c r="C50" s="76" t="s">
        <v>500</v>
      </c>
      <c r="D50" s="301">
        <v>0.15</v>
      </c>
      <c r="E50" s="264" t="s">
        <v>505</v>
      </c>
      <c r="F50" s="302">
        <v>0.86599999999999999</v>
      </c>
      <c r="G50" s="302">
        <v>0.876</v>
      </c>
      <c r="H50" s="302">
        <v>0.86899999999999999</v>
      </c>
      <c r="I50" s="302">
        <v>0.86599999999999999</v>
      </c>
      <c r="J50" s="302">
        <v>0.84799999999999998</v>
      </c>
      <c r="K50" s="302">
        <v>0.86099999999999999</v>
      </c>
    </row>
    <row r="51" spans="2:11" x14ac:dyDescent="0.25">
      <c r="B51" s="300" t="s">
        <v>507</v>
      </c>
      <c r="C51" s="76" t="s">
        <v>500</v>
      </c>
      <c r="D51" s="301">
        <v>0.2</v>
      </c>
      <c r="E51" s="264" t="s">
        <v>505</v>
      </c>
      <c r="F51" s="302">
        <v>0.84</v>
      </c>
      <c r="G51" s="302">
        <v>0.85299999999999998</v>
      </c>
      <c r="H51" s="302">
        <v>0.84699999999999998</v>
      </c>
      <c r="I51" s="302">
        <v>0.84099999999999997</v>
      </c>
      <c r="J51" s="302">
        <v>0.81799999999999995</v>
      </c>
      <c r="K51" s="302">
        <v>0.83399999999999996</v>
      </c>
    </row>
    <row r="52" spans="2:11" x14ac:dyDescent="0.25">
      <c r="B52" s="300" t="s">
        <v>507</v>
      </c>
      <c r="C52" s="76" t="s">
        <v>500</v>
      </c>
      <c r="D52" s="301">
        <v>0.25</v>
      </c>
      <c r="E52" s="264" t="s">
        <v>505</v>
      </c>
      <c r="F52" s="302">
        <v>0.81599999999999995</v>
      </c>
      <c r="G52" s="302">
        <v>0.83199999999999996</v>
      </c>
      <c r="H52" s="302">
        <v>0.82499999999999996</v>
      </c>
      <c r="I52" s="302">
        <v>0.81799999999999995</v>
      </c>
      <c r="J52" s="302">
        <v>0.78900000000000003</v>
      </c>
      <c r="K52" s="302">
        <v>0.80900000000000005</v>
      </c>
    </row>
    <row r="53" spans="2:11" x14ac:dyDescent="0.25">
      <c r="B53" s="300" t="s">
        <v>507</v>
      </c>
      <c r="C53" s="76" t="s">
        <v>500</v>
      </c>
      <c r="D53" s="301">
        <v>0.3</v>
      </c>
      <c r="E53" s="264" t="s">
        <v>505</v>
      </c>
      <c r="F53" s="302">
        <v>0.79400000000000004</v>
      </c>
      <c r="G53" s="302">
        <v>0.81200000000000006</v>
      </c>
      <c r="H53" s="302">
        <v>0.80500000000000005</v>
      </c>
      <c r="I53" s="302">
        <v>0.79700000000000004</v>
      </c>
      <c r="J53" s="302">
        <v>0.76300000000000001</v>
      </c>
      <c r="K53" s="302">
        <v>0.78600000000000003</v>
      </c>
    </row>
    <row r="54" spans="2:11" x14ac:dyDescent="0.25">
      <c r="B54" s="300" t="s">
        <v>507</v>
      </c>
      <c r="C54" s="76" t="s">
        <v>504</v>
      </c>
      <c r="D54" s="301">
        <v>0.08</v>
      </c>
      <c r="E54" s="264" t="s">
        <v>501</v>
      </c>
      <c r="F54" s="302">
        <v>0.82699999999999996</v>
      </c>
      <c r="G54" s="302">
        <v>0.82699999999999996</v>
      </c>
      <c r="H54" s="302">
        <v>0.84</v>
      </c>
      <c r="I54" s="302">
        <v>0.81399999999999995</v>
      </c>
      <c r="J54" s="302">
        <v>0.85399999999999998</v>
      </c>
      <c r="K54" s="302">
        <v>0.82099999999999995</v>
      </c>
    </row>
    <row r="55" spans="2:11" x14ac:dyDescent="0.25">
      <c r="B55" s="300" t="s">
        <v>507</v>
      </c>
      <c r="C55" s="76" t="s">
        <v>504</v>
      </c>
      <c r="D55" s="301">
        <v>0.15</v>
      </c>
      <c r="E55" s="264" t="s">
        <v>501</v>
      </c>
      <c r="F55" s="302">
        <v>0.82499999999999996</v>
      </c>
      <c r="G55" s="302">
        <v>0.82599999999999996</v>
      </c>
      <c r="H55" s="302">
        <v>0.83899999999999997</v>
      </c>
      <c r="I55" s="302">
        <v>0.81299999999999994</v>
      </c>
      <c r="J55" s="302">
        <v>0.84499999999999997</v>
      </c>
      <c r="K55" s="302">
        <v>0.81899999999999995</v>
      </c>
    </row>
    <row r="56" spans="2:11" x14ac:dyDescent="0.25">
      <c r="B56" s="300" t="s">
        <v>507</v>
      </c>
      <c r="C56" s="76" t="s">
        <v>504</v>
      </c>
      <c r="D56" s="301">
        <v>0.2</v>
      </c>
      <c r="E56" s="264" t="s">
        <v>501</v>
      </c>
      <c r="F56" s="302">
        <v>0.82099999999999995</v>
      </c>
      <c r="G56" s="302">
        <v>0.82399999999999995</v>
      </c>
      <c r="H56" s="302">
        <v>0.83599999999999997</v>
      </c>
      <c r="I56" s="302">
        <v>0.81100000000000005</v>
      </c>
      <c r="J56" s="302">
        <v>0.83699999999999997</v>
      </c>
      <c r="K56" s="302">
        <v>0.81499999999999995</v>
      </c>
    </row>
    <row r="57" spans="2:11" x14ac:dyDescent="0.25">
      <c r="B57" s="300" t="s">
        <v>507</v>
      </c>
      <c r="C57" s="76" t="s">
        <v>504</v>
      </c>
      <c r="D57" s="301">
        <v>0.25</v>
      </c>
      <c r="E57" s="264" t="s">
        <v>501</v>
      </c>
      <c r="F57" s="302">
        <v>0.81799999999999995</v>
      </c>
      <c r="G57" s="302">
        <v>0.82099999999999995</v>
      </c>
      <c r="H57" s="302">
        <v>0.83199999999999996</v>
      </c>
      <c r="I57" s="302">
        <v>0.80800000000000005</v>
      </c>
      <c r="J57" s="302">
        <v>0.82899999999999996</v>
      </c>
      <c r="K57" s="302">
        <v>0.81200000000000006</v>
      </c>
    </row>
    <row r="58" spans="2:11" x14ac:dyDescent="0.25">
      <c r="B58" s="300" t="s">
        <v>507</v>
      </c>
      <c r="C58" s="76" t="s">
        <v>504</v>
      </c>
      <c r="D58" s="301">
        <v>0.3</v>
      </c>
      <c r="E58" s="264" t="s">
        <v>501</v>
      </c>
      <c r="F58" s="302">
        <v>0.81299999999999994</v>
      </c>
      <c r="G58" s="302">
        <v>0.81699999999999995</v>
      </c>
      <c r="H58" s="302">
        <v>0.82699999999999996</v>
      </c>
      <c r="I58" s="302">
        <v>0.80400000000000005</v>
      </c>
      <c r="J58" s="302">
        <v>0.82</v>
      </c>
      <c r="K58" s="302">
        <v>0.80700000000000005</v>
      </c>
    </row>
    <row r="59" spans="2:11" x14ac:dyDescent="0.25">
      <c r="B59" s="300" t="s">
        <v>507</v>
      </c>
      <c r="C59" s="76" t="s">
        <v>504</v>
      </c>
      <c r="D59" s="301">
        <v>0.08</v>
      </c>
      <c r="E59" s="264" t="s">
        <v>505</v>
      </c>
      <c r="F59" s="302">
        <v>0.95899999999999996</v>
      </c>
      <c r="G59" s="302">
        <v>0.96799999999999997</v>
      </c>
      <c r="H59" s="302">
        <v>0.97499999999999998</v>
      </c>
      <c r="I59" s="302">
        <v>0.95499999999999996</v>
      </c>
      <c r="J59" s="302">
        <v>0.95399999999999996</v>
      </c>
      <c r="K59" s="302">
        <v>0.95699999999999996</v>
      </c>
    </row>
    <row r="60" spans="2:11" x14ac:dyDescent="0.25">
      <c r="B60" s="300" t="s">
        <v>507</v>
      </c>
      <c r="C60" s="76" t="s">
        <v>504</v>
      </c>
      <c r="D60" s="301">
        <v>0.15</v>
      </c>
      <c r="E60" s="264" t="s">
        <v>505</v>
      </c>
      <c r="F60" s="302">
        <v>0.95499999999999996</v>
      </c>
      <c r="G60" s="302">
        <v>0.97</v>
      </c>
      <c r="H60" s="302">
        <v>0.97499999999999998</v>
      </c>
      <c r="I60" s="302">
        <v>0.95299999999999996</v>
      </c>
      <c r="J60" s="302">
        <v>0.94099999999999995</v>
      </c>
      <c r="K60" s="302">
        <v>0.95199999999999996</v>
      </c>
    </row>
    <row r="61" spans="2:11" x14ac:dyDescent="0.25">
      <c r="B61" s="300" t="s">
        <v>507</v>
      </c>
      <c r="C61" s="76" t="s">
        <v>504</v>
      </c>
      <c r="D61" s="301">
        <v>0.2</v>
      </c>
      <c r="E61" s="264" t="s">
        <v>505</v>
      </c>
      <c r="F61" s="302">
        <v>0.95</v>
      </c>
      <c r="G61" s="302">
        <v>0.96799999999999997</v>
      </c>
      <c r="H61" s="302">
        <v>0.97099999999999997</v>
      </c>
      <c r="I61" s="302">
        <v>0.94799999999999995</v>
      </c>
      <c r="J61" s="302">
        <v>0.93100000000000005</v>
      </c>
      <c r="K61" s="302">
        <v>0.94699999999999995</v>
      </c>
    </row>
    <row r="62" spans="2:11" x14ac:dyDescent="0.25">
      <c r="B62" s="300" t="s">
        <v>507</v>
      </c>
      <c r="C62" s="76" t="s">
        <v>504</v>
      </c>
      <c r="D62" s="301">
        <v>0.25</v>
      </c>
      <c r="E62" s="264" t="s">
        <v>505</v>
      </c>
      <c r="F62" s="302">
        <v>0.94299999999999995</v>
      </c>
      <c r="G62" s="302">
        <v>0.96299999999999997</v>
      </c>
      <c r="H62" s="302">
        <v>0.96599999999999997</v>
      </c>
      <c r="I62" s="302">
        <v>0.94199999999999995</v>
      </c>
      <c r="J62" s="302">
        <v>0.91900000000000004</v>
      </c>
      <c r="K62" s="302">
        <v>0.94</v>
      </c>
    </row>
    <row r="63" spans="2:11" x14ac:dyDescent="0.25">
      <c r="B63" s="300" t="s">
        <v>507</v>
      </c>
      <c r="C63" s="76" t="s">
        <v>504</v>
      </c>
      <c r="D63" s="301">
        <v>0.3</v>
      </c>
      <c r="E63" s="264" t="s">
        <v>505</v>
      </c>
      <c r="F63" s="302">
        <v>0.93400000000000005</v>
      </c>
      <c r="G63" s="302">
        <v>0.95699999999999996</v>
      </c>
      <c r="H63" s="302">
        <v>0.95799999999999996</v>
      </c>
      <c r="I63" s="302">
        <v>0.93400000000000005</v>
      </c>
      <c r="J63" s="302">
        <v>0.90700000000000003</v>
      </c>
      <c r="K63" s="302">
        <v>0.93100000000000005</v>
      </c>
    </row>
    <row r="64" spans="2:11" x14ac:dyDescent="0.25">
      <c r="B64" s="300" t="s">
        <v>509</v>
      </c>
      <c r="C64" s="76" t="s">
        <v>500</v>
      </c>
      <c r="D64" s="301">
        <v>0.08</v>
      </c>
      <c r="E64" s="264" t="s">
        <v>501</v>
      </c>
      <c r="F64" s="302">
        <v>0.65700000000000003</v>
      </c>
      <c r="G64" s="302">
        <v>0.64600000000000002</v>
      </c>
      <c r="H64" s="302">
        <v>0.64800000000000002</v>
      </c>
      <c r="I64" s="302">
        <v>0.67</v>
      </c>
      <c r="J64" s="302">
        <v>0.61399999999999999</v>
      </c>
      <c r="K64" s="302">
        <v>0.65600000000000003</v>
      </c>
    </row>
    <row r="65" spans="2:11" x14ac:dyDescent="0.25">
      <c r="B65" s="300" t="s">
        <v>509</v>
      </c>
      <c r="C65" s="76" t="s">
        <v>500</v>
      </c>
      <c r="D65" s="301">
        <v>0.15</v>
      </c>
      <c r="E65" s="264" t="s">
        <v>501</v>
      </c>
      <c r="F65" s="302">
        <v>0.624</v>
      </c>
      <c r="G65" s="302">
        <v>0.61399999999999999</v>
      </c>
      <c r="H65" s="302">
        <v>0.61699999999999999</v>
      </c>
      <c r="I65" s="302">
        <v>0.63700000000000001</v>
      </c>
      <c r="J65" s="302">
        <v>0.58099999999999996</v>
      </c>
      <c r="K65" s="302">
        <v>0.623</v>
      </c>
    </row>
    <row r="66" spans="2:11" x14ac:dyDescent="0.25">
      <c r="B66" s="300" t="s">
        <v>509</v>
      </c>
      <c r="C66" s="76" t="s">
        <v>500</v>
      </c>
      <c r="D66" s="301">
        <v>0.2</v>
      </c>
      <c r="E66" s="264" t="s">
        <v>501</v>
      </c>
      <c r="F66" s="302">
        <v>0.60199999999999998</v>
      </c>
      <c r="G66" s="302">
        <v>0.59399999999999997</v>
      </c>
      <c r="H66" s="302">
        <v>0.59599999999999997</v>
      </c>
      <c r="I66" s="302">
        <v>0.61499999999999999</v>
      </c>
      <c r="J66" s="302">
        <v>0.55900000000000005</v>
      </c>
      <c r="K66" s="302">
        <v>0.60099999999999998</v>
      </c>
    </row>
    <row r="67" spans="2:11" x14ac:dyDescent="0.25">
      <c r="B67" s="300" t="s">
        <v>509</v>
      </c>
      <c r="C67" s="76" t="s">
        <v>500</v>
      </c>
      <c r="D67" s="301">
        <v>0.25</v>
      </c>
      <c r="E67" s="264" t="s">
        <v>501</v>
      </c>
      <c r="F67" s="302">
        <v>0.58199999999999996</v>
      </c>
      <c r="G67" s="302">
        <v>0.57399999999999995</v>
      </c>
      <c r="H67" s="302">
        <v>0.57699999999999996</v>
      </c>
      <c r="I67" s="302">
        <v>0.59399999999999997</v>
      </c>
      <c r="J67" s="302">
        <v>0.53800000000000003</v>
      </c>
      <c r="K67" s="302">
        <v>0.58099999999999996</v>
      </c>
    </row>
    <row r="68" spans="2:11" x14ac:dyDescent="0.25">
      <c r="B68" s="300" t="s">
        <v>509</v>
      </c>
      <c r="C68" s="76" t="s">
        <v>500</v>
      </c>
      <c r="D68" s="301">
        <v>0.3</v>
      </c>
      <c r="E68" s="264" t="s">
        <v>501</v>
      </c>
      <c r="F68" s="302">
        <v>0.56299999999999994</v>
      </c>
      <c r="G68" s="302">
        <v>0.55600000000000005</v>
      </c>
      <c r="H68" s="302">
        <v>0.55900000000000005</v>
      </c>
      <c r="I68" s="302">
        <v>0.57499999999999996</v>
      </c>
      <c r="J68" s="302">
        <v>0.52</v>
      </c>
      <c r="K68" s="302">
        <v>0.56200000000000006</v>
      </c>
    </row>
    <row r="69" spans="2:11" x14ac:dyDescent="0.25">
      <c r="B69" s="300" t="s">
        <v>509</v>
      </c>
      <c r="C69" s="76" t="s">
        <v>500</v>
      </c>
      <c r="D69" s="301">
        <v>0.08</v>
      </c>
      <c r="E69" s="264" t="s">
        <v>505</v>
      </c>
      <c r="F69" s="302">
        <v>0.79200000000000004</v>
      </c>
      <c r="G69" s="302">
        <v>0.78700000000000003</v>
      </c>
      <c r="H69" s="302">
        <v>0.78800000000000003</v>
      </c>
      <c r="I69" s="302">
        <v>0.79800000000000004</v>
      </c>
      <c r="J69" s="302">
        <v>0.76700000000000002</v>
      </c>
      <c r="K69" s="302">
        <v>0.78900000000000003</v>
      </c>
    </row>
    <row r="70" spans="2:11" x14ac:dyDescent="0.25">
      <c r="B70" s="300" t="s">
        <v>509</v>
      </c>
      <c r="C70" s="76" t="s">
        <v>500</v>
      </c>
      <c r="D70" s="301">
        <v>0.15</v>
      </c>
      <c r="E70" s="264" t="s">
        <v>505</v>
      </c>
      <c r="F70" s="302">
        <v>0.74199999999999999</v>
      </c>
      <c r="G70" s="302">
        <v>0.73599999999999999</v>
      </c>
      <c r="H70" s="302">
        <v>0.73899999999999999</v>
      </c>
      <c r="I70" s="302">
        <v>0.748</v>
      </c>
      <c r="J70" s="302">
        <v>0.71399999999999997</v>
      </c>
      <c r="K70" s="302">
        <v>0.73799999999999999</v>
      </c>
    </row>
    <row r="71" spans="2:11" x14ac:dyDescent="0.25">
      <c r="B71" s="300" t="s">
        <v>509</v>
      </c>
      <c r="C71" s="76" t="s">
        <v>500</v>
      </c>
      <c r="D71" s="301">
        <v>0.2</v>
      </c>
      <c r="E71" s="264" t="s">
        <v>505</v>
      </c>
      <c r="F71" s="302">
        <v>0.71</v>
      </c>
      <c r="G71" s="302">
        <v>0.70399999999999996</v>
      </c>
      <c r="H71" s="302">
        <v>0.70699999999999996</v>
      </c>
      <c r="I71" s="302">
        <v>0.71599999999999997</v>
      </c>
      <c r="J71" s="302">
        <v>0.67900000000000005</v>
      </c>
      <c r="K71" s="302">
        <v>0.70499999999999996</v>
      </c>
    </row>
    <row r="72" spans="2:11" x14ac:dyDescent="0.25">
      <c r="B72" s="300" t="s">
        <v>509</v>
      </c>
      <c r="C72" s="76" t="s">
        <v>500</v>
      </c>
      <c r="D72" s="301">
        <v>0.25</v>
      </c>
      <c r="E72" s="264" t="s">
        <v>505</v>
      </c>
      <c r="F72" s="302">
        <v>0.68</v>
      </c>
      <c r="G72" s="302">
        <v>0.67400000000000004</v>
      </c>
      <c r="H72" s="302">
        <v>0.67800000000000005</v>
      </c>
      <c r="I72" s="302">
        <v>0.68600000000000005</v>
      </c>
      <c r="J72" s="302">
        <v>0.64800000000000002</v>
      </c>
      <c r="K72" s="302">
        <v>0.67600000000000005</v>
      </c>
    </row>
    <row r="73" spans="2:11" x14ac:dyDescent="0.25">
      <c r="B73" s="300" t="s">
        <v>509</v>
      </c>
      <c r="C73" s="76" t="s">
        <v>500</v>
      </c>
      <c r="D73" s="301">
        <v>0.3</v>
      </c>
      <c r="E73" s="264" t="s">
        <v>505</v>
      </c>
      <c r="F73" s="302">
        <v>0.65200000000000002</v>
      </c>
      <c r="G73" s="302">
        <v>0.64600000000000002</v>
      </c>
      <c r="H73" s="302">
        <v>0.65200000000000002</v>
      </c>
      <c r="I73" s="302">
        <v>0.65900000000000003</v>
      </c>
      <c r="J73" s="302">
        <v>0.61899999999999999</v>
      </c>
      <c r="K73" s="302">
        <v>0.64800000000000002</v>
      </c>
    </row>
    <row r="74" spans="2:11" x14ac:dyDescent="0.25">
      <c r="B74" s="300" t="s">
        <v>509</v>
      </c>
      <c r="C74" s="76" t="s">
        <v>504</v>
      </c>
      <c r="D74" s="301">
        <v>0.08</v>
      </c>
      <c r="E74" s="264" t="s">
        <v>501</v>
      </c>
      <c r="F74" s="302">
        <v>0.82499999999999996</v>
      </c>
      <c r="G74" s="302">
        <v>0.82199999999999995</v>
      </c>
      <c r="H74" s="302">
        <v>0.82499999999999996</v>
      </c>
      <c r="I74" s="302">
        <v>0.81599999999999995</v>
      </c>
      <c r="J74" s="302">
        <v>0.83799999999999997</v>
      </c>
      <c r="K74" s="302">
        <v>0.81699999999999995</v>
      </c>
    </row>
    <row r="75" spans="2:11" x14ac:dyDescent="0.25">
      <c r="B75" s="300" t="s">
        <v>509</v>
      </c>
      <c r="C75" s="76" t="s">
        <v>504</v>
      </c>
      <c r="D75" s="301">
        <v>0.15</v>
      </c>
      <c r="E75" s="264" t="s">
        <v>501</v>
      </c>
      <c r="F75" s="302">
        <v>0.81799999999999995</v>
      </c>
      <c r="G75" s="302">
        <v>0.81699999999999995</v>
      </c>
      <c r="H75" s="302">
        <v>0.81899999999999995</v>
      </c>
      <c r="I75" s="302">
        <v>0.80900000000000005</v>
      </c>
      <c r="J75" s="302">
        <v>0.82699999999999996</v>
      </c>
      <c r="K75" s="302">
        <v>0.81</v>
      </c>
    </row>
    <row r="76" spans="2:11" x14ac:dyDescent="0.25">
      <c r="B76" s="300" t="s">
        <v>509</v>
      </c>
      <c r="C76" s="76" t="s">
        <v>504</v>
      </c>
      <c r="D76" s="301">
        <v>0.2</v>
      </c>
      <c r="E76" s="264" t="s">
        <v>501</v>
      </c>
      <c r="F76" s="302">
        <v>0.81200000000000006</v>
      </c>
      <c r="G76" s="302">
        <v>0.81200000000000006</v>
      </c>
      <c r="H76" s="302">
        <v>0.81299999999999994</v>
      </c>
      <c r="I76" s="302">
        <v>0.80400000000000005</v>
      </c>
      <c r="J76" s="302">
        <v>0.81799999999999995</v>
      </c>
      <c r="K76" s="302">
        <v>0.80400000000000005</v>
      </c>
    </row>
    <row r="77" spans="2:11" x14ac:dyDescent="0.25">
      <c r="B77" s="300" t="s">
        <v>509</v>
      </c>
      <c r="C77" s="76" t="s">
        <v>504</v>
      </c>
      <c r="D77" s="301">
        <v>0.25</v>
      </c>
      <c r="E77" s="264" t="s">
        <v>501</v>
      </c>
      <c r="F77" s="302">
        <v>0.80500000000000005</v>
      </c>
      <c r="G77" s="302">
        <v>0.80600000000000005</v>
      </c>
      <c r="H77" s="302">
        <v>0.80700000000000005</v>
      </c>
      <c r="I77" s="302">
        <v>0.79800000000000004</v>
      </c>
      <c r="J77" s="302">
        <v>0.80900000000000005</v>
      </c>
      <c r="K77" s="302">
        <v>0.79700000000000004</v>
      </c>
    </row>
    <row r="78" spans="2:11" x14ac:dyDescent="0.25">
      <c r="B78" s="300" t="s">
        <v>509</v>
      </c>
      <c r="C78" s="76" t="s">
        <v>504</v>
      </c>
      <c r="D78" s="301">
        <v>0.3</v>
      </c>
      <c r="E78" s="264" t="s">
        <v>501</v>
      </c>
      <c r="F78" s="302">
        <v>0.79800000000000004</v>
      </c>
      <c r="G78" s="302">
        <v>0.8</v>
      </c>
      <c r="H78" s="302">
        <v>0.8</v>
      </c>
      <c r="I78" s="302">
        <v>0.79100000000000004</v>
      </c>
      <c r="J78" s="302">
        <v>0.79900000000000004</v>
      </c>
      <c r="K78" s="302">
        <v>0.79</v>
      </c>
    </row>
    <row r="79" spans="2:11" x14ac:dyDescent="0.25">
      <c r="B79" s="300" t="s">
        <v>509</v>
      </c>
      <c r="C79" s="76" t="s">
        <v>504</v>
      </c>
      <c r="D79" s="301">
        <v>0.08</v>
      </c>
      <c r="E79" s="264" t="s">
        <v>505</v>
      </c>
      <c r="F79" s="302">
        <v>0.93200000000000005</v>
      </c>
      <c r="G79" s="302">
        <v>0.93400000000000005</v>
      </c>
      <c r="H79" s="302">
        <v>0.93500000000000005</v>
      </c>
      <c r="I79" s="302">
        <v>0.92700000000000005</v>
      </c>
      <c r="J79" s="302">
        <v>0.93100000000000005</v>
      </c>
      <c r="K79" s="302">
        <v>0.92800000000000005</v>
      </c>
    </row>
    <row r="80" spans="2:11" x14ac:dyDescent="0.25">
      <c r="B80" s="300" t="s">
        <v>509</v>
      </c>
      <c r="C80" s="76" t="s">
        <v>504</v>
      </c>
      <c r="D80" s="301">
        <v>0.15</v>
      </c>
      <c r="E80" s="264" t="s">
        <v>505</v>
      </c>
      <c r="F80" s="302">
        <v>0.92100000000000004</v>
      </c>
      <c r="G80" s="302">
        <v>0.92600000000000005</v>
      </c>
      <c r="H80" s="302">
        <v>0.92400000000000004</v>
      </c>
      <c r="I80" s="302">
        <v>0.91700000000000004</v>
      </c>
      <c r="J80" s="302">
        <v>0.91500000000000004</v>
      </c>
      <c r="K80" s="302">
        <v>0.91600000000000004</v>
      </c>
    </row>
    <row r="81" spans="2:11" x14ac:dyDescent="0.25">
      <c r="B81" s="300" t="s">
        <v>509</v>
      </c>
      <c r="C81" s="76" t="s">
        <v>504</v>
      </c>
      <c r="D81" s="301">
        <v>0.2</v>
      </c>
      <c r="E81" s="264" t="s">
        <v>505</v>
      </c>
      <c r="F81" s="302">
        <v>0.91200000000000003</v>
      </c>
      <c r="G81" s="302">
        <v>0.91800000000000004</v>
      </c>
      <c r="H81" s="302">
        <v>0.91600000000000004</v>
      </c>
      <c r="I81" s="302">
        <v>0.90800000000000003</v>
      </c>
      <c r="J81" s="302">
        <v>0.90400000000000003</v>
      </c>
      <c r="K81" s="302">
        <v>0.90700000000000003</v>
      </c>
    </row>
    <row r="82" spans="2:11" x14ac:dyDescent="0.25">
      <c r="B82" s="300" t="s">
        <v>509</v>
      </c>
      <c r="C82" s="76" t="s">
        <v>504</v>
      </c>
      <c r="D82" s="301">
        <v>0.25</v>
      </c>
      <c r="E82" s="264" t="s">
        <v>505</v>
      </c>
      <c r="F82" s="302">
        <v>0.90300000000000002</v>
      </c>
      <c r="G82" s="302">
        <v>0.91</v>
      </c>
      <c r="H82" s="302">
        <v>0.90700000000000003</v>
      </c>
      <c r="I82" s="302">
        <v>0.89900000000000002</v>
      </c>
      <c r="J82" s="302">
        <v>0.89100000000000001</v>
      </c>
      <c r="K82" s="302">
        <v>0.89700000000000002</v>
      </c>
    </row>
    <row r="83" spans="2:11" x14ac:dyDescent="0.25">
      <c r="B83" s="300" t="s">
        <v>509</v>
      </c>
      <c r="C83" s="76" t="s">
        <v>504</v>
      </c>
      <c r="D83" s="301">
        <v>0.3</v>
      </c>
      <c r="E83" s="264" t="s">
        <v>505</v>
      </c>
      <c r="F83" s="302">
        <v>0.89200000000000002</v>
      </c>
      <c r="G83" s="302">
        <v>0.90200000000000002</v>
      </c>
      <c r="H83" s="302">
        <v>0.89700000000000002</v>
      </c>
      <c r="I83" s="302">
        <v>0.88900000000000001</v>
      </c>
      <c r="J83" s="302">
        <v>0.879</v>
      </c>
      <c r="K83" s="302">
        <v>0.88700000000000001</v>
      </c>
    </row>
    <row r="84" spans="2:11" x14ac:dyDescent="0.25">
      <c r="B84" s="300" t="s">
        <v>298</v>
      </c>
      <c r="C84" s="76" t="s">
        <v>500</v>
      </c>
      <c r="D84" s="301">
        <v>0.08</v>
      </c>
      <c r="E84" s="264" t="s">
        <v>501</v>
      </c>
      <c r="F84" s="302">
        <v>0.79800000000000004</v>
      </c>
      <c r="G84" s="302">
        <v>0.79900000000000004</v>
      </c>
      <c r="H84" s="302">
        <v>0.79700000000000004</v>
      </c>
      <c r="I84" s="302">
        <v>0.80900000000000005</v>
      </c>
      <c r="J84" s="302">
        <v>0.75900000000000001</v>
      </c>
      <c r="K84" s="302">
        <v>0.78800000000000003</v>
      </c>
    </row>
    <row r="85" spans="2:11" x14ac:dyDescent="0.25">
      <c r="B85" s="300" t="s">
        <v>298</v>
      </c>
      <c r="C85" s="76" t="s">
        <v>500</v>
      </c>
      <c r="D85" s="301">
        <v>0.15</v>
      </c>
      <c r="E85" s="264" t="s">
        <v>501</v>
      </c>
      <c r="F85" s="302">
        <v>0.76900000000000002</v>
      </c>
      <c r="G85" s="302">
        <v>0.77100000000000002</v>
      </c>
      <c r="H85" s="302">
        <v>0.77</v>
      </c>
      <c r="I85" s="302">
        <v>0.78</v>
      </c>
      <c r="J85" s="302">
        <v>0.72699999999999998</v>
      </c>
      <c r="K85" s="302">
        <v>0.75900000000000001</v>
      </c>
    </row>
    <row r="86" spans="2:11" x14ac:dyDescent="0.25">
      <c r="B86" s="300" t="s">
        <v>298</v>
      </c>
      <c r="C86" s="76" t="s">
        <v>500</v>
      </c>
      <c r="D86" s="301">
        <v>0.2</v>
      </c>
      <c r="E86" s="264" t="s">
        <v>501</v>
      </c>
      <c r="F86" s="302">
        <v>0.749</v>
      </c>
      <c r="G86" s="302">
        <v>0.753</v>
      </c>
      <c r="H86" s="302">
        <v>0.751</v>
      </c>
      <c r="I86" s="302">
        <v>0.76</v>
      </c>
      <c r="J86" s="302">
        <v>0.70699999999999996</v>
      </c>
      <c r="K86" s="302">
        <v>0.73899999999999999</v>
      </c>
    </row>
    <row r="87" spans="2:11" x14ac:dyDescent="0.25">
      <c r="B87" s="300" t="s">
        <v>298</v>
      </c>
      <c r="C87" s="76" t="s">
        <v>500</v>
      </c>
      <c r="D87" s="301">
        <v>0.25</v>
      </c>
      <c r="E87" s="264" t="s">
        <v>501</v>
      </c>
      <c r="F87" s="302">
        <v>0.73</v>
      </c>
      <c r="G87" s="302">
        <v>0.73499999999999999</v>
      </c>
      <c r="H87" s="302">
        <v>0.73299999999999998</v>
      </c>
      <c r="I87" s="302">
        <v>0.74199999999999999</v>
      </c>
      <c r="J87" s="302">
        <v>0.68600000000000005</v>
      </c>
      <c r="K87" s="302">
        <v>0.72</v>
      </c>
    </row>
    <row r="88" spans="2:11" x14ac:dyDescent="0.25">
      <c r="B88" s="300" t="s">
        <v>298</v>
      </c>
      <c r="C88" s="76" t="s">
        <v>500</v>
      </c>
      <c r="D88" s="301">
        <v>0.3</v>
      </c>
      <c r="E88" s="264" t="s">
        <v>501</v>
      </c>
      <c r="F88" s="302">
        <v>0.71199999999999997</v>
      </c>
      <c r="G88" s="302">
        <v>0.71899999999999997</v>
      </c>
      <c r="H88" s="302">
        <v>0.71699999999999997</v>
      </c>
      <c r="I88" s="302">
        <v>0.72499999999999998</v>
      </c>
      <c r="J88" s="302">
        <v>0.66800000000000004</v>
      </c>
      <c r="K88" s="302">
        <v>0.70299999999999996</v>
      </c>
    </row>
    <row r="89" spans="2:11" x14ac:dyDescent="0.25">
      <c r="B89" s="300" t="s">
        <v>298</v>
      </c>
      <c r="C89" s="76" t="s">
        <v>500</v>
      </c>
      <c r="D89" s="301">
        <v>0.08</v>
      </c>
      <c r="E89" s="264" t="s">
        <v>505</v>
      </c>
      <c r="F89" s="302">
        <v>0.88700000000000001</v>
      </c>
      <c r="G89" s="302">
        <v>0.89100000000000001</v>
      </c>
      <c r="H89" s="302">
        <v>0.88800000000000001</v>
      </c>
      <c r="I89" s="302">
        <v>0.89</v>
      </c>
      <c r="J89" s="302">
        <v>0.85799999999999998</v>
      </c>
      <c r="K89" s="302">
        <v>0.876</v>
      </c>
    </row>
    <row r="90" spans="2:11" x14ac:dyDescent="0.25">
      <c r="B90" s="300" t="s">
        <v>298</v>
      </c>
      <c r="C90" s="76" t="s">
        <v>500</v>
      </c>
      <c r="D90" s="301">
        <v>0.15</v>
      </c>
      <c r="E90" s="264" t="s">
        <v>505</v>
      </c>
      <c r="F90" s="302">
        <v>0.84699999999999998</v>
      </c>
      <c r="G90" s="302">
        <v>0.85199999999999998</v>
      </c>
      <c r="H90" s="302">
        <v>0.85</v>
      </c>
      <c r="I90" s="302">
        <v>0.85099999999999998</v>
      </c>
      <c r="J90" s="302">
        <v>0.81299999999999994</v>
      </c>
      <c r="K90" s="302">
        <v>0.83499999999999996</v>
      </c>
    </row>
    <row r="91" spans="2:11" x14ac:dyDescent="0.25">
      <c r="B91" s="300" t="s">
        <v>298</v>
      </c>
      <c r="C91" s="76" t="s">
        <v>500</v>
      </c>
      <c r="D91" s="301">
        <v>0.2</v>
      </c>
      <c r="E91" s="264" t="s">
        <v>505</v>
      </c>
      <c r="F91" s="302">
        <v>0.82</v>
      </c>
      <c r="G91" s="302">
        <v>0.82699999999999996</v>
      </c>
      <c r="H91" s="302">
        <v>0.82399999999999995</v>
      </c>
      <c r="I91" s="302">
        <v>0.82599999999999996</v>
      </c>
      <c r="J91" s="302">
        <v>0.78300000000000003</v>
      </c>
      <c r="K91" s="302">
        <v>0.80800000000000005</v>
      </c>
    </row>
    <row r="92" spans="2:11" x14ac:dyDescent="0.25">
      <c r="B92" s="300" t="s">
        <v>298</v>
      </c>
      <c r="C92" s="76" t="s">
        <v>500</v>
      </c>
      <c r="D92" s="301">
        <v>0.25</v>
      </c>
      <c r="E92" s="264" t="s">
        <v>505</v>
      </c>
      <c r="F92" s="302">
        <v>0.79500000000000004</v>
      </c>
      <c r="G92" s="302">
        <v>0.80300000000000005</v>
      </c>
      <c r="H92" s="302">
        <v>0.8</v>
      </c>
      <c r="I92" s="302">
        <v>0.80200000000000005</v>
      </c>
      <c r="J92" s="302">
        <v>0.75600000000000001</v>
      </c>
      <c r="K92" s="302">
        <v>0.78300000000000003</v>
      </c>
    </row>
    <row r="93" spans="2:11" x14ac:dyDescent="0.25">
      <c r="B93" s="300" t="s">
        <v>298</v>
      </c>
      <c r="C93" s="76" t="s">
        <v>500</v>
      </c>
      <c r="D93" s="301">
        <v>0.3</v>
      </c>
      <c r="E93" s="264" t="s">
        <v>505</v>
      </c>
      <c r="F93" s="302">
        <v>0.77200000000000002</v>
      </c>
      <c r="G93" s="302">
        <v>0.78</v>
      </c>
      <c r="H93" s="302">
        <v>0.77800000000000002</v>
      </c>
      <c r="I93" s="302">
        <v>0.78</v>
      </c>
      <c r="J93" s="302">
        <v>0.73099999999999998</v>
      </c>
      <c r="K93" s="302">
        <v>0.75900000000000001</v>
      </c>
    </row>
    <row r="94" spans="2:11" x14ac:dyDescent="0.25">
      <c r="B94" s="300" t="s">
        <v>298</v>
      </c>
      <c r="C94" s="76" t="s">
        <v>504</v>
      </c>
      <c r="D94" s="301">
        <v>0.08</v>
      </c>
      <c r="E94" s="264" t="s">
        <v>501</v>
      </c>
      <c r="F94" s="302">
        <v>0.84399999999999997</v>
      </c>
      <c r="G94" s="302">
        <v>0.83399999999999996</v>
      </c>
      <c r="H94" s="302">
        <v>0.84399999999999997</v>
      </c>
      <c r="I94" s="302">
        <v>0.83599999999999997</v>
      </c>
      <c r="J94" s="302">
        <v>0.87</v>
      </c>
      <c r="K94" s="302">
        <v>0.84599999999999997</v>
      </c>
    </row>
    <row r="95" spans="2:11" x14ac:dyDescent="0.25">
      <c r="B95" s="300" t="s">
        <v>298</v>
      </c>
      <c r="C95" s="76" t="s">
        <v>504</v>
      </c>
      <c r="D95" s="301">
        <v>0.15</v>
      </c>
      <c r="E95" s="264" t="s">
        <v>501</v>
      </c>
      <c r="F95" s="302">
        <v>0.83599999999999997</v>
      </c>
      <c r="G95" s="302">
        <v>0.82799999999999996</v>
      </c>
      <c r="H95" s="302">
        <v>0.83699999999999997</v>
      </c>
      <c r="I95" s="302">
        <v>0.82899999999999996</v>
      </c>
      <c r="J95" s="302">
        <v>0.85799999999999998</v>
      </c>
      <c r="K95" s="302">
        <v>0.83899999999999997</v>
      </c>
    </row>
    <row r="96" spans="2:11" x14ac:dyDescent="0.25">
      <c r="B96" s="300" t="s">
        <v>298</v>
      </c>
      <c r="C96" s="76" t="s">
        <v>504</v>
      </c>
      <c r="D96" s="301">
        <v>0.2</v>
      </c>
      <c r="E96" s="264" t="s">
        <v>501</v>
      </c>
      <c r="F96" s="302">
        <v>0.83</v>
      </c>
      <c r="G96" s="302">
        <v>0.82199999999999995</v>
      </c>
      <c r="H96" s="302">
        <v>0.83099999999999996</v>
      </c>
      <c r="I96" s="302">
        <v>0.82399999999999995</v>
      </c>
      <c r="J96" s="302">
        <v>0.84899999999999998</v>
      </c>
      <c r="K96" s="302">
        <v>0.83199999999999996</v>
      </c>
    </row>
    <row r="97" spans="2:11" x14ac:dyDescent="0.25">
      <c r="B97" s="300" t="s">
        <v>298</v>
      </c>
      <c r="C97" s="76" t="s">
        <v>504</v>
      </c>
      <c r="D97" s="301">
        <v>0.25</v>
      </c>
      <c r="E97" s="264" t="s">
        <v>501</v>
      </c>
      <c r="F97" s="302">
        <v>0.82299999999999995</v>
      </c>
      <c r="G97" s="302">
        <v>0.81499999999999995</v>
      </c>
      <c r="H97" s="302">
        <v>0.82399999999999995</v>
      </c>
      <c r="I97" s="302">
        <v>0.81699999999999995</v>
      </c>
      <c r="J97" s="302">
        <v>0.84</v>
      </c>
      <c r="K97" s="302">
        <v>0.82499999999999996</v>
      </c>
    </row>
    <row r="98" spans="2:11" x14ac:dyDescent="0.25">
      <c r="B98" s="300" t="s">
        <v>298</v>
      </c>
      <c r="C98" s="76" t="s">
        <v>504</v>
      </c>
      <c r="D98" s="301">
        <v>0.3</v>
      </c>
      <c r="E98" s="264" t="s">
        <v>501</v>
      </c>
      <c r="F98" s="302">
        <v>0.81499999999999995</v>
      </c>
      <c r="G98" s="302">
        <v>0.80800000000000005</v>
      </c>
      <c r="H98" s="302">
        <v>0.81499999999999995</v>
      </c>
      <c r="I98" s="302">
        <v>0.81</v>
      </c>
      <c r="J98" s="302">
        <v>0.82899999999999996</v>
      </c>
      <c r="K98" s="302">
        <v>0.81699999999999995</v>
      </c>
    </row>
    <row r="99" spans="2:11" x14ac:dyDescent="0.25">
      <c r="B99" s="300" t="s">
        <v>298</v>
      </c>
      <c r="C99" s="76" t="s">
        <v>504</v>
      </c>
      <c r="D99" s="301">
        <v>0.08</v>
      </c>
      <c r="E99" s="264" t="s">
        <v>505</v>
      </c>
      <c r="F99" s="302">
        <v>0.94699999999999995</v>
      </c>
      <c r="G99" s="302">
        <v>0.94599999999999995</v>
      </c>
      <c r="H99" s="302">
        <v>0.95</v>
      </c>
      <c r="I99" s="302">
        <v>0.94499999999999995</v>
      </c>
      <c r="J99" s="302">
        <v>0.95399999999999996</v>
      </c>
      <c r="K99" s="302">
        <v>0.95299999999999996</v>
      </c>
    </row>
    <row r="100" spans="2:11" x14ac:dyDescent="0.25">
      <c r="B100" s="300" t="s">
        <v>298</v>
      </c>
      <c r="C100" s="76" t="s">
        <v>504</v>
      </c>
      <c r="D100" s="301">
        <v>0.15</v>
      </c>
      <c r="E100" s="264" t="s">
        <v>505</v>
      </c>
      <c r="F100" s="302">
        <v>0.93500000000000005</v>
      </c>
      <c r="G100" s="302">
        <v>0.93700000000000006</v>
      </c>
      <c r="H100" s="302">
        <v>0.93899999999999995</v>
      </c>
      <c r="I100" s="302">
        <v>0.93500000000000005</v>
      </c>
      <c r="J100" s="302">
        <v>0.93700000000000006</v>
      </c>
      <c r="K100" s="302">
        <v>0.94099999999999995</v>
      </c>
    </row>
    <row r="101" spans="2:11" x14ac:dyDescent="0.25">
      <c r="B101" s="300" t="s">
        <v>298</v>
      </c>
      <c r="C101" s="76" t="s">
        <v>504</v>
      </c>
      <c r="D101" s="301">
        <v>0.2</v>
      </c>
      <c r="E101" s="264" t="s">
        <v>505</v>
      </c>
      <c r="F101" s="302">
        <v>0.92600000000000005</v>
      </c>
      <c r="G101" s="302">
        <v>0.92900000000000005</v>
      </c>
      <c r="H101" s="302">
        <v>0.93</v>
      </c>
      <c r="I101" s="302">
        <v>0.92500000000000004</v>
      </c>
      <c r="J101" s="302">
        <v>0.92500000000000004</v>
      </c>
      <c r="K101" s="302">
        <v>0.93100000000000005</v>
      </c>
    </row>
    <row r="102" spans="2:11" x14ac:dyDescent="0.25">
      <c r="B102" s="300" t="s">
        <v>298</v>
      </c>
      <c r="C102" s="76" t="s">
        <v>504</v>
      </c>
      <c r="D102" s="301">
        <v>0.25</v>
      </c>
      <c r="E102" s="264" t="s">
        <v>505</v>
      </c>
      <c r="F102" s="302">
        <v>0.91500000000000004</v>
      </c>
      <c r="G102" s="302">
        <v>0.91900000000000004</v>
      </c>
      <c r="H102" s="302">
        <v>0.92</v>
      </c>
      <c r="I102" s="302">
        <v>0.91500000000000004</v>
      </c>
      <c r="J102" s="302">
        <v>0.91100000000000003</v>
      </c>
      <c r="K102" s="302">
        <v>0.92</v>
      </c>
    </row>
    <row r="103" spans="2:11" x14ac:dyDescent="0.25">
      <c r="B103" s="300" t="s">
        <v>298</v>
      </c>
      <c r="C103" s="76" t="s">
        <v>504</v>
      </c>
      <c r="D103" s="301">
        <v>0.3</v>
      </c>
      <c r="E103" s="264" t="s">
        <v>505</v>
      </c>
      <c r="F103" s="302">
        <v>0.90300000000000002</v>
      </c>
      <c r="G103" s="302">
        <v>0.90900000000000003</v>
      </c>
      <c r="H103" s="302">
        <v>0.90900000000000003</v>
      </c>
      <c r="I103" s="302">
        <v>0.90300000000000002</v>
      </c>
      <c r="J103" s="302">
        <v>0.89800000000000002</v>
      </c>
      <c r="K103" s="302">
        <v>0.90800000000000003</v>
      </c>
    </row>
  </sheetData>
  <sheetProtection algorithmName="SHA-512" hashValue="n5NRzNzqzFOfdz7mSWPzQyB/IXiAG9GXaNSqBcsPcmywqTgidjv1+bv9abJ5l95pALdMwqpkik774siZ/PYraQ==" saltValue="7BBN6m4u11bklj2fNKX8XQ==" spinCount="100000" sheet="1" objects="1" scenarios="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004C-C396-46DA-9971-632BE996DD01}">
  <sheetPr>
    <tabColor theme="5"/>
  </sheetPr>
  <dimension ref="B2:Y65"/>
  <sheetViews>
    <sheetView zoomScaleNormal="100" workbookViewId="0">
      <selection activeCell="P16" sqref="A16:P16"/>
    </sheetView>
  </sheetViews>
  <sheetFormatPr defaultColWidth="9.140625" defaultRowHeight="15" x14ac:dyDescent="0.25"/>
  <cols>
    <col min="1" max="1" width="4.140625" style="65" customWidth="1"/>
    <col min="2" max="2" width="33.28515625" style="65" customWidth="1"/>
    <col min="3" max="8" width="13.7109375" style="65" customWidth="1"/>
    <col min="9" max="10" width="13.5703125" style="65" customWidth="1"/>
    <col min="11" max="11" width="9.140625" style="65"/>
    <col min="12" max="12" width="20.42578125" style="65" bestFit="1" customWidth="1"/>
    <col min="13" max="16" width="9.140625" style="65"/>
    <col min="17" max="17" width="21.5703125" style="65" bestFit="1" customWidth="1"/>
    <col min="18" max="16384" width="9.140625" style="65"/>
  </cols>
  <sheetData>
    <row r="2" spans="2:13" x14ac:dyDescent="0.25">
      <c r="B2" s="487" t="s">
        <v>251</v>
      </c>
      <c r="C2" s="488"/>
      <c r="D2" s="488"/>
      <c r="E2" s="488"/>
      <c r="F2" s="489"/>
      <c r="G2" s="490"/>
      <c r="M2" s="490"/>
    </row>
    <row r="3" spans="2:13" x14ac:dyDescent="0.25">
      <c r="B3" s="491" t="s">
        <v>875</v>
      </c>
      <c r="C3" s="492" t="s">
        <v>256</v>
      </c>
      <c r="D3" s="493" t="s">
        <v>260</v>
      </c>
      <c r="E3" s="492" t="s">
        <v>264</v>
      </c>
      <c r="F3" s="494" t="s">
        <v>267</v>
      </c>
      <c r="G3" s="495" t="s">
        <v>174</v>
      </c>
    </row>
    <row r="4" spans="2:13" x14ac:dyDescent="0.25">
      <c r="B4" s="496" t="s">
        <v>211</v>
      </c>
      <c r="C4" s="272">
        <v>1060</v>
      </c>
      <c r="D4" s="269">
        <v>982</v>
      </c>
      <c r="E4" s="269">
        <v>965</v>
      </c>
      <c r="F4" s="271">
        <v>695</v>
      </c>
      <c r="G4" s="264" t="s">
        <v>876</v>
      </c>
    </row>
    <row r="5" spans="2:13" ht="15" customHeight="1" x14ac:dyDescent="0.25">
      <c r="B5" s="496" t="s">
        <v>212</v>
      </c>
      <c r="C5" s="272">
        <v>1405</v>
      </c>
      <c r="D5" s="272">
        <v>1328</v>
      </c>
      <c r="E5" s="272">
        <v>1252</v>
      </c>
      <c r="F5" s="271">
        <v>904</v>
      </c>
      <c r="G5" s="264" t="s">
        <v>876</v>
      </c>
    </row>
    <row r="6" spans="2:13" x14ac:dyDescent="0.25">
      <c r="B6" s="496" t="s">
        <v>213</v>
      </c>
      <c r="C6" s="272">
        <v>1242</v>
      </c>
      <c r="D6" s="272">
        <v>1181</v>
      </c>
      <c r="E6" s="272">
        <v>1178</v>
      </c>
      <c r="F6" s="271">
        <v>856</v>
      </c>
      <c r="G6" s="264" t="s">
        <v>876</v>
      </c>
    </row>
    <row r="7" spans="2:13" x14ac:dyDescent="0.25">
      <c r="B7" s="496" t="s">
        <v>214</v>
      </c>
      <c r="C7" s="272">
        <v>1412</v>
      </c>
      <c r="D7" s="272">
        <v>1287</v>
      </c>
      <c r="E7" s="272">
        <v>1306</v>
      </c>
      <c r="F7" s="271">
        <v>950</v>
      </c>
      <c r="G7" s="264" t="s">
        <v>876</v>
      </c>
    </row>
    <row r="8" spans="2:13" x14ac:dyDescent="0.25">
      <c r="B8" s="496" t="s">
        <v>216</v>
      </c>
      <c r="C8" s="269">
        <v>974</v>
      </c>
      <c r="D8" s="269">
        <v>738</v>
      </c>
      <c r="E8" s="269">
        <v>705</v>
      </c>
      <c r="F8" s="271">
        <v>491</v>
      </c>
      <c r="G8" s="264" t="s">
        <v>876</v>
      </c>
    </row>
    <row r="9" spans="2:13" ht="15" customHeight="1" x14ac:dyDescent="0.25">
      <c r="B9" s="496" t="s">
        <v>218</v>
      </c>
      <c r="C9" s="269">
        <v>858</v>
      </c>
      <c r="D9" s="269">
        <v>895</v>
      </c>
      <c r="E9" s="269">
        <v>869</v>
      </c>
      <c r="F9" s="271">
        <v>617</v>
      </c>
      <c r="G9" s="264" t="s">
        <v>876</v>
      </c>
    </row>
    <row r="10" spans="2:13" x14ac:dyDescent="0.25">
      <c r="B10" s="496" t="s">
        <v>219</v>
      </c>
      <c r="C10" s="269">
        <v>1379</v>
      </c>
      <c r="D10" s="269">
        <v>1162</v>
      </c>
      <c r="E10" s="269">
        <v>1192</v>
      </c>
      <c r="F10" s="271">
        <v>836</v>
      </c>
      <c r="G10" s="264" t="s">
        <v>876</v>
      </c>
    </row>
    <row r="12" spans="2:13" x14ac:dyDescent="0.25">
      <c r="C12" s="143"/>
      <c r="D12" s="143"/>
      <c r="E12" s="143"/>
      <c r="F12" s="143"/>
    </row>
    <row r="13" spans="2:13" x14ac:dyDescent="0.25">
      <c r="B13" s="487" t="s">
        <v>252</v>
      </c>
      <c r="C13" s="497"/>
      <c r="D13" s="497"/>
      <c r="E13" s="497"/>
      <c r="F13" s="498"/>
      <c r="G13" s="499"/>
    </row>
    <row r="14" spans="2:13" x14ac:dyDescent="0.25">
      <c r="B14" s="491" t="s">
        <v>875</v>
      </c>
      <c r="C14" s="492" t="s">
        <v>256</v>
      </c>
      <c r="D14" s="493" t="s">
        <v>260</v>
      </c>
      <c r="E14" s="492" t="s">
        <v>264</v>
      </c>
      <c r="F14" s="494" t="s">
        <v>267</v>
      </c>
      <c r="G14" s="495" t="s">
        <v>174</v>
      </c>
    </row>
    <row r="15" spans="2:13" x14ac:dyDescent="0.25">
      <c r="B15" s="496" t="s">
        <v>211</v>
      </c>
      <c r="C15" s="269">
        <v>930</v>
      </c>
      <c r="D15" s="269">
        <v>750</v>
      </c>
      <c r="E15" s="269">
        <v>597</v>
      </c>
      <c r="F15" s="271">
        <v>346</v>
      </c>
      <c r="G15" s="264" t="s">
        <v>876</v>
      </c>
    </row>
    <row r="16" spans="2:13" ht="15" customHeight="1" x14ac:dyDescent="0.25">
      <c r="B16" s="496" t="s">
        <v>212</v>
      </c>
      <c r="C16" s="272">
        <v>1109</v>
      </c>
      <c r="D16" s="272">
        <v>1012</v>
      </c>
      <c r="E16" s="269">
        <v>836</v>
      </c>
      <c r="F16" s="271">
        <v>487</v>
      </c>
      <c r="G16" s="264" t="s">
        <v>876</v>
      </c>
    </row>
    <row r="17" spans="2:25" x14ac:dyDescent="0.25">
      <c r="B17" s="496" t="s">
        <v>213</v>
      </c>
      <c r="C17" s="272">
        <v>1145</v>
      </c>
      <c r="D17" s="269">
        <v>936</v>
      </c>
      <c r="E17" s="269">
        <v>788</v>
      </c>
      <c r="F17" s="271">
        <v>456</v>
      </c>
      <c r="G17" s="264" t="s">
        <v>876</v>
      </c>
    </row>
    <row r="18" spans="2:25" x14ac:dyDescent="0.25">
      <c r="B18" s="496" t="s">
        <v>214</v>
      </c>
      <c r="C18" s="272">
        <v>1095</v>
      </c>
      <c r="D18" s="269">
        <v>1001</v>
      </c>
      <c r="E18" s="269">
        <v>860</v>
      </c>
      <c r="F18" s="271">
        <v>544</v>
      </c>
      <c r="G18" s="264" t="s">
        <v>876</v>
      </c>
    </row>
    <row r="19" spans="2:25" x14ac:dyDescent="0.25">
      <c r="B19" s="496" t="s">
        <v>216</v>
      </c>
      <c r="C19" s="269">
        <v>987</v>
      </c>
      <c r="D19" s="269">
        <v>513</v>
      </c>
      <c r="E19" s="269">
        <v>385</v>
      </c>
      <c r="F19" s="271">
        <v>214</v>
      </c>
      <c r="G19" s="264" t="s">
        <v>876</v>
      </c>
    </row>
    <row r="20" spans="2:25" ht="15" customHeight="1" x14ac:dyDescent="0.25">
      <c r="B20" s="496" t="s">
        <v>218</v>
      </c>
      <c r="C20" s="269">
        <v>923</v>
      </c>
      <c r="D20" s="269">
        <v>657</v>
      </c>
      <c r="E20" s="269">
        <v>511</v>
      </c>
      <c r="F20" s="271">
        <v>291</v>
      </c>
      <c r="G20" s="264" t="s">
        <v>876</v>
      </c>
    </row>
    <row r="21" spans="2:25" x14ac:dyDescent="0.25">
      <c r="B21" s="500" t="s">
        <v>219</v>
      </c>
      <c r="C21" s="274">
        <v>1051</v>
      </c>
      <c r="D21" s="275">
        <v>879</v>
      </c>
      <c r="E21" s="275">
        <v>778</v>
      </c>
      <c r="F21" s="276">
        <v>469</v>
      </c>
      <c r="G21" s="264" t="s">
        <v>876</v>
      </c>
    </row>
    <row r="24" spans="2:25" x14ac:dyDescent="0.25">
      <c r="B24" s="501" t="s">
        <v>253</v>
      </c>
      <c r="C24" s="502"/>
      <c r="D24" s="502"/>
      <c r="E24" s="502"/>
      <c r="F24" s="502"/>
      <c r="G24" s="502"/>
      <c r="H24" s="502"/>
      <c r="I24" s="503"/>
      <c r="K24" s="469"/>
      <c r="L24" s="504"/>
      <c r="M24" s="469"/>
      <c r="N24" s="469"/>
      <c r="O24" s="469"/>
      <c r="P24" s="504"/>
      <c r="R24" s="469"/>
      <c r="S24" s="504"/>
      <c r="T24" s="469"/>
      <c r="U24" s="469"/>
      <c r="V24" s="469"/>
      <c r="W24" s="469"/>
      <c r="X24" s="469"/>
      <c r="Y24" s="504"/>
    </row>
    <row r="25" spans="2:25" ht="15" customHeight="1" x14ac:dyDescent="0.25">
      <c r="B25" s="505" t="s">
        <v>877</v>
      </c>
      <c r="C25" s="506" t="s">
        <v>211</v>
      </c>
      <c r="D25" s="507" t="s">
        <v>212</v>
      </c>
      <c r="E25" s="508" t="s">
        <v>213</v>
      </c>
      <c r="F25" s="506" t="s">
        <v>214</v>
      </c>
      <c r="G25" s="506" t="s">
        <v>216</v>
      </c>
      <c r="H25" s="506" t="s">
        <v>218</v>
      </c>
      <c r="I25" s="509" t="s">
        <v>219</v>
      </c>
      <c r="J25" s="510" t="s">
        <v>174</v>
      </c>
      <c r="K25" s="469"/>
      <c r="L25" s="504"/>
      <c r="M25" s="469"/>
      <c r="N25" s="469"/>
      <c r="O25" s="469"/>
      <c r="P25" s="504"/>
      <c r="R25" s="469"/>
      <c r="S25" s="504"/>
      <c r="T25" s="469"/>
      <c r="U25" s="469"/>
      <c r="V25" s="469"/>
      <c r="W25" s="469"/>
      <c r="X25" s="469"/>
    </row>
    <row r="26" spans="2:25" ht="15" customHeight="1" x14ac:dyDescent="0.25">
      <c r="B26" s="511" t="s">
        <v>257</v>
      </c>
      <c r="C26" s="269">
        <v>917</v>
      </c>
      <c r="D26" s="270">
        <v>1012</v>
      </c>
      <c r="E26" s="269">
        <v>959</v>
      </c>
      <c r="F26" s="269">
        <v>1141</v>
      </c>
      <c r="G26" s="269">
        <v>588</v>
      </c>
      <c r="H26" s="269">
        <v>783</v>
      </c>
      <c r="I26" s="271">
        <v>893</v>
      </c>
      <c r="J26" s="264" t="s">
        <v>876</v>
      </c>
      <c r="K26" s="469"/>
      <c r="L26" s="504"/>
      <c r="M26" s="469"/>
      <c r="N26" s="469"/>
      <c r="O26" s="469"/>
      <c r="P26" s="504"/>
      <c r="S26" s="305"/>
      <c r="V26" s="469"/>
      <c r="W26" s="469"/>
      <c r="X26" s="469"/>
    </row>
    <row r="27" spans="2:25" ht="15" customHeight="1" x14ac:dyDescent="0.25">
      <c r="B27" s="511" t="s">
        <v>261</v>
      </c>
      <c r="C27" s="272">
        <v>3171</v>
      </c>
      <c r="D27" s="272">
        <v>3476</v>
      </c>
      <c r="E27" s="272">
        <v>3228</v>
      </c>
      <c r="F27" s="272">
        <v>3595</v>
      </c>
      <c r="G27" s="272">
        <v>1863</v>
      </c>
      <c r="H27" s="272">
        <v>2646</v>
      </c>
      <c r="I27" s="273">
        <v>3234</v>
      </c>
      <c r="J27" s="264" t="s">
        <v>876</v>
      </c>
      <c r="K27" s="469"/>
      <c r="L27" s="504"/>
      <c r="M27" s="469"/>
      <c r="N27" s="469"/>
      <c r="O27" s="469"/>
      <c r="P27" s="504"/>
      <c r="S27" s="305"/>
      <c r="V27" s="469"/>
      <c r="W27" s="469"/>
      <c r="X27" s="469"/>
    </row>
    <row r="28" spans="2:25" ht="15" customHeight="1" x14ac:dyDescent="0.25">
      <c r="B28" s="511" t="s">
        <v>265</v>
      </c>
      <c r="C28" s="269">
        <v>528</v>
      </c>
      <c r="D28" s="269">
        <v>512</v>
      </c>
      <c r="E28" s="269">
        <v>540</v>
      </c>
      <c r="F28" s="269">
        <v>611</v>
      </c>
      <c r="G28" s="269">
        <v>186</v>
      </c>
      <c r="H28" s="269">
        <v>374</v>
      </c>
      <c r="I28" s="271">
        <v>516</v>
      </c>
      <c r="J28" s="264" t="s">
        <v>876</v>
      </c>
      <c r="K28" s="469"/>
      <c r="M28" s="469"/>
      <c r="N28" s="469"/>
      <c r="O28" s="469"/>
      <c r="P28" s="469"/>
      <c r="V28" s="469"/>
      <c r="W28" s="469"/>
      <c r="X28" s="469"/>
    </row>
    <row r="29" spans="2:25" ht="15" customHeight="1" x14ac:dyDescent="0.25">
      <c r="B29" s="511" t="s">
        <v>268</v>
      </c>
      <c r="C29" s="272">
        <v>1360</v>
      </c>
      <c r="D29" s="272">
        <v>1535</v>
      </c>
      <c r="E29" s="272">
        <v>1445</v>
      </c>
      <c r="F29" s="272">
        <v>1665</v>
      </c>
      <c r="G29" s="269">
        <v>793</v>
      </c>
      <c r="H29" s="272">
        <v>1122</v>
      </c>
      <c r="I29" s="273">
        <v>1336</v>
      </c>
      <c r="J29" s="264" t="s">
        <v>876</v>
      </c>
      <c r="K29" s="469"/>
      <c r="M29" s="469"/>
      <c r="N29" s="469"/>
      <c r="O29" s="469"/>
      <c r="P29" s="469"/>
      <c r="V29" s="469"/>
      <c r="W29" s="469"/>
      <c r="X29" s="469"/>
    </row>
    <row r="30" spans="2:25" ht="15" customHeight="1" x14ac:dyDescent="0.25">
      <c r="B30" s="511" t="s">
        <v>271</v>
      </c>
      <c r="C30" s="272">
        <v>1433</v>
      </c>
      <c r="D30" s="272">
        <v>1612</v>
      </c>
      <c r="E30" s="272">
        <v>1519</v>
      </c>
      <c r="F30" s="272">
        <v>1720</v>
      </c>
      <c r="G30" s="269">
        <v>801</v>
      </c>
      <c r="H30" s="272">
        <v>1164</v>
      </c>
      <c r="I30" s="273">
        <v>1403</v>
      </c>
      <c r="J30" s="264" t="s">
        <v>876</v>
      </c>
      <c r="K30" s="469"/>
      <c r="M30" s="469"/>
      <c r="N30" s="469"/>
      <c r="O30" s="469"/>
      <c r="P30" s="469"/>
      <c r="V30" s="469"/>
      <c r="W30" s="469"/>
      <c r="X30" s="469"/>
    </row>
    <row r="31" spans="2:25" x14ac:dyDescent="0.25">
      <c r="B31" s="511" t="s">
        <v>273</v>
      </c>
      <c r="C31" s="269">
        <v>528</v>
      </c>
      <c r="D31" s="269">
        <v>512</v>
      </c>
      <c r="E31" s="269">
        <v>540</v>
      </c>
      <c r="F31" s="269">
        <v>611</v>
      </c>
      <c r="G31" s="269">
        <v>186</v>
      </c>
      <c r="H31" s="269">
        <v>374</v>
      </c>
      <c r="I31" s="271">
        <v>516</v>
      </c>
      <c r="J31" s="264" t="s">
        <v>876</v>
      </c>
      <c r="K31" s="469"/>
      <c r="M31" s="469"/>
      <c r="N31" s="469"/>
      <c r="O31" s="469"/>
      <c r="P31" s="469"/>
      <c r="V31" s="469"/>
      <c r="W31" s="469"/>
      <c r="X31" s="469"/>
    </row>
    <row r="32" spans="2:25" ht="15" customHeight="1" x14ac:dyDescent="0.25">
      <c r="B32" s="511" t="s">
        <v>276</v>
      </c>
      <c r="C32" s="272">
        <v>1219</v>
      </c>
      <c r="D32" s="272">
        <v>1328</v>
      </c>
      <c r="E32" s="272">
        <v>1151</v>
      </c>
      <c r="F32" s="272">
        <v>1267</v>
      </c>
      <c r="G32" s="269">
        <v>696</v>
      </c>
      <c r="H32" s="269">
        <v>997</v>
      </c>
      <c r="I32" s="271">
        <v>1187</v>
      </c>
      <c r="J32" s="264" t="s">
        <v>876</v>
      </c>
      <c r="K32" s="469"/>
      <c r="M32" s="469"/>
      <c r="N32" s="469"/>
      <c r="O32" s="469"/>
      <c r="P32" s="469"/>
      <c r="V32" s="469"/>
      <c r="W32" s="469"/>
      <c r="X32" s="469"/>
    </row>
    <row r="33" spans="2:25" x14ac:dyDescent="0.25">
      <c r="B33" s="511" t="s">
        <v>279</v>
      </c>
      <c r="C33" s="269">
        <v>989</v>
      </c>
      <c r="D33" s="269">
        <v>792</v>
      </c>
      <c r="E33" s="269">
        <v>765</v>
      </c>
      <c r="F33" s="269">
        <v>820</v>
      </c>
      <c r="G33" s="269">
        <v>604</v>
      </c>
      <c r="H33" s="269">
        <v>604</v>
      </c>
      <c r="I33" s="271">
        <v>769</v>
      </c>
      <c r="J33" s="264" t="s">
        <v>876</v>
      </c>
      <c r="K33" s="469"/>
      <c r="M33" s="469"/>
      <c r="N33" s="469"/>
      <c r="O33" s="469"/>
      <c r="P33" s="469"/>
      <c r="V33" s="469"/>
      <c r="W33" s="469"/>
      <c r="X33" s="469"/>
    </row>
    <row r="34" spans="2:25" ht="15" customHeight="1" x14ac:dyDescent="0.25">
      <c r="B34" s="511" t="s">
        <v>282</v>
      </c>
      <c r="C34" s="272">
        <v>1240</v>
      </c>
      <c r="D34" s="272">
        <v>1298</v>
      </c>
      <c r="E34" s="272">
        <v>1315</v>
      </c>
      <c r="F34" s="272">
        <v>1292</v>
      </c>
      <c r="G34" s="269">
        <v>819</v>
      </c>
      <c r="H34" s="272">
        <v>1071</v>
      </c>
      <c r="I34" s="273">
        <v>1222</v>
      </c>
      <c r="J34" s="264" t="s">
        <v>876</v>
      </c>
      <c r="K34" s="469"/>
      <c r="M34" s="469"/>
      <c r="N34" s="469"/>
      <c r="O34" s="469"/>
      <c r="P34" s="469"/>
      <c r="V34" s="469"/>
      <c r="W34" s="469"/>
      <c r="X34" s="469"/>
    </row>
    <row r="35" spans="2:25" ht="15" customHeight="1" x14ac:dyDescent="0.25">
      <c r="B35" s="511" t="s">
        <v>286</v>
      </c>
      <c r="C35" s="269">
        <v>910</v>
      </c>
      <c r="D35" s="272">
        <v>1012</v>
      </c>
      <c r="E35" s="269">
        <v>948</v>
      </c>
      <c r="F35" s="269">
        <v>1000</v>
      </c>
      <c r="G35" s="269">
        <v>704</v>
      </c>
      <c r="H35" s="269">
        <v>803</v>
      </c>
      <c r="I35" s="271">
        <v>951</v>
      </c>
      <c r="J35" s="264" t="s">
        <v>876</v>
      </c>
      <c r="K35" s="469"/>
      <c r="M35" s="469"/>
      <c r="N35" s="469"/>
      <c r="O35" s="469"/>
      <c r="P35" s="469"/>
      <c r="V35" s="469"/>
      <c r="W35" s="469"/>
      <c r="X35" s="469"/>
    </row>
    <row r="36" spans="2:25" ht="15" customHeight="1" x14ac:dyDescent="0.25">
      <c r="B36" s="511" t="s">
        <v>289</v>
      </c>
      <c r="C36" s="269">
        <v>712</v>
      </c>
      <c r="D36" s="269">
        <v>798</v>
      </c>
      <c r="E36" s="269">
        <v>737</v>
      </c>
      <c r="F36" s="269">
        <v>848</v>
      </c>
      <c r="G36" s="269">
        <v>420</v>
      </c>
      <c r="H36" s="269">
        <v>590</v>
      </c>
      <c r="I36" s="271">
        <v>742</v>
      </c>
      <c r="J36" s="264" t="s">
        <v>876</v>
      </c>
      <c r="K36" s="469"/>
      <c r="L36" s="469"/>
      <c r="M36" s="469"/>
      <c r="N36" s="469"/>
      <c r="O36" s="469"/>
      <c r="P36" s="469"/>
      <c r="V36" s="469"/>
      <c r="W36" s="469"/>
      <c r="X36" s="469"/>
    </row>
    <row r="37" spans="2:25" ht="15" customHeight="1" x14ac:dyDescent="0.25">
      <c r="B37" s="511" t="s">
        <v>293</v>
      </c>
      <c r="C37" s="269">
        <v>938</v>
      </c>
      <c r="D37" s="272">
        <v>1012</v>
      </c>
      <c r="E37" s="269">
        <v>989</v>
      </c>
      <c r="F37" s="269">
        <v>1117</v>
      </c>
      <c r="G37" s="269">
        <v>531</v>
      </c>
      <c r="H37" s="269">
        <v>766</v>
      </c>
      <c r="I37" s="271">
        <v>958</v>
      </c>
      <c r="J37" s="264" t="s">
        <v>876</v>
      </c>
      <c r="K37" s="469"/>
      <c r="L37" s="469"/>
      <c r="M37" s="469"/>
      <c r="N37" s="469"/>
      <c r="O37" s="469"/>
      <c r="P37" s="469"/>
      <c r="V37" s="469"/>
      <c r="W37" s="469"/>
      <c r="X37" s="469"/>
    </row>
    <row r="38" spans="2:25" ht="15" customHeight="1" x14ac:dyDescent="0.25">
      <c r="B38" s="511" t="s">
        <v>296</v>
      </c>
      <c r="C38" s="269">
        <v>874</v>
      </c>
      <c r="D38" s="272">
        <v>1029</v>
      </c>
      <c r="E38" s="269">
        <v>911</v>
      </c>
      <c r="F38" s="269">
        <v>1078</v>
      </c>
      <c r="G38" s="269">
        <v>441</v>
      </c>
      <c r="H38" s="269">
        <v>643</v>
      </c>
      <c r="I38" s="271">
        <v>878</v>
      </c>
      <c r="J38" s="264" t="s">
        <v>876</v>
      </c>
      <c r="K38" s="469"/>
      <c r="L38" s="469"/>
      <c r="M38" s="469"/>
      <c r="N38" s="469"/>
      <c r="O38" s="469"/>
      <c r="P38" s="469"/>
      <c r="V38" s="469"/>
      <c r="W38" s="469"/>
      <c r="X38" s="469"/>
    </row>
    <row r="39" spans="2:25" x14ac:dyDescent="0.25">
      <c r="B39" s="512" t="s">
        <v>298</v>
      </c>
      <c r="C39" s="274">
        <v>1140</v>
      </c>
      <c r="D39" s="274">
        <v>1163</v>
      </c>
      <c r="E39" s="274">
        <v>1157</v>
      </c>
      <c r="F39" s="274">
        <v>1290</v>
      </c>
      <c r="G39" s="275">
        <v>664</v>
      </c>
      <c r="H39" s="275">
        <v>918</v>
      </c>
      <c r="I39" s="276">
        <v>1123</v>
      </c>
      <c r="J39" s="264" t="s">
        <v>876</v>
      </c>
      <c r="K39" s="469"/>
      <c r="L39" s="469"/>
      <c r="M39" s="469"/>
      <c r="N39" s="469"/>
      <c r="O39" s="469"/>
      <c r="P39" s="469"/>
      <c r="V39" s="469"/>
      <c r="W39" s="469"/>
      <c r="X39" s="469"/>
    </row>
    <row r="40" spans="2:25" x14ac:dyDescent="0.25">
      <c r="K40" s="469"/>
      <c r="L40" s="469"/>
      <c r="M40" s="469"/>
      <c r="N40" s="469"/>
      <c r="O40" s="469"/>
      <c r="P40" s="469"/>
      <c r="V40" s="469"/>
      <c r="W40" s="469"/>
      <c r="X40" s="469"/>
    </row>
    <row r="41" spans="2:25" x14ac:dyDescent="0.25">
      <c r="B41" s="487" t="s">
        <v>254</v>
      </c>
      <c r="C41" s="502"/>
      <c r="D41" s="502"/>
      <c r="E41" s="502"/>
      <c r="F41" s="502"/>
      <c r="G41" s="502"/>
      <c r="H41" s="502"/>
      <c r="I41" s="503"/>
      <c r="K41" s="469"/>
      <c r="L41" s="469"/>
      <c r="M41" s="469"/>
      <c r="N41" s="469"/>
      <c r="O41" s="469"/>
      <c r="P41" s="469"/>
      <c r="V41" s="469"/>
      <c r="W41" s="469"/>
      <c r="Y41" s="504"/>
    </row>
    <row r="42" spans="2:25" ht="15" customHeight="1" x14ac:dyDescent="0.25">
      <c r="B42" s="513" t="s">
        <v>877</v>
      </c>
      <c r="C42" s="514" t="s">
        <v>211</v>
      </c>
      <c r="D42" s="514" t="s">
        <v>212</v>
      </c>
      <c r="E42" s="514" t="s">
        <v>213</v>
      </c>
      <c r="F42" s="514" t="s">
        <v>214</v>
      </c>
      <c r="G42" s="514" t="s">
        <v>216</v>
      </c>
      <c r="H42" s="514" t="s">
        <v>218</v>
      </c>
      <c r="I42" s="515" t="s">
        <v>219</v>
      </c>
      <c r="J42" s="510" t="s">
        <v>174</v>
      </c>
    </row>
    <row r="43" spans="2:25" ht="15" customHeight="1" x14ac:dyDescent="0.25">
      <c r="B43" s="277" t="s">
        <v>258</v>
      </c>
      <c r="C43" s="278">
        <v>1060</v>
      </c>
      <c r="D43" s="270">
        <v>1078</v>
      </c>
      <c r="E43" s="270">
        <v>1015</v>
      </c>
      <c r="F43" s="270">
        <v>1282</v>
      </c>
      <c r="G43" s="270">
        <v>1396</v>
      </c>
      <c r="H43" s="270">
        <v>1173</v>
      </c>
      <c r="I43" s="279">
        <v>1245</v>
      </c>
      <c r="J43" s="264" t="s">
        <v>876</v>
      </c>
    </row>
    <row r="44" spans="2:25" ht="15" customHeight="1" x14ac:dyDescent="0.25">
      <c r="B44" s="280" t="s">
        <v>262</v>
      </c>
      <c r="C44" s="281">
        <v>1003</v>
      </c>
      <c r="D44" s="272">
        <v>1048</v>
      </c>
      <c r="E44" s="269">
        <v>975</v>
      </c>
      <c r="F44" s="272">
        <v>1160</v>
      </c>
      <c r="G44" s="272">
        <v>1237</v>
      </c>
      <c r="H44" s="272">
        <v>1051</v>
      </c>
      <c r="I44" s="273">
        <v>1164</v>
      </c>
      <c r="J44" s="264" t="s">
        <v>876</v>
      </c>
    </row>
    <row r="45" spans="2:25" ht="15" customHeight="1" x14ac:dyDescent="0.25">
      <c r="B45" s="280" t="s">
        <v>266</v>
      </c>
      <c r="C45" s="282">
        <v>579</v>
      </c>
      <c r="D45" s="272">
        <v>1168</v>
      </c>
      <c r="E45" s="272">
        <v>1008</v>
      </c>
      <c r="F45" s="269">
        <v>597</v>
      </c>
      <c r="G45" s="269">
        <v>423</v>
      </c>
      <c r="H45" s="269">
        <v>390</v>
      </c>
      <c r="I45" s="271">
        <v>548</v>
      </c>
      <c r="J45" s="264" t="s">
        <v>876</v>
      </c>
    </row>
    <row r="46" spans="2:25" x14ac:dyDescent="0.25">
      <c r="B46" s="283" t="s">
        <v>269</v>
      </c>
      <c r="C46" s="282">
        <v>567</v>
      </c>
      <c r="D46" s="269">
        <v>682</v>
      </c>
      <c r="E46" s="269">
        <v>730</v>
      </c>
      <c r="F46" s="269">
        <v>677</v>
      </c>
      <c r="G46" s="269">
        <v>453</v>
      </c>
      <c r="H46" s="269">
        <v>508</v>
      </c>
      <c r="I46" s="271">
        <v>665</v>
      </c>
      <c r="J46" s="264" t="s">
        <v>876</v>
      </c>
    </row>
    <row r="47" spans="2:25" ht="15" customHeight="1" x14ac:dyDescent="0.25">
      <c r="B47" s="280" t="s">
        <v>272</v>
      </c>
      <c r="C47" s="282">
        <v>740</v>
      </c>
      <c r="D47" s="269">
        <v>787</v>
      </c>
      <c r="E47" s="269">
        <v>783</v>
      </c>
      <c r="F47" s="269">
        <v>810</v>
      </c>
      <c r="G47" s="269">
        <v>879</v>
      </c>
      <c r="H47" s="269">
        <v>899</v>
      </c>
      <c r="I47" s="271">
        <v>949</v>
      </c>
      <c r="J47" s="264" t="s">
        <v>876</v>
      </c>
    </row>
    <row r="48" spans="2:25" ht="15" customHeight="1" x14ac:dyDescent="0.25">
      <c r="B48" s="280" t="s">
        <v>274</v>
      </c>
      <c r="C48" s="282">
        <v>669</v>
      </c>
      <c r="D48" s="269">
        <v>729</v>
      </c>
      <c r="E48" s="269">
        <v>718</v>
      </c>
      <c r="F48" s="269">
        <v>748</v>
      </c>
      <c r="G48" s="269">
        <v>819</v>
      </c>
      <c r="H48" s="269">
        <v>830</v>
      </c>
      <c r="I48" s="271">
        <v>892</v>
      </c>
      <c r="J48" s="264" t="s">
        <v>876</v>
      </c>
    </row>
    <row r="49" spans="2:10" ht="15" customHeight="1" x14ac:dyDescent="0.25">
      <c r="B49" s="280" t="s">
        <v>277</v>
      </c>
      <c r="C49" s="282">
        <v>311</v>
      </c>
      <c r="D49" s="269">
        <v>302</v>
      </c>
      <c r="E49" s="269">
        <v>372</v>
      </c>
      <c r="F49" s="269">
        <v>376</v>
      </c>
      <c r="G49" s="269">
        <v>261</v>
      </c>
      <c r="H49" s="269">
        <v>303</v>
      </c>
      <c r="I49" s="271">
        <v>391</v>
      </c>
      <c r="J49" s="264" t="s">
        <v>876</v>
      </c>
    </row>
    <row r="50" spans="2:10" ht="15" customHeight="1" x14ac:dyDescent="0.25">
      <c r="B50" s="280" t="s">
        <v>280</v>
      </c>
      <c r="C50" s="281">
        <v>2941</v>
      </c>
      <c r="D50" s="272">
        <v>2864</v>
      </c>
      <c r="E50" s="272">
        <v>2808</v>
      </c>
      <c r="F50" s="272">
        <v>2741</v>
      </c>
      <c r="G50" s="272">
        <v>3283</v>
      </c>
      <c r="H50" s="272">
        <v>2890</v>
      </c>
      <c r="I50" s="273">
        <v>3028</v>
      </c>
      <c r="J50" s="264" t="s">
        <v>876</v>
      </c>
    </row>
    <row r="51" spans="2:10" ht="15" customHeight="1" x14ac:dyDescent="0.25">
      <c r="B51" s="280" t="s">
        <v>283</v>
      </c>
      <c r="C51" s="281">
        <v>2607</v>
      </c>
      <c r="D51" s="272">
        <v>2437</v>
      </c>
      <c r="E51" s="272">
        <v>2438</v>
      </c>
      <c r="F51" s="272">
        <v>2318</v>
      </c>
      <c r="G51" s="272">
        <v>3059</v>
      </c>
      <c r="H51" s="272">
        <v>2517</v>
      </c>
      <c r="I51" s="273">
        <v>2674</v>
      </c>
      <c r="J51" s="264" t="s">
        <v>876</v>
      </c>
    </row>
    <row r="52" spans="2:10" ht="15" customHeight="1" x14ac:dyDescent="0.25">
      <c r="B52" s="280" t="s">
        <v>287</v>
      </c>
      <c r="C52" s="282">
        <v>728</v>
      </c>
      <c r="D52" s="269">
        <v>771</v>
      </c>
      <c r="E52" s="269">
        <v>622</v>
      </c>
      <c r="F52" s="269">
        <v>728</v>
      </c>
      <c r="G52" s="269">
        <v>289</v>
      </c>
      <c r="H52" s="269">
        <v>482</v>
      </c>
      <c r="I52" s="271">
        <v>762</v>
      </c>
      <c r="J52" s="264" t="s">
        <v>876</v>
      </c>
    </row>
    <row r="53" spans="2:10" ht="15" customHeight="1" x14ac:dyDescent="0.25">
      <c r="B53" s="280" t="s">
        <v>290</v>
      </c>
      <c r="C53" s="281">
        <v>1173</v>
      </c>
      <c r="D53" s="272">
        <v>1184</v>
      </c>
      <c r="E53" s="272">
        <v>1182</v>
      </c>
      <c r="F53" s="272">
        <v>1221</v>
      </c>
      <c r="G53" s="272">
        <v>1050</v>
      </c>
      <c r="H53" s="272">
        <v>1055</v>
      </c>
      <c r="I53" s="273">
        <v>1162</v>
      </c>
      <c r="J53" s="264" t="s">
        <v>876</v>
      </c>
    </row>
    <row r="54" spans="2:10" ht="15" customHeight="1" x14ac:dyDescent="0.25">
      <c r="B54" s="280" t="s">
        <v>294</v>
      </c>
      <c r="C54" s="282">
        <v>918</v>
      </c>
      <c r="D54" s="269">
        <v>912</v>
      </c>
      <c r="E54" s="269">
        <v>912</v>
      </c>
      <c r="F54" s="272">
        <v>1017</v>
      </c>
      <c r="G54" s="269">
        <v>734</v>
      </c>
      <c r="H54" s="269">
        <v>792</v>
      </c>
      <c r="I54" s="271">
        <v>909</v>
      </c>
      <c r="J54" s="264" t="s">
        <v>876</v>
      </c>
    </row>
    <row r="55" spans="2:10" ht="15" customHeight="1" x14ac:dyDescent="0.25">
      <c r="B55" s="280" t="s">
        <v>297</v>
      </c>
      <c r="C55" s="282">
        <v>526</v>
      </c>
      <c r="D55" s="269">
        <v>485</v>
      </c>
      <c r="E55" s="269">
        <v>502</v>
      </c>
      <c r="F55" s="269">
        <v>651</v>
      </c>
      <c r="G55" s="269">
        <v>223</v>
      </c>
      <c r="H55" s="269">
        <v>377</v>
      </c>
      <c r="I55" s="271">
        <v>459</v>
      </c>
      <c r="J55" s="264" t="s">
        <v>876</v>
      </c>
    </row>
    <row r="56" spans="2:10" ht="15" customHeight="1" x14ac:dyDescent="0.25">
      <c r="B56" s="280" t="s">
        <v>299</v>
      </c>
      <c r="C56" s="281">
        <v>2037</v>
      </c>
      <c r="D56" s="272">
        <v>2059</v>
      </c>
      <c r="E56" s="272">
        <v>1958</v>
      </c>
      <c r="F56" s="272">
        <v>2314</v>
      </c>
      <c r="G56" s="272">
        <v>1984</v>
      </c>
      <c r="H56" s="272">
        <v>2148</v>
      </c>
      <c r="I56" s="273">
        <v>2193</v>
      </c>
      <c r="J56" s="264" t="s">
        <v>876</v>
      </c>
    </row>
    <row r="57" spans="2:10" ht="15" customHeight="1" x14ac:dyDescent="0.25">
      <c r="B57" s="280" t="s">
        <v>300</v>
      </c>
      <c r="C57" s="281">
        <v>2000</v>
      </c>
      <c r="D57" s="272">
        <v>1977</v>
      </c>
      <c r="E57" s="272">
        <v>1915</v>
      </c>
      <c r="F57" s="272">
        <v>2273</v>
      </c>
      <c r="G57" s="272">
        <v>2021</v>
      </c>
      <c r="H57" s="272">
        <v>2136</v>
      </c>
      <c r="I57" s="273">
        <v>2194</v>
      </c>
      <c r="J57" s="264" t="s">
        <v>876</v>
      </c>
    </row>
    <row r="58" spans="2:10" ht="15" customHeight="1" x14ac:dyDescent="0.25">
      <c r="B58" s="280" t="s">
        <v>302</v>
      </c>
      <c r="C58" s="282">
        <v>462</v>
      </c>
      <c r="D58" s="269">
        <v>479</v>
      </c>
      <c r="E58" s="269">
        <v>470</v>
      </c>
      <c r="F58" s="269">
        <v>536</v>
      </c>
      <c r="G58" s="269">
        <v>284</v>
      </c>
      <c r="H58" s="269">
        <v>368</v>
      </c>
      <c r="I58" s="271">
        <v>436</v>
      </c>
      <c r="J58" s="264" t="s">
        <v>876</v>
      </c>
    </row>
    <row r="59" spans="2:10" ht="15" customHeight="1" x14ac:dyDescent="0.25">
      <c r="B59" s="280" t="s">
        <v>304</v>
      </c>
      <c r="C59" s="281">
        <v>2067</v>
      </c>
      <c r="D59" s="272">
        <v>2161</v>
      </c>
      <c r="E59" s="272">
        <v>2081</v>
      </c>
      <c r="F59" s="272">
        <v>2210</v>
      </c>
      <c r="G59" s="272">
        <v>2049</v>
      </c>
      <c r="H59" s="272">
        <v>2033</v>
      </c>
      <c r="I59" s="273">
        <v>2120</v>
      </c>
      <c r="J59" s="264" t="s">
        <v>876</v>
      </c>
    </row>
    <row r="60" spans="2:10" ht="15" customHeight="1" x14ac:dyDescent="0.25">
      <c r="B60" s="280" t="s">
        <v>305</v>
      </c>
      <c r="C60" s="281">
        <v>1962</v>
      </c>
      <c r="D60" s="272">
        <v>1995</v>
      </c>
      <c r="E60" s="272">
        <v>1953</v>
      </c>
      <c r="F60" s="272">
        <v>2075</v>
      </c>
      <c r="G60" s="272">
        <v>1983</v>
      </c>
      <c r="H60" s="272">
        <v>1916</v>
      </c>
      <c r="I60" s="273">
        <v>2007</v>
      </c>
      <c r="J60" s="264" t="s">
        <v>876</v>
      </c>
    </row>
    <row r="61" spans="2:10" ht="15" customHeight="1" x14ac:dyDescent="0.25">
      <c r="B61" s="280" t="s">
        <v>308</v>
      </c>
      <c r="C61" s="282">
        <v>819</v>
      </c>
      <c r="D61" s="269">
        <v>739</v>
      </c>
      <c r="E61" s="269">
        <v>753</v>
      </c>
      <c r="F61" s="269">
        <v>913</v>
      </c>
      <c r="G61" s="269">
        <v>648</v>
      </c>
      <c r="H61" s="269">
        <v>633</v>
      </c>
      <c r="I61" s="271">
        <v>774</v>
      </c>
      <c r="J61" s="264" t="s">
        <v>876</v>
      </c>
    </row>
    <row r="62" spans="2:10" ht="15" customHeight="1" x14ac:dyDescent="0.25">
      <c r="B62" s="280" t="s">
        <v>310</v>
      </c>
      <c r="C62" s="281">
        <v>1396</v>
      </c>
      <c r="D62" s="272">
        <v>1582</v>
      </c>
      <c r="E62" s="272">
        <v>1484</v>
      </c>
      <c r="F62" s="272">
        <v>1566</v>
      </c>
      <c r="G62" s="272">
        <v>1161</v>
      </c>
      <c r="H62" s="272">
        <v>1354</v>
      </c>
      <c r="I62" s="273">
        <v>1374</v>
      </c>
      <c r="J62" s="264" t="s">
        <v>876</v>
      </c>
    </row>
    <row r="63" spans="2:10" ht="15" customHeight="1" x14ac:dyDescent="0.25">
      <c r="B63" s="280" t="s">
        <v>311</v>
      </c>
      <c r="C63" s="281">
        <v>1372</v>
      </c>
      <c r="D63" s="272">
        <v>1447</v>
      </c>
      <c r="E63" s="272">
        <v>1416</v>
      </c>
      <c r="F63" s="272">
        <v>1435</v>
      </c>
      <c r="G63" s="272">
        <v>1077</v>
      </c>
      <c r="H63" s="272">
        <v>1310</v>
      </c>
      <c r="I63" s="273">
        <v>1341</v>
      </c>
      <c r="J63" s="264" t="s">
        <v>876</v>
      </c>
    </row>
    <row r="64" spans="2:10" ht="15" customHeight="1" x14ac:dyDescent="0.25">
      <c r="B64" s="280" t="s">
        <v>313</v>
      </c>
      <c r="C64" s="284">
        <v>1011</v>
      </c>
      <c r="D64" s="275">
        <v>572</v>
      </c>
      <c r="E64" s="274">
        <v>1169</v>
      </c>
      <c r="F64" s="274">
        <v>1206</v>
      </c>
      <c r="G64" s="275">
        <v>667</v>
      </c>
      <c r="H64" s="275">
        <v>762</v>
      </c>
      <c r="I64" s="276">
        <v>617</v>
      </c>
      <c r="J64" s="264" t="s">
        <v>876</v>
      </c>
    </row>
    <row r="65" spans="10:10" x14ac:dyDescent="0.25">
      <c r="J65" s="143"/>
    </row>
  </sheetData>
  <sheetProtection algorithmName="SHA-512" hashValue="1bgAyP9v9A2bCYRcKpzW58xpJu8xPsmOdVAMWevq1/ZBkPWfjJFCS5vZw5Xchsbc/l+JbU5w21UhTdP4xHRQgg==" saltValue="TP9uF8xIhjZE/UrQuGEnvQ==" spinCount="100000" sheet="1" objects="1" scenarios="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22F0-DD74-49D6-BB92-CB0070E93894}">
  <sheetPr>
    <tabColor theme="5"/>
  </sheetPr>
  <dimension ref="B2:Y65"/>
  <sheetViews>
    <sheetView zoomScaleNormal="100" workbookViewId="0">
      <selection activeCell="P16" sqref="A16:P16"/>
    </sheetView>
  </sheetViews>
  <sheetFormatPr defaultColWidth="9.140625" defaultRowHeight="15" x14ac:dyDescent="0.25"/>
  <cols>
    <col min="1" max="1" width="4.140625" style="65" customWidth="1"/>
    <col min="2" max="2" width="33.28515625" style="65" customWidth="1"/>
    <col min="3" max="8" width="13.7109375" style="65" customWidth="1"/>
    <col min="9" max="10" width="13.5703125" style="65" customWidth="1"/>
    <col min="11" max="11" width="11.5703125" style="65" bestFit="1" customWidth="1"/>
    <col min="12" max="12" width="20.42578125" style="65" bestFit="1" customWidth="1"/>
    <col min="13" max="16" width="9.140625" style="65"/>
    <col min="17" max="17" width="21.5703125" style="65" bestFit="1" customWidth="1"/>
    <col min="18" max="16384" width="9.140625" style="65"/>
  </cols>
  <sheetData>
    <row r="2" spans="2:13" x14ac:dyDescent="0.25">
      <c r="B2" s="487" t="s">
        <v>251</v>
      </c>
      <c r="C2" s="488"/>
      <c r="D2" s="488"/>
      <c r="E2" s="488"/>
      <c r="F2" s="489"/>
      <c r="G2" s="516" t="s">
        <v>174</v>
      </c>
      <c r="M2" s="490"/>
    </row>
    <row r="3" spans="2:13" x14ac:dyDescent="0.25">
      <c r="B3" s="491" t="s">
        <v>875</v>
      </c>
      <c r="C3" s="492" t="s">
        <v>256</v>
      </c>
      <c r="D3" s="493" t="s">
        <v>260</v>
      </c>
      <c r="E3" s="517" t="s">
        <v>264</v>
      </c>
      <c r="F3" s="495" t="s">
        <v>267</v>
      </c>
      <c r="G3" s="338" t="s">
        <v>878</v>
      </c>
    </row>
    <row r="4" spans="2:13" x14ac:dyDescent="0.25">
      <c r="B4" s="496" t="s">
        <v>211</v>
      </c>
      <c r="C4" s="272">
        <v>330</v>
      </c>
      <c r="D4" s="286">
        <v>330</v>
      </c>
      <c r="E4" s="286">
        <v>341</v>
      </c>
      <c r="F4" s="286">
        <v>322</v>
      </c>
      <c r="G4" s="338" t="s">
        <v>876</v>
      </c>
    </row>
    <row r="5" spans="2:13" ht="15" customHeight="1" x14ac:dyDescent="0.25">
      <c r="B5" s="496" t="s">
        <v>212</v>
      </c>
      <c r="C5" s="272">
        <v>222</v>
      </c>
      <c r="D5" s="287">
        <v>222</v>
      </c>
      <c r="E5" s="287">
        <v>224</v>
      </c>
      <c r="F5" s="286">
        <v>215</v>
      </c>
      <c r="G5" s="338" t="s">
        <v>876</v>
      </c>
    </row>
    <row r="6" spans="2:13" x14ac:dyDescent="0.25">
      <c r="B6" s="496" t="s">
        <v>213</v>
      </c>
      <c r="C6" s="272">
        <v>328</v>
      </c>
      <c r="D6" s="287">
        <v>328</v>
      </c>
      <c r="E6" s="287">
        <v>333</v>
      </c>
      <c r="F6" s="286">
        <v>311</v>
      </c>
      <c r="G6" s="338" t="s">
        <v>876</v>
      </c>
    </row>
    <row r="7" spans="2:13" x14ac:dyDescent="0.25">
      <c r="B7" s="496" t="s">
        <v>214</v>
      </c>
      <c r="C7" s="272">
        <v>251</v>
      </c>
      <c r="D7" s="287">
        <v>251</v>
      </c>
      <c r="E7" s="287">
        <v>249</v>
      </c>
      <c r="F7" s="287">
        <v>238</v>
      </c>
      <c r="G7" s="338" t="s">
        <v>876</v>
      </c>
    </row>
    <row r="8" spans="2:13" x14ac:dyDescent="0.25">
      <c r="B8" s="496" t="s">
        <v>216</v>
      </c>
      <c r="C8" s="269">
        <v>470</v>
      </c>
      <c r="D8" s="286">
        <v>470</v>
      </c>
      <c r="E8" s="286">
        <v>510</v>
      </c>
      <c r="F8" s="286">
        <v>521</v>
      </c>
      <c r="G8" s="338" t="s">
        <v>876</v>
      </c>
    </row>
    <row r="9" spans="2:13" ht="15" customHeight="1" x14ac:dyDescent="0.25">
      <c r="B9" s="496" t="s">
        <v>218</v>
      </c>
      <c r="C9" s="269">
        <v>485</v>
      </c>
      <c r="D9" s="286">
        <v>485</v>
      </c>
      <c r="E9" s="286">
        <v>517</v>
      </c>
      <c r="F9" s="286">
        <v>514</v>
      </c>
      <c r="G9" s="338" t="s">
        <v>876</v>
      </c>
    </row>
    <row r="10" spans="2:13" x14ac:dyDescent="0.25">
      <c r="B10" s="496" t="s">
        <v>219</v>
      </c>
      <c r="C10" s="269">
        <v>295</v>
      </c>
      <c r="D10" s="286">
        <v>295</v>
      </c>
      <c r="E10" s="286">
        <v>316</v>
      </c>
      <c r="F10" s="286">
        <v>330</v>
      </c>
      <c r="G10" s="338" t="s">
        <v>876</v>
      </c>
    </row>
    <row r="12" spans="2:13" x14ac:dyDescent="0.25">
      <c r="C12" s="143"/>
      <c r="D12" s="143"/>
      <c r="E12" s="143"/>
      <c r="F12" s="143"/>
    </row>
    <row r="13" spans="2:13" x14ac:dyDescent="0.25">
      <c r="B13" s="487" t="s">
        <v>252</v>
      </c>
      <c r="C13" s="497"/>
      <c r="D13" s="497"/>
      <c r="E13" s="497"/>
      <c r="F13" s="498"/>
      <c r="G13" s="516" t="s">
        <v>174</v>
      </c>
    </row>
    <row r="14" spans="2:13" x14ac:dyDescent="0.25">
      <c r="B14" s="491" t="s">
        <v>875</v>
      </c>
      <c r="C14" s="492" t="s">
        <v>256</v>
      </c>
      <c r="D14" s="493" t="s">
        <v>260</v>
      </c>
      <c r="E14" s="492" t="s">
        <v>264</v>
      </c>
      <c r="F14" s="494" t="s">
        <v>267</v>
      </c>
      <c r="G14" s="338" t="s">
        <v>878</v>
      </c>
    </row>
    <row r="15" spans="2:13" x14ac:dyDescent="0.25">
      <c r="B15" s="496" t="s">
        <v>211</v>
      </c>
      <c r="C15" s="269">
        <v>686</v>
      </c>
      <c r="D15" s="269">
        <v>686</v>
      </c>
      <c r="E15" s="269">
        <v>747</v>
      </c>
      <c r="F15" s="271">
        <v>903</v>
      </c>
      <c r="G15" s="338" t="s">
        <v>876</v>
      </c>
    </row>
    <row r="16" spans="2:13" ht="15" customHeight="1" x14ac:dyDescent="0.25">
      <c r="B16" s="496" t="s">
        <v>212</v>
      </c>
      <c r="C16" s="272">
        <v>489</v>
      </c>
      <c r="D16" s="272">
        <v>489</v>
      </c>
      <c r="E16" s="269">
        <v>551</v>
      </c>
      <c r="F16" s="271">
        <v>699</v>
      </c>
      <c r="G16" s="338" t="s">
        <v>876</v>
      </c>
    </row>
    <row r="17" spans="2:25" x14ac:dyDescent="0.25">
      <c r="B17" s="496" t="s">
        <v>213</v>
      </c>
      <c r="C17" s="272">
        <v>695</v>
      </c>
      <c r="D17" s="272">
        <v>695</v>
      </c>
      <c r="E17" s="269">
        <v>775</v>
      </c>
      <c r="F17" s="271">
        <v>940</v>
      </c>
      <c r="G17" s="338" t="s">
        <v>876</v>
      </c>
    </row>
    <row r="18" spans="2:25" x14ac:dyDescent="0.25">
      <c r="B18" s="496" t="s">
        <v>214</v>
      </c>
      <c r="C18" s="272">
        <v>581</v>
      </c>
      <c r="D18" s="269">
        <v>581</v>
      </c>
      <c r="E18" s="269">
        <v>623</v>
      </c>
      <c r="F18" s="271">
        <v>729</v>
      </c>
      <c r="G18" s="338" t="s">
        <v>876</v>
      </c>
    </row>
    <row r="19" spans="2:25" x14ac:dyDescent="0.25">
      <c r="B19" s="496" t="s">
        <v>216</v>
      </c>
      <c r="C19" s="269">
        <v>736</v>
      </c>
      <c r="D19" s="269">
        <v>736</v>
      </c>
      <c r="E19" s="269">
        <v>782</v>
      </c>
      <c r="F19" s="271">
        <v>885</v>
      </c>
      <c r="G19" s="338" t="s">
        <v>876</v>
      </c>
    </row>
    <row r="20" spans="2:25" ht="15" customHeight="1" x14ac:dyDescent="0.25">
      <c r="B20" s="496" t="s">
        <v>218</v>
      </c>
      <c r="C20" s="269">
        <v>765</v>
      </c>
      <c r="D20" s="269">
        <v>765</v>
      </c>
      <c r="E20" s="269">
        <v>817</v>
      </c>
      <c r="F20" s="271">
        <v>992</v>
      </c>
      <c r="G20" s="338" t="s">
        <v>876</v>
      </c>
    </row>
    <row r="21" spans="2:25" x14ac:dyDescent="0.25">
      <c r="B21" s="500" t="s">
        <v>219</v>
      </c>
      <c r="C21" s="274">
        <v>658</v>
      </c>
      <c r="D21" s="286">
        <v>658</v>
      </c>
      <c r="E21" s="286">
        <v>739</v>
      </c>
      <c r="F21" s="286">
        <v>940</v>
      </c>
      <c r="G21" s="338" t="s">
        <v>876</v>
      </c>
    </row>
    <row r="24" spans="2:25" x14ac:dyDescent="0.25">
      <c r="B24" s="501" t="s">
        <v>253</v>
      </c>
      <c r="C24" s="502"/>
      <c r="D24" s="502"/>
      <c r="E24" s="502"/>
      <c r="F24" s="502"/>
      <c r="G24" s="502"/>
      <c r="H24" s="502"/>
      <c r="I24" s="503"/>
      <c r="K24" s="469"/>
      <c r="L24" s="504"/>
      <c r="M24" s="469"/>
      <c r="N24" s="469"/>
      <c r="O24" s="469"/>
      <c r="P24" s="504"/>
      <c r="R24" s="469"/>
      <c r="S24" s="504"/>
      <c r="T24" s="469"/>
      <c r="U24" s="469"/>
      <c r="V24" s="469"/>
      <c r="W24" s="469"/>
      <c r="X24" s="469"/>
      <c r="Y24" s="504"/>
    </row>
    <row r="25" spans="2:25" ht="15" customHeight="1" x14ac:dyDescent="0.25">
      <c r="B25" s="518" t="s">
        <v>877</v>
      </c>
      <c r="C25" s="506" t="s">
        <v>211</v>
      </c>
      <c r="D25" s="507" t="s">
        <v>212</v>
      </c>
      <c r="E25" s="508" t="s">
        <v>213</v>
      </c>
      <c r="F25" s="506" t="s">
        <v>214</v>
      </c>
      <c r="G25" s="506" t="s">
        <v>216</v>
      </c>
      <c r="H25" s="506" t="s">
        <v>218</v>
      </c>
      <c r="I25" s="506" t="s">
        <v>219</v>
      </c>
      <c r="J25" s="510" t="s">
        <v>174</v>
      </c>
      <c r="L25" s="504"/>
      <c r="M25" s="469"/>
      <c r="N25" s="469"/>
      <c r="O25" s="469"/>
      <c r="P25" s="504"/>
      <c r="R25" s="469"/>
      <c r="S25" s="504"/>
      <c r="T25" s="469"/>
      <c r="U25" s="469"/>
      <c r="V25" s="469"/>
      <c r="W25" s="469"/>
      <c r="X25" s="469"/>
    </row>
    <row r="26" spans="2:25" ht="15" customHeight="1" x14ac:dyDescent="0.25">
      <c r="B26" s="285" t="s">
        <v>257</v>
      </c>
      <c r="C26" s="272">
        <v>552</v>
      </c>
      <c r="D26" s="270">
        <v>445</v>
      </c>
      <c r="E26" s="272">
        <v>604</v>
      </c>
      <c r="F26" s="272">
        <v>453</v>
      </c>
      <c r="G26" s="272">
        <v>621</v>
      </c>
      <c r="H26" s="272">
        <v>701</v>
      </c>
      <c r="I26" s="272">
        <v>563</v>
      </c>
      <c r="J26" s="264" t="s">
        <v>876</v>
      </c>
      <c r="L26" s="504"/>
      <c r="M26" s="469"/>
      <c r="N26" s="469"/>
      <c r="O26" s="469"/>
      <c r="P26" s="504"/>
      <c r="S26" s="305"/>
      <c r="V26" s="469"/>
      <c r="W26" s="469"/>
      <c r="X26" s="469"/>
    </row>
    <row r="27" spans="2:25" ht="15" customHeight="1" x14ac:dyDescent="0.25">
      <c r="B27" s="285" t="s">
        <v>261</v>
      </c>
      <c r="C27" s="272">
        <v>314</v>
      </c>
      <c r="D27" s="272">
        <v>249</v>
      </c>
      <c r="E27" s="272">
        <v>321</v>
      </c>
      <c r="F27" s="272">
        <v>243</v>
      </c>
      <c r="G27" s="272">
        <v>395</v>
      </c>
      <c r="H27" s="272">
        <v>369</v>
      </c>
      <c r="I27" s="272">
        <v>331</v>
      </c>
      <c r="J27" s="264" t="s">
        <v>876</v>
      </c>
      <c r="L27" s="504"/>
      <c r="M27" s="469"/>
      <c r="N27" s="469"/>
      <c r="O27" s="469"/>
      <c r="P27" s="504"/>
      <c r="S27" s="305"/>
      <c r="V27" s="469"/>
      <c r="W27" s="469"/>
      <c r="X27" s="469"/>
    </row>
    <row r="28" spans="2:25" ht="15" customHeight="1" x14ac:dyDescent="0.25">
      <c r="B28" s="285" t="s">
        <v>265</v>
      </c>
      <c r="C28" s="272">
        <v>888</v>
      </c>
      <c r="D28" s="272">
        <v>776</v>
      </c>
      <c r="E28" s="272">
        <v>1004</v>
      </c>
      <c r="F28" s="272">
        <v>751</v>
      </c>
      <c r="G28" s="272">
        <v>1187</v>
      </c>
      <c r="H28" s="272">
        <v>1251</v>
      </c>
      <c r="I28" s="272">
        <v>924</v>
      </c>
      <c r="J28" s="264" t="s">
        <v>876</v>
      </c>
      <c r="M28" s="469"/>
      <c r="N28" s="469"/>
      <c r="O28" s="469"/>
      <c r="P28" s="469"/>
      <c r="V28" s="469"/>
      <c r="W28" s="469"/>
      <c r="X28" s="469"/>
    </row>
    <row r="29" spans="2:25" ht="15" customHeight="1" x14ac:dyDescent="0.25">
      <c r="B29" s="285" t="s">
        <v>268</v>
      </c>
      <c r="C29" s="272">
        <v>591</v>
      </c>
      <c r="D29" s="272">
        <v>512</v>
      </c>
      <c r="E29" s="272">
        <v>631</v>
      </c>
      <c r="F29" s="272">
        <v>476</v>
      </c>
      <c r="G29" s="272">
        <v>598</v>
      </c>
      <c r="H29" s="272">
        <v>707</v>
      </c>
      <c r="I29" s="272">
        <v>605</v>
      </c>
      <c r="J29" s="264" t="s">
        <v>876</v>
      </c>
      <c r="M29" s="469"/>
      <c r="N29" s="469"/>
      <c r="O29" s="469"/>
      <c r="P29" s="469"/>
      <c r="V29" s="469"/>
      <c r="W29" s="469"/>
      <c r="X29" s="469"/>
    </row>
    <row r="30" spans="2:25" ht="15" customHeight="1" x14ac:dyDescent="0.25">
      <c r="B30" s="285" t="s">
        <v>271</v>
      </c>
      <c r="C30" s="272">
        <v>504</v>
      </c>
      <c r="D30" s="272">
        <v>525</v>
      </c>
      <c r="E30" s="272">
        <v>559</v>
      </c>
      <c r="F30" s="272">
        <v>425</v>
      </c>
      <c r="G30" s="272">
        <v>533</v>
      </c>
      <c r="H30" s="272">
        <v>618</v>
      </c>
      <c r="I30" s="272">
        <v>518</v>
      </c>
      <c r="J30" s="264" t="s">
        <v>876</v>
      </c>
      <c r="M30" s="469"/>
      <c r="N30" s="469"/>
      <c r="O30" s="469"/>
      <c r="P30" s="469"/>
      <c r="V30" s="469"/>
      <c r="W30" s="469"/>
      <c r="X30" s="469"/>
    </row>
    <row r="31" spans="2:25" x14ac:dyDescent="0.25">
      <c r="B31" s="285" t="s">
        <v>273</v>
      </c>
      <c r="C31" s="272">
        <v>888</v>
      </c>
      <c r="D31" s="272">
        <v>776</v>
      </c>
      <c r="E31" s="272">
        <v>1004</v>
      </c>
      <c r="F31" s="272">
        <v>751</v>
      </c>
      <c r="G31" s="272">
        <v>1187</v>
      </c>
      <c r="H31" s="272">
        <v>1251</v>
      </c>
      <c r="I31" s="272">
        <v>924</v>
      </c>
      <c r="J31" s="264" t="s">
        <v>876</v>
      </c>
      <c r="M31" s="469"/>
      <c r="N31" s="469"/>
      <c r="O31" s="469"/>
      <c r="P31" s="469"/>
      <c r="V31" s="469"/>
      <c r="W31" s="469"/>
      <c r="X31" s="469"/>
    </row>
    <row r="32" spans="2:25" ht="15" customHeight="1" x14ac:dyDescent="0.25">
      <c r="B32" s="285" t="s">
        <v>276</v>
      </c>
      <c r="C32" s="272">
        <v>462</v>
      </c>
      <c r="D32" s="272">
        <v>444</v>
      </c>
      <c r="E32" s="272">
        <v>514</v>
      </c>
      <c r="F32" s="272">
        <v>404</v>
      </c>
      <c r="G32" s="272">
        <v>509</v>
      </c>
      <c r="H32" s="272">
        <v>580</v>
      </c>
      <c r="I32" s="272">
        <v>477</v>
      </c>
      <c r="J32" s="264" t="s">
        <v>876</v>
      </c>
      <c r="M32" s="469"/>
      <c r="N32" s="469"/>
      <c r="O32" s="469"/>
      <c r="P32" s="469"/>
      <c r="V32" s="469"/>
      <c r="W32" s="469"/>
      <c r="X32" s="469"/>
    </row>
    <row r="33" spans="2:25" x14ac:dyDescent="0.25">
      <c r="B33" s="285" t="s">
        <v>279</v>
      </c>
      <c r="C33" s="272">
        <v>847</v>
      </c>
      <c r="D33" s="272">
        <v>980</v>
      </c>
      <c r="E33" s="272">
        <v>1318</v>
      </c>
      <c r="F33" s="272">
        <v>1088</v>
      </c>
      <c r="G33" s="272">
        <v>1144</v>
      </c>
      <c r="H33" s="272">
        <v>1397</v>
      </c>
      <c r="I33" s="272">
        <v>1192</v>
      </c>
      <c r="J33" s="264" t="s">
        <v>876</v>
      </c>
      <c r="M33" s="469"/>
      <c r="N33" s="469"/>
      <c r="O33" s="469"/>
      <c r="P33" s="469"/>
      <c r="V33" s="469"/>
      <c r="W33" s="469"/>
      <c r="X33" s="469"/>
    </row>
    <row r="34" spans="2:25" ht="15" customHeight="1" x14ac:dyDescent="0.25">
      <c r="B34" s="285" t="s">
        <v>282</v>
      </c>
      <c r="C34" s="272">
        <v>343</v>
      </c>
      <c r="D34" s="272">
        <v>270</v>
      </c>
      <c r="E34" s="272">
        <v>297</v>
      </c>
      <c r="F34" s="272">
        <v>281</v>
      </c>
      <c r="G34" s="272">
        <v>366</v>
      </c>
      <c r="H34" s="272">
        <v>423</v>
      </c>
      <c r="I34" s="272">
        <v>305</v>
      </c>
      <c r="J34" s="264" t="s">
        <v>876</v>
      </c>
      <c r="M34" s="469"/>
      <c r="N34" s="469"/>
      <c r="O34" s="469"/>
      <c r="P34" s="469"/>
      <c r="V34" s="469"/>
      <c r="W34" s="469"/>
      <c r="X34" s="469"/>
    </row>
    <row r="35" spans="2:25" ht="15" customHeight="1" x14ac:dyDescent="0.25">
      <c r="B35" s="285" t="s">
        <v>286</v>
      </c>
      <c r="C35" s="272">
        <v>262</v>
      </c>
      <c r="D35" s="272">
        <v>206</v>
      </c>
      <c r="E35" s="272">
        <v>231</v>
      </c>
      <c r="F35" s="272">
        <v>223</v>
      </c>
      <c r="G35" s="272">
        <v>259</v>
      </c>
      <c r="H35" s="272">
        <v>281</v>
      </c>
      <c r="I35" s="272">
        <v>274</v>
      </c>
      <c r="J35" s="264" t="s">
        <v>876</v>
      </c>
      <c r="M35" s="469"/>
      <c r="N35" s="469"/>
      <c r="O35" s="469"/>
      <c r="P35" s="469"/>
      <c r="V35" s="469"/>
      <c r="W35" s="469"/>
      <c r="X35" s="469"/>
    </row>
    <row r="36" spans="2:25" ht="15" customHeight="1" x14ac:dyDescent="0.25">
      <c r="B36" s="285" t="s">
        <v>289</v>
      </c>
      <c r="C36" s="272">
        <v>856</v>
      </c>
      <c r="D36" s="272">
        <v>729</v>
      </c>
      <c r="E36" s="272">
        <v>906</v>
      </c>
      <c r="F36" s="272">
        <v>732</v>
      </c>
      <c r="G36" s="272">
        <v>886</v>
      </c>
      <c r="H36" s="272">
        <v>1037</v>
      </c>
      <c r="I36" s="272">
        <v>854</v>
      </c>
      <c r="J36" s="264" t="s">
        <v>876</v>
      </c>
      <c r="L36" s="469"/>
      <c r="M36" s="469"/>
      <c r="N36" s="469"/>
      <c r="O36" s="469"/>
      <c r="P36" s="469"/>
      <c r="V36" s="469"/>
      <c r="W36" s="469"/>
      <c r="X36" s="469"/>
    </row>
    <row r="37" spans="2:25" ht="15" customHeight="1" x14ac:dyDescent="0.25">
      <c r="B37" s="285" t="s">
        <v>293</v>
      </c>
      <c r="C37" s="272">
        <v>741</v>
      </c>
      <c r="D37" s="272">
        <v>658</v>
      </c>
      <c r="E37" s="272">
        <v>810</v>
      </c>
      <c r="F37" s="272">
        <v>654</v>
      </c>
      <c r="G37" s="272">
        <v>818</v>
      </c>
      <c r="H37" s="272">
        <v>931</v>
      </c>
      <c r="I37" s="272">
        <v>754</v>
      </c>
      <c r="J37" s="264" t="s">
        <v>876</v>
      </c>
      <c r="L37" s="469"/>
      <c r="M37" s="469"/>
      <c r="N37" s="469"/>
      <c r="O37" s="469"/>
      <c r="P37" s="469"/>
      <c r="V37" s="469"/>
      <c r="W37" s="469"/>
      <c r="X37" s="469"/>
    </row>
    <row r="38" spans="2:25" ht="15" customHeight="1" x14ac:dyDescent="0.25">
      <c r="B38" s="285" t="s">
        <v>296</v>
      </c>
      <c r="C38" s="272">
        <v>270</v>
      </c>
      <c r="D38" s="272">
        <v>198</v>
      </c>
      <c r="E38" s="272">
        <v>258</v>
      </c>
      <c r="F38" s="272">
        <v>249</v>
      </c>
      <c r="G38" s="272">
        <v>371</v>
      </c>
      <c r="H38" s="272">
        <v>347</v>
      </c>
      <c r="I38" s="272">
        <v>270</v>
      </c>
      <c r="J38" s="264" t="s">
        <v>876</v>
      </c>
      <c r="L38" s="469"/>
      <c r="M38" s="469"/>
      <c r="N38" s="469"/>
      <c r="O38" s="469"/>
      <c r="P38" s="469"/>
      <c r="V38" s="469"/>
      <c r="W38" s="469"/>
      <c r="X38" s="469"/>
    </row>
    <row r="39" spans="2:25" x14ac:dyDescent="0.25">
      <c r="B39" s="285" t="s">
        <v>298</v>
      </c>
      <c r="C39" s="272">
        <v>578</v>
      </c>
      <c r="D39" s="272">
        <v>584</v>
      </c>
      <c r="E39" s="272">
        <v>650</v>
      </c>
      <c r="F39" s="272">
        <v>517</v>
      </c>
      <c r="G39" s="272">
        <v>683</v>
      </c>
      <c r="H39" s="272">
        <v>761</v>
      </c>
      <c r="I39" s="272">
        <v>615</v>
      </c>
      <c r="J39" s="264" t="s">
        <v>876</v>
      </c>
      <c r="L39" s="469"/>
      <c r="M39" s="469"/>
      <c r="N39" s="469"/>
      <c r="O39" s="469"/>
      <c r="P39" s="469"/>
      <c r="V39" s="469"/>
      <c r="W39" s="469"/>
      <c r="X39" s="469"/>
    </row>
    <row r="40" spans="2:25" x14ac:dyDescent="0.25">
      <c r="K40" s="469"/>
      <c r="L40" s="469"/>
      <c r="M40" s="469"/>
      <c r="N40" s="469"/>
      <c r="O40" s="469"/>
      <c r="P40" s="469"/>
      <c r="V40" s="469"/>
      <c r="W40" s="469"/>
      <c r="X40" s="469"/>
    </row>
    <row r="41" spans="2:25" x14ac:dyDescent="0.25">
      <c r="B41" s="487" t="s">
        <v>254</v>
      </c>
      <c r="C41" s="502"/>
      <c r="D41" s="502"/>
      <c r="E41" s="502"/>
      <c r="F41" s="502"/>
      <c r="G41" s="502"/>
      <c r="H41" s="502"/>
      <c r="I41" s="502"/>
      <c r="J41" s="469"/>
      <c r="L41" s="469"/>
      <c r="M41" s="469"/>
      <c r="N41" s="469"/>
      <c r="O41" s="469"/>
      <c r="P41" s="469"/>
      <c r="V41" s="469"/>
      <c r="W41" s="469"/>
      <c r="Y41" s="504"/>
    </row>
    <row r="42" spans="2:25" ht="15" customHeight="1" x14ac:dyDescent="0.25">
      <c r="B42" s="519" t="s">
        <v>877</v>
      </c>
      <c r="C42" s="506" t="s">
        <v>211</v>
      </c>
      <c r="D42" s="506" t="s">
        <v>212</v>
      </c>
      <c r="E42" s="506" t="s">
        <v>213</v>
      </c>
      <c r="F42" s="506" t="s">
        <v>214</v>
      </c>
      <c r="G42" s="506" t="s">
        <v>216</v>
      </c>
      <c r="H42" s="506" t="s">
        <v>218</v>
      </c>
      <c r="I42" s="506" t="s">
        <v>219</v>
      </c>
      <c r="J42" s="510" t="s">
        <v>174</v>
      </c>
    </row>
    <row r="43" spans="2:25" ht="15" customHeight="1" x14ac:dyDescent="0.25">
      <c r="B43" s="280" t="s">
        <v>258</v>
      </c>
      <c r="C43" s="281">
        <v>675</v>
      </c>
      <c r="D43" s="272">
        <v>442</v>
      </c>
      <c r="E43" s="272">
        <v>632</v>
      </c>
      <c r="F43" s="272">
        <v>556</v>
      </c>
      <c r="G43" s="272">
        <v>785</v>
      </c>
      <c r="H43" s="272">
        <v>863</v>
      </c>
      <c r="I43" s="272">
        <v>677</v>
      </c>
      <c r="J43" s="264" t="s">
        <v>876</v>
      </c>
    </row>
    <row r="44" spans="2:25" ht="15" customHeight="1" x14ac:dyDescent="0.25">
      <c r="B44" s="280" t="s">
        <v>262</v>
      </c>
      <c r="C44" s="281">
        <v>892</v>
      </c>
      <c r="D44" s="272">
        <v>599</v>
      </c>
      <c r="E44" s="272">
        <v>843</v>
      </c>
      <c r="F44" s="272">
        <v>755</v>
      </c>
      <c r="G44" s="272">
        <v>1047</v>
      </c>
      <c r="H44" s="272">
        <v>1218</v>
      </c>
      <c r="I44" s="272">
        <v>902</v>
      </c>
      <c r="J44" s="264" t="s">
        <v>876</v>
      </c>
    </row>
    <row r="45" spans="2:25" ht="15" customHeight="1" x14ac:dyDescent="0.25">
      <c r="B45" s="280" t="s">
        <v>266</v>
      </c>
      <c r="C45" s="281">
        <v>543</v>
      </c>
      <c r="D45" s="272">
        <v>384</v>
      </c>
      <c r="E45" s="272">
        <v>554</v>
      </c>
      <c r="F45" s="272">
        <v>385</v>
      </c>
      <c r="G45" s="272">
        <v>611</v>
      </c>
      <c r="H45" s="272">
        <v>650</v>
      </c>
      <c r="I45" s="272">
        <v>506</v>
      </c>
      <c r="J45" s="264" t="s">
        <v>876</v>
      </c>
    </row>
    <row r="46" spans="2:25" x14ac:dyDescent="0.25">
      <c r="B46" s="283" t="s">
        <v>269</v>
      </c>
      <c r="C46" s="281">
        <v>850</v>
      </c>
      <c r="D46" s="272">
        <v>671</v>
      </c>
      <c r="E46" s="272">
        <v>914</v>
      </c>
      <c r="F46" s="272">
        <v>756</v>
      </c>
      <c r="G46" s="272">
        <v>742</v>
      </c>
      <c r="H46" s="272">
        <v>929</v>
      </c>
      <c r="I46" s="272">
        <v>848</v>
      </c>
      <c r="J46" s="264" t="s">
        <v>876</v>
      </c>
    </row>
    <row r="47" spans="2:25" ht="15" customHeight="1" x14ac:dyDescent="0.25">
      <c r="B47" s="280" t="s">
        <v>272</v>
      </c>
      <c r="C47" s="281">
        <v>402</v>
      </c>
      <c r="D47" s="272">
        <v>311</v>
      </c>
      <c r="E47" s="272">
        <v>393</v>
      </c>
      <c r="F47" s="272">
        <v>347</v>
      </c>
      <c r="G47" s="272">
        <v>432</v>
      </c>
      <c r="H47" s="272">
        <v>497</v>
      </c>
      <c r="I47" s="272">
        <v>431</v>
      </c>
      <c r="J47" s="264" t="s">
        <v>876</v>
      </c>
    </row>
    <row r="48" spans="2:25" ht="15" customHeight="1" x14ac:dyDescent="0.25">
      <c r="B48" s="280" t="s">
        <v>274</v>
      </c>
      <c r="C48" s="281">
        <v>823</v>
      </c>
      <c r="D48" s="272">
        <v>743</v>
      </c>
      <c r="E48" s="272">
        <v>901</v>
      </c>
      <c r="F48" s="272">
        <v>794</v>
      </c>
      <c r="G48" s="272">
        <v>799</v>
      </c>
      <c r="H48" s="272">
        <v>962</v>
      </c>
      <c r="I48" s="272">
        <v>850</v>
      </c>
      <c r="J48" s="264" t="s">
        <v>876</v>
      </c>
    </row>
    <row r="49" spans="2:10" ht="15" customHeight="1" x14ac:dyDescent="0.25">
      <c r="B49" s="280" t="s">
        <v>277</v>
      </c>
      <c r="C49" s="281">
        <v>274</v>
      </c>
      <c r="D49" s="272">
        <v>207</v>
      </c>
      <c r="E49" s="272">
        <v>261</v>
      </c>
      <c r="F49" s="272">
        <v>235</v>
      </c>
      <c r="G49" s="272">
        <v>316</v>
      </c>
      <c r="H49" s="272">
        <v>353</v>
      </c>
      <c r="I49" s="272">
        <v>285</v>
      </c>
      <c r="J49" s="264" t="s">
        <v>876</v>
      </c>
    </row>
    <row r="50" spans="2:10" ht="15" customHeight="1" x14ac:dyDescent="0.25">
      <c r="B50" s="280" t="s">
        <v>280</v>
      </c>
      <c r="C50" s="281">
        <v>1198</v>
      </c>
      <c r="D50" s="272">
        <v>938</v>
      </c>
      <c r="E50" s="272">
        <v>1354</v>
      </c>
      <c r="F50" s="272">
        <v>1133</v>
      </c>
      <c r="G50" s="272">
        <v>1321</v>
      </c>
      <c r="H50" s="272">
        <v>1504</v>
      </c>
      <c r="I50" s="272">
        <v>1275</v>
      </c>
      <c r="J50" s="264" t="s">
        <v>876</v>
      </c>
    </row>
    <row r="51" spans="2:10" ht="15" customHeight="1" x14ac:dyDescent="0.25">
      <c r="B51" s="280" t="s">
        <v>283</v>
      </c>
      <c r="C51" s="281">
        <v>1995</v>
      </c>
      <c r="D51" s="272">
        <v>1698</v>
      </c>
      <c r="E51" s="272">
        <v>2320</v>
      </c>
      <c r="F51" s="272">
        <v>1888</v>
      </c>
      <c r="G51" s="272">
        <v>2076</v>
      </c>
      <c r="H51" s="272">
        <v>2423</v>
      </c>
      <c r="I51" s="272">
        <v>2119</v>
      </c>
      <c r="J51" s="264" t="s">
        <v>876</v>
      </c>
    </row>
    <row r="52" spans="2:10" ht="15" customHeight="1" x14ac:dyDescent="0.25">
      <c r="B52" s="280" t="s">
        <v>287</v>
      </c>
      <c r="C52" s="281">
        <v>1109</v>
      </c>
      <c r="D52" s="272">
        <v>874</v>
      </c>
      <c r="E52" s="272">
        <v>1247</v>
      </c>
      <c r="F52" s="272">
        <v>1050</v>
      </c>
      <c r="G52" s="272">
        <v>1129</v>
      </c>
      <c r="H52" s="272">
        <v>1331</v>
      </c>
      <c r="I52" s="272">
        <v>1168</v>
      </c>
      <c r="J52" s="264" t="s">
        <v>876</v>
      </c>
    </row>
    <row r="53" spans="2:10" ht="15" customHeight="1" x14ac:dyDescent="0.25">
      <c r="B53" s="280" t="s">
        <v>290</v>
      </c>
      <c r="C53" s="281">
        <v>3167</v>
      </c>
      <c r="D53" s="272">
        <v>3145</v>
      </c>
      <c r="E53" s="272">
        <v>3336</v>
      </c>
      <c r="F53" s="272">
        <v>3064</v>
      </c>
      <c r="G53" s="272">
        <v>2707</v>
      </c>
      <c r="H53" s="272">
        <v>3713</v>
      </c>
      <c r="I53" s="272">
        <v>3860</v>
      </c>
      <c r="J53" s="264" t="s">
        <v>876</v>
      </c>
    </row>
    <row r="54" spans="2:10" ht="15" customHeight="1" x14ac:dyDescent="0.25">
      <c r="B54" s="280" t="s">
        <v>294</v>
      </c>
      <c r="C54" s="281">
        <v>3399</v>
      </c>
      <c r="D54" s="272">
        <v>3341</v>
      </c>
      <c r="E54" s="272">
        <v>3581</v>
      </c>
      <c r="F54" s="272">
        <v>3298</v>
      </c>
      <c r="G54" s="272">
        <v>2884</v>
      </c>
      <c r="H54" s="272">
        <v>3975</v>
      </c>
      <c r="I54" s="272">
        <v>4062</v>
      </c>
      <c r="J54" s="264" t="s">
        <v>876</v>
      </c>
    </row>
    <row r="55" spans="2:10" ht="15" customHeight="1" x14ac:dyDescent="0.25">
      <c r="B55" s="280" t="s">
        <v>297</v>
      </c>
      <c r="C55" s="281">
        <v>3119</v>
      </c>
      <c r="D55" s="272">
        <v>3112</v>
      </c>
      <c r="E55" s="272">
        <v>3285</v>
      </c>
      <c r="F55" s="272">
        <v>2996</v>
      </c>
      <c r="G55" s="272">
        <v>2718</v>
      </c>
      <c r="H55" s="272">
        <v>3588</v>
      </c>
      <c r="I55" s="272">
        <v>3822</v>
      </c>
      <c r="J55" s="264" t="s">
        <v>876</v>
      </c>
    </row>
    <row r="56" spans="2:10" ht="15" customHeight="1" x14ac:dyDescent="0.25">
      <c r="B56" s="280" t="s">
        <v>299</v>
      </c>
      <c r="C56" s="281">
        <v>815</v>
      </c>
      <c r="D56" s="272">
        <v>546</v>
      </c>
      <c r="E56" s="272">
        <v>714</v>
      </c>
      <c r="F56" s="272">
        <v>666</v>
      </c>
      <c r="G56" s="272">
        <v>668</v>
      </c>
      <c r="H56" s="272">
        <v>871</v>
      </c>
      <c r="I56" s="272">
        <v>742</v>
      </c>
      <c r="J56" s="264" t="s">
        <v>876</v>
      </c>
    </row>
    <row r="57" spans="2:10" ht="15" customHeight="1" x14ac:dyDescent="0.25">
      <c r="B57" s="280" t="s">
        <v>300</v>
      </c>
      <c r="C57" s="281">
        <v>2186</v>
      </c>
      <c r="D57" s="272">
        <v>1825</v>
      </c>
      <c r="E57" s="272">
        <v>2451</v>
      </c>
      <c r="F57" s="272">
        <v>1994</v>
      </c>
      <c r="G57" s="272">
        <v>2088</v>
      </c>
      <c r="H57" s="272">
        <v>2532</v>
      </c>
      <c r="I57" s="272">
        <v>2397</v>
      </c>
      <c r="J57" s="264" t="s">
        <v>876</v>
      </c>
    </row>
    <row r="58" spans="2:10" ht="15" customHeight="1" x14ac:dyDescent="0.25">
      <c r="B58" s="280" t="s">
        <v>302</v>
      </c>
      <c r="C58" s="281">
        <v>719</v>
      </c>
      <c r="D58" s="272">
        <v>530</v>
      </c>
      <c r="E58" s="272">
        <v>613</v>
      </c>
      <c r="F58" s="272">
        <v>551</v>
      </c>
      <c r="G58" s="272">
        <v>664</v>
      </c>
      <c r="H58" s="272">
        <v>819</v>
      </c>
      <c r="I58" s="272">
        <v>636</v>
      </c>
      <c r="J58" s="264" t="s">
        <v>876</v>
      </c>
    </row>
    <row r="59" spans="2:10" ht="15" customHeight="1" x14ac:dyDescent="0.25">
      <c r="B59" s="280" t="s">
        <v>304</v>
      </c>
      <c r="C59" s="281">
        <v>990</v>
      </c>
      <c r="D59" s="272">
        <v>737</v>
      </c>
      <c r="E59" s="272">
        <v>1032</v>
      </c>
      <c r="F59" s="272">
        <v>822</v>
      </c>
      <c r="G59" s="272">
        <v>991</v>
      </c>
      <c r="H59" s="272">
        <v>1124</v>
      </c>
      <c r="I59" s="272">
        <v>954</v>
      </c>
      <c r="J59" s="264" t="s">
        <v>876</v>
      </c>
    </row>
    <row r="60" spans="2:10" ht="15" customHeight="1" x14ac:dyDescent="0.25">
      <c r="B60" s="280" t="s">
        <v>305</v>
      </c>
      <c r="C60" s="281">
        <v>1912</v>
      </c>
      <c r="D60" s="272">
        <v>1648</v>
      </c>
      <c r="E60" s="272">
        <v>2144</v>
      </c>
      <c r="F60" s="272">
        <v>1687</v>
      </c>
      <c r="G60" s="272">
        <v>1625</v>
      </c>
      <c r="H60" s="272">
        <v>2040</v>
      </c>
      <c r="I60" s="272">
        <v>1841</v>
      </c>
      <c r="J60" s="264" t="s">
        <v>876</v>
      </c>
    </row>
    <row r="61" spans="2:10" ht="15" customHeight="1" x14ac:dyDescent="0.25">
      <c r="B61" s="280" t="s">
        <v>308</v>
      </c>
      <c r="C61" s="281">
        <v>813</v>
      </c>
      <c r="D61" s="272">
        <v>607</v>
      </c>
      <c r="E61" s="272">
        <v>867</v>
      </c>
      <c r="F61" s="272">
        <v>667</v>
      </c>
      <c r="G61" s="272">
        <v>822</v>
      </c>
      <c r="H61" s="272">
        <v>925</v>
      </c>
      <c r="I61" s="272">
        <v>783</v>
      </c>
      <c r="J61" s="264" t="s">
        <v>876</v>
      </c>
    </row>
    <row r="62" spans="2:10" ht="15" customHeight="1" x14ac:dyDescent="0.25">
      <c r="B62" s="280" t="s">
        <v>310</v>
      </c>
      <c r="C62" s="281">
        <v>785</v>
      </c>
      <c r="D62" s="272">
        <v>507</v>
      </c>
      <c r="E62" s="272">
        <v>742</v>
      </c>
      <c r="F62" s="272">
        <v>619</v>
      </c>
      <c r="G62" s="272">
        <v>818</v>
      </c>
      <c r="H62" s="272">
        <v>863</v>
      </c>
      <c r="I62" s="272">
        <v>777</v>
      </c>
      <c r="J62" s="264" t="s">
        <v>876</v>
      </c>
    </row>
    <row r="63" spans="2:10" ht="15" customHeight="1" x14ac:dyDescent="0.25">
      <c r="B63" s="280" t="s">
        <v>311</v>
      </c>
      <c r="C63" s="281">
        <v>1080</v>
      </c>
      <c r="D63" s="272">
        <v>739</v>
      </c>
      <c r="E63" s="272">
        <v>1058</v>
      </c>
      <c r="F63" s="272">
        <v>885</v>
      </c>
      <c r="G63" s="272">
        <v>1121</v>
      </c>
      <c r="H63" s="272">
        <v>1258</v>
      </c>
      <c r="I63" s="272">
        <v>1057</v>
      </c>
      <c r="J63" s="264" t="s">
        <v>876</v>
      </c>
    </row>
    <row r="64" spans="2:10" ht="15" customHeight="1" x14ac:dyDescent="0.25">
      <c r="B64" s="280" t="s">
        <v>313</v>
      </c>
      <c r="C64" s="281">
        <v>607</v>
      </c>
      <c r="D64" s="272">
        <v>441</v>
      </c>
      <c r="E64" s="272">
        <v>630</v>
      </c>
      <c r="F64" s="272">
        <v>451</v>
      </c>
      <c r="G64" s="272">
        <v>640</v>
      </c>
      <c r="H64" s="272">
        <v>694</v>
      </c>
      <c r="I64" s="272">
        <v>582</v>
      </c>
      <c r="J64" s="264" t="s">
        <v>876</v>
      </c>
    </row>
    <row r="65" spans="10:10" x14ac:dyDescent="0.25">
      <c r="J65" s="143"/>
    </row>
  </sheetData>
  <sheetProtection algorithmName="SHA-512" hashValue="P75vGlB7vgY1MYe3+Q13sWSaJdF/gdSZovYVJkbe4G51rPvch+IW4kWd+Q/g87JEQAomhQg9+/ug5dvXYIANmA==" saltValue="fbeQg0AO+otH08953DNlGQ==" spinCount="100000" sheet="1" objects="1" scenarios="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CE26-248F-4D04-A49D-EC85A762FCAE}">
  <sheetPr>
    <tabColor theme="5"/>
  </sheetPr>
  <dimension ref="A2:P2214"/>
  <sheetViews>
    <sheetView workbookViewId="0">
      <selection activeCell="P16" sqref="A16:P16"/>
    </sheetView>
  </sheetViews>
  <sheetFormatPr defaultColWidth="9.140625" defaultRowHeight="15" x14ac:dyDescent="0.25"/>
  <cols>
    <col min="1" max="1" width="5.28515625" style="1" customWidth="1"/>
    <col min="2" max="2" width="9.140625" style="63"/>
    <col min="3" max="3" width="16.28515625" style="63" bestFit="1" customWidth="1"/>
    <col min="4" max="4" width="12.42578125" style="63" bestFit="1" customWidth="1"/>
    <col min="5" max="5" width="11.7109375" style="63" bestFit="1" customWidth="1"/>
    <col min="6" max="6" width="18.140625" style="63" bestFit="1" customWidth="1"/>
    <col min="7" max="7" width="12.7109375" style="63" bestFit="1" customWidth="1"/>
    <col min="8" max="8" width="12.7109375" style="1" bestFit="1" customWidth="1"/>
    <col min="9" max="14" width="9.140625" style="1"/>
    <col min="15" max="15" width="11.5703125" style="1" bestFit="1" customWidth="1"/>
    <col min="16" max="16" width="10.5703125" style="1" bestFit="1" customWidth="1"/>
    <col min="17" max="16384" width="9.140625" style="1"/>
  </cols>
  <sheetData>
    <row r="2" spans="1:16" x14ac:dyDescent="0.25">
      <c r="B2" s="87" t="s">
        <v>879</v>
      </c>
      <c r="C2" s="88"/>
      <c r="D2" s="88"/>
      <c r="E2" s="88"/>
      <c r="F2" s="88"/>
      <c r="G2" s="89"/>
    </row>
    <row r="3" spans="1:16" ht="5.25" customHeight="1" x14ac:dyDescent="0.25"/>
    <row r="4" spans="1:16" x14ac:dyDescent="0.25">
      <c r="B4" s="63">
        <v>1</v>
      </c>
      <c r="C4" s="63">
        <v>2</v>
      </c>
      <c r="D4" s="63">
        <v>3</v>
      </c>
      <c r="E4" s="63">
        <v>4</v>
      </c>
      <c r="F4" s="63">
        <v>5</v>
      </c>
      <c r="G4" s="63">
        <v>6</v>
      </c>
    </row>
    <row r="5" spans="1:16" x14ac:dyDescent="0.25">
      <c r="B5" s="90" t="s">
        <v>16</v>
      </c>
      <c r="C5" s="72" t="s">
        <v>880</v>
      </c>
      <c r="D5" s="72" t="s">
        <v>881</v>
      </c>
      <c r="E5" s="72" t="s">
        <v>882</v>
      </c>
      <c r="F5" s="72" t="s">
        <v>883</v>
      </c>
      <c r="G5" s="72" t="s">
        <v>397</v>
      </c>
      <c r="O5" s="67"/>
      <c r="P5" s="67"/>
    </row>
    <row r="6" spans="1:16" x14ac:dyDescent="0.25">
      <c r="A6" s="1">
        <v>1</v>
      </c>
      <c r="B6" s="91">
        <v>501</v>
      </c>
      <c r="C6" s="76" t="s">
        <v>216</v>
      </c>
      <c r="D6" s="76" t="s">
        <v>884</v>
      </c>
      <c r="E6" s="76" t="s">
        <v>885</v>
      </c>
      <c r="F6" s="76" t="s">
        <v>886</v>
      </c>
      <c r="G6" s="76">
        <v>4</v>
      </c>
      <c r="O6" s="92"/>
    </row>
    <row r="7" spans="1:16" x14ac:dyDescent="0.25">
      <c r="A7" s="1">
        <v>2</v>
      </c>
      <c r="B7" s="91">
        <v>544</v>
      </c>
      <c r="C7" s="76" t="s">
        <v>216</v>
      </c>
      <c r="D7" s="76" t="s">
        <v>884</v>
      </c>
      <c r="E7" s="76" t="s">
        <v>885</v>
      </c>
      <c r="F7" s="76" t="s">
        <v>886</v>
      </c>
      <c r="G7" s="76">
        <v>4</v>
      </c>
      <c r="O7" s="92"/>
    </row>
    <row r="8" spans="1:16" x14ac:dyDescent="0.25">
      <c r="A8" s="1">
        <v>3</v>
      </c>
      <c r="B8" s="91">
        <v>6390</v>
      </c>
      <c r="C8" s="76" t="s">
        <v>216</v>
      </c>
      <c r="D8" s="76" t="s">
        <v>884</v>
      </c>
      <c r="E8" s="76" t="s">
        <v>885</v>
      </c>
      <c r="F8" s="76" t="s">
        <v>886</v>
      </c>
      <c r="G8" s="76">
        <v>4</v>
      </c>
      <c r="O8" s="92"/>
    </row>
    <row r="9" spans="1:16" x14ac:dyDescent="0.25">
      <c r="A9" s="1">
        <v>4</v>
      </c>
      <c r="B9" s="91">
        <v>10001</v>
      </c>
      <c r="C9" s="76" t="s">
        <v>216</v>
      </c>
      <c r="D9" s="76" t="s">
        <v>887</v>
      </c>
      <c r="E9" s="76" t="s">
        <v>885</v>
      </c>
      <c r="F9" s="76" t="s">
        <v>888</v>
      </c>
      <c r="G9" s="76">
        <v>4</v>
      </c>
      <c r="O9" s="92"/>
    </row>
    <row r="10" spans="1:16" x14ac:dyDescent="0.25">
      <c r="A10" s="1">
        <v>5</v>
      </c>
      <c r="B10" s="91">
        <v>10002</v>
      </c>
      <c r="C10" s="76" t="s">
        <v>216</v>
      </c>
      <c r="D10" s="76" t="s">
        <v>887</v>
      </c>
      <c r="E10" s="76" t="s">
        <v>885</v>
      </c>
      <c r="F10" s="76" t="s">
        <v>888</v>
      </c>
      <c r="G10" s="76">
        <v>4</v>
      </c>
      <c r="O10" s="92"/>
    </row>
    <row r="11" spans="1:16" x14ac:dyDescent="0.25">
      <c r="A11" s="1">
        <v>6</v>
      </c>
      <c r="B11" s="91">
        <v>10003</v>
      </c>
      <c r="C11" s="76" t="s">
        <v>216</v>
      </c>
      <c r="D11" s="76" t="s">
        <v>887</v>
      </c>
      <c r="E11" s="76" t="s">
        <v>885</v>
      </c>
      <c r="F11" s="76" t="s">
        <v>888</v>
      </c>
      <c r="G11" s="76">
        <v>4</v>
      </c>
      <c r="O11" s="92"/>
    </row>
    <row r="12" spans="1:16" x14ac:dyDescent="0.25">
      <c r="A12" s="1">
        <v>7</v>
      </c>
      <c r="B12" s="91">
        <v>10004</v>
      </c>
      <c r="C12" s="76" t="s">
        <v>216</v>
      </c>
      <c r="D12" s="76" t="s">
        <v>887</v>
      </c>
      <c r="E12" s="76" t="s">
        <v>885</v>
      </c>
      <c r="F12" s="76" t="s">
        <v>888</v>
      </c>
      <c r="G12" s="76">
        <v>4</v>
      </c>
      <c r="O12" s="92"/>
    </row>
    <row r="13" spans="1:16" x14ac:dyDescent="0.25">
      <c r="A13" s="1">
        <v>8</v>
      </c>
      <c r="B13" s="91">
        <v>10005</v>
      </c>
      <c r="C13" s="76" t="s">
        <v>216</v>
      </c>
      <c r="D13" s="76" t="s">
        <v>887</v>
      </c>
      <c r="E13" s="76" t="s">
        <v>885</v>
      </c>
      <c r="F13" s="76" t="s">
        <v>888</v>
      </c>
      <c r="G13" s="76">
        <v>4</v>
      </c>
      <c r="O13" s="92"/>
    </row>
    <row r="14" spans="1:16" x14ac:dyDescent="0.25">
      <c r="A14" s="1">
        <v>9</v>
      </c>
      <c r="B14" s="91">
        <v>10006</v>
      </c>
      <c r="C14" s="76" t="s">
        <v>216</v>
      </c>
      <c r="D14" s="76" t="s">
        <v>887</v>
      </c>
      <c r="E14" s="76" t="s">
        <v>885</v>
      </c>
      <c r="F14" s="76" t="s">
        <v>888</v>
      </c>
      <c r="G14" s="76">
        <v>4</v>
      </c>
      <c r="O14" s="92"/>
    </row>
    <row r="15" spans="1:16" x14ac:dyDescent="0.25">
      <c r="A15" s="1">
        <v>10</v>
      </c>
      <c r="B15" s="91">
        <v>10007</v>
      </c>
      <c r="C15" s="76" t="s">
        <v>216</v>
      </c>
      <c r="D15" s="76" t="s">
        <v>887</v>
      </c>
      <c r="E15" s="76" t="s">
        <v>885</v>
      </c>
      <c r="F15" s="76" t="s">
        <v>888</v>
      </c>
      <c r="G15" s="76">
        <v>4</v>
      </c>
      <c r="O15" s="92"/>
    </row>
    <row r="16" spans="1:16" x14ac:dyDescent="0.25">
      <c r="A16" s="1">
        <v>11</v>
      </c>
      <c r="B16" s="91">
        <v>10008</v>
      </c>
      <c r="C16" s="76" t="s">
        <v>216</v>
      </c>
      <c r="D16" s="76" t="s">
        <v>887</v>
      </c>
      <c r="E16" s="76" t="s">
        <v>885</v>
      </c>
      <c r="F16" s="76" t="s">
        <v>888</v>
      </c>
      <c r="G16" s="76">
        <v>4</v>
      </c>
      <c r="O16" s="92"/>
    </row>
    <row r="17" spans="1:15" x14ac:dyDescent="0.25">
      <c r="A17" s="1">
        <v>12</v>
      </c>
      <c r="B17" s="91">
        <v>10009</v>
      </c>
      <c r="C17" s="76" t="s">
        <v>216</v>
      </c>
      <c r="D17" s="76" t="s">
        <v>887</v>
      </c>
      <c r="E17" s="76" t="s">
        <v>885</v>
      </c>
      <c r="F17" s="76" t="s">
        <v>888</v>
      </c>
      <c r="G17" s="76">
        <v>4</v>
      </c>
      <c r="O17" s="92"/>
    </row>
    <row r="18" spans="1:15" x14ac:dyDescent="0.25">
      <c r="A18" s="1">
        <v>13</v>
      </c>
      <c r="B18" s="91">
        <v>10010</v>
      </c>
      <c r="C18" s="76" t="s">
        <v>216</v>
      </c>
      <c r="D18" s="76" t="s">
        <v>887</v>
      </c>
      <c r="E18" s="76" t="s">
        <v>885</v>
      </c>
      <c r="F18" s="76" t="s">
        <v>888</v>
      </c>
      <c r="G18" s="76">
        <v>4</v>
      </c>
      <c r="O18" s="92"/>
    </row>
    <row r="19" spans="1:15" x14ac:dyDescent="0.25">
      <c r="A19" s="1">
        <v>14</v>
      </c>
      <c r="B19" s="91">
        <v>10011</v>
      </c>
      <c r="C19" s="76" t="s">
        <v>216</v>
      </c>
      <c r="D19" s="76" t="s">
        <v>887</v>
      </c>
      <c r="E19" s="76" t="s">
        <v>885</v>
      </c>
      <c r="F19" s="76" t="s">
        <v>888</v>
      </c>
      <c r="G19" s="76">
        <v>4</v>
      </c>
      <c r="O19" s="92"/>
    </row>
    <row r="20" spans="1:15" x14ac:dyDescent="0.25">
      <c r="A20" s="1">
        <v>15</v>
      </c>
      <c r="B20" s="91">
        <v>10012</v>
      </c>
      <c r="C20" s="76" t="s">
        <v>216</v>
      </c>
      <c r="D20" s="76" t="s">
        <v>887</v>
      </c>
      <c r="E20" s="76" t="s">
        <v>885</v>
      </c>
      <c r="F20" s="76" t="s">
        <v>888</v>
      </c>
      <c r="G20" s="76">
        <v>4</v>
      </c>
      <c r="O20" s="92"/>
    </row>
    <row r="21" spans="1:15" x14ac:dyDescent="0.25">
      <c r="A21" s="1">
        <v>16</v>
      </c>
      <c r="B21" s="91">
        <v>10013</v>
      </c>
      <c r="C21" s="76" t="s">
        <v>216</v>
      </c>
      <c r="D21" s="76" t="s">
        <v>887</v>
      </c>
      <c r="E21" s="76" t="s">
        <v>885</v>
      </c>
      <c r="F21" s="76" t="s">
        <v>888</v>
      </c>
      <c r="G21" s="76">
        <v>4</v>
      </c>
      <c r="O21" s="92"/>
    </row>
    <row r="22" spans="1:15" x14ac:dyDescent="0.25">
      <c r="A22" s="1">
        <v>17</v>
      </c>
      <c r="B22" s="91">
        <v>10014</v>
      </c>
      <c r="C22" s="76" t="s">
        <v>216</v>
      </c>
      <c r="D22" s="76" t="s">
        <v>887</v>
      </c>
      <c r="E22" s="76" t="s">
        <v>885</v>
      </c>
      <c r="F22" s="76" t="s">
        <v>888</v>
      </c>
      <c r="G22" s="76">
        <v>4</v>
      </c>
      <c r="O22" s="92"/>
    </row>
    <row r="23" spans="1:15" x14ac:dyDescent="0.25">
      <c r="A23" s="1">
        <v>18</v>
      </c>
      <c r="B23" s="91">
        <v>10015</v>
      </c>
      <c r="C23" s="76" t="s">
        <v>216</v>
      </c>
      <c r="D23" s="76" t="s">
        <v>887</v>
      </c>
      <c r="E23" s="76" t="s">
        <v>885</v>
      </c>
      <c r="F23" s="76" t="s">
        <v>888</v>
      </c>
      <c r="G23" s="76">
        <v>4</v>
      </c>
      <c r="O23" s="92"/>
    </row>
    <row r="24" spans="1:15" x14ac:dyDescent="0.25">
      <c r="A24" s="1">
        <v>19</v>
      </c>
      <c r="B24" s="91">
        <v>10016</v>
      </c>
      <c r="C24" s="76" t="s">
        <v>216</v>
      </c>
      <c r="D24" s="76" t="s">
        <v>887</v>
      </c>
      <c r="E24" s="76" t="s">
        <v>885</v>
      </c>
      <c r="F24" s="76" t="s">
        <v>888</v>
      </c>
      <c r="G24" s="76">
        <v>4</v>
      </c>
      <c r="O24" s="92"/>
    </row>
    <row r="25" spans="1:15" x14ac:dyDescent="0.25">
      <c r="A25" s="1">
        <v>20</v>
      </c>
      <c r="B25" s="91">
        <v>10017</v>
      </c>
      <c r="C25" s="76" t="s">
        <v>216</v>
      </c>
      <c r="D25" s="76" t="s">
        <v>887</v>
      </c>
      <c r="E25" s="76" t="s">
        <v>885</v>
      </c>
      <c r="F25" s="76" t="s">
        <v>888</v>
      </c>
      <c r="G25" s="76">
        <v>4</v>
      </c>
      <c r="O25" s="92"/>
    </row>
    <row r="26" spans="1:15" x14ac:dyDescent="0.25">
      <c r="A26" s="1">
        <v>21</v>
      </c>
      <c r="B26" s="91">
        <v>10018</v>
      </c>
      <c r="C26" s="76" t="s">
        <v>216</v>
      </c>
      <c r="D26" s="76" t="s">
        <v>887</v>
      </c>
      <c r="E26" s="76" t="s">
        <v>885</v>
      </c>
      <c r="F26" s="76" t="s">
        <v>888</v>
      </c>
      <c r="G26" s="76">
        <v>4</v>
      </c>
      <c r="O26" s="92"/>
    </row>
    <row r="27" spans="1:15" x14ac:dyDescent="0.25">
      <c r="A27" s="1">
        <v>22</v>
      </c>
      <c r="B27" s="91">
        <v>10019</v>
      </c>
      <c r="C27" s="76" t="s">
        <v>216</v>
      </c>
      <c r="D27" s="76" t="s">
        <v>887</v>
      </c>
      <c r="E27" s="76" t="s">
        <v>885</v>
      </c>
      <c r="F27" s="76" t="s">
        <v>888</v>
      </c>
      <c r="G27" s="76">
        <v>4</v>
      </c>
      <c r="O27" s="92"/>
    </row>
    <row r="28" spans="1:15" x14ac:dyDescent="0.25">
      <c r="A28" s="1">
        <v>23</v>
      </c>
      <c r="B28" s="91">
        <v>10020</v>
      </c>
      <c r="C28" s="76" t="s">
        <v>216</v>
      </c>
      <c r="D28" s="76" t="s">
        <v>887</v>
      </c>
      <c r="E28" s="76" t="s">
        <v>885</v>
      </c>
      <c r="F28" s="76" t="s">
        <v>888</v>
      </c>
      <c r="G28" s="76">
        <v>4</v>
      </c>
      <c r="O28" s="92"/>
    </row>
    <row r="29" spans="1:15" x14ac:dyDescent="0.25">
      <c r="A29" s="1">
        <v>24</v>
      </c>
      <c r="B29" s="91">
        <v>10021</v>
      </c>
      <c r="C29" s="76" t="s">
        <v>216</v>
      </c>
      <c r="D29" s="76" t="s">
        <v>887</v>
      </c>
      <c r="E29" s="76" t="s">
        <v>885</v>
      </c>
      <c r="F29" s="76" t="s">
        <v>888</v>
      </c>
      <c r="G29" s="76">
        <v>4</v>
      </c>
      <c r="O29" s="92"/>
    </row>
    <row r="30" spans="1:15" x14ac:dyDescent="0.25">
      <c r="A30" s="1">
        <v>25</v>
      </c>
      <c r="B30" s="91">
        <v>10022</v>
      </c>
      <c r="C30" s="76" t="s">
        <v>216</v>
      </c>
      <c r="D30" s="76" t="s">
        <v>887</v>
      </c>
      <c r="E30" s="76" t="s">
        <v>885</v>
      </c>
      <c r="F30" s="76" t="s">
        <v>888</v>
      </c>
      <c r="G30" s="76">
        <v>4</v>
      </c>
      <c r="O30" s="92"/>
    </row>
    <row r="31" spans="1:15" x14ac:dyDescent="0.25">
      <c r="A31" s="1">
        <v>26</v>
      </c>
      <c r="B31" s="91">
        <v>10023</v>
      </c>
      <c r="C31" s="76" t="s">
        <v>216</v>
      </c>
      <c r="D31" s="76" t="s">
        <v>887</v>
      </c>
      <c r="E31" s="76" t="s">
        <v>885</v>
      </c>
      <c r="F31" s="76" t="s">
        <v>888</v>
      </c>
      <c r="G31" s="76">
        <v>4</v>
      </c>
      <c r="O31" s="92"/>
    </row>
    <row r="32" spans="1:15" x14ac:dyDescent="0.25">
      <c r="A32" s="1">
        <v>27</v>
      </c>
      <c r="B32" s="91">
        <v>10024</v>
      </c>
      <c r="C32" s="76" t="s">
        <v>216</v>
      </c>
      <c r="D32" s="76" t="s">
        <v>887</v>
      </c>
      <c r="E32" s="76" t="s">
        <v>885</v>
      </c>
      <c r="F32" s="76" t="s">
        <v>888</v>
      </c>
      <c r="G32" s="76">
        <v>4</v>
      </c>
      <c r="O32" s="92"/>
    </row>
    <row r="33" spans="1:15" x14ac:dyDescent="0.25">
      <c r="A33" s="1">
        <v>28</v>
      </c>
      <c r="B33" s="91">
        <v>10025</v>
      </c>
      <c r="C33" s="76" t="s">
        <v>216</v>
      </c>
      <c r="D33" s="76" t="s">
        <v>887</v>
      </c>
      <c r="E33" s="76" t="s">
        <v>885</v>
      </c>
      <c r="F33" s="76" t="s">
        <v>888</v>
      </c>
      <c r="G33" s="76">
        <v>4</v>
      </c>
      <c r="O33" s="92"/>
    </row>
    <row r="34" spans="1:15" x14ac:dyDescent="0.25">
      <c r="A34" s="1">
        <v>29</v>
      </c>
      <c r="B34" s="91">
        <v>10026</v>
      </c>
      <c r="C34" s="76" t="s">
        <v>216</v>
      </c>
      <c r="D34" s="76" t="s">
        <v>887</v>
      </c>
      <c r="E34" s="76" t="s">
        <v>885</v>
      </c>
      <c r="F34" s="76" t="s">
        <v>888</v>
      </c>
      <c r="G34" s="76">
        <v>4</v>
      </c>
      <c r="O34" s="92"/>
    </row>
    <row r="35" spans="1:15" x14ac:dyDescent="0.25">
      <c r="A35" s="1">
        <v>30</v>
      </c>
      <c r="B35" s="91">
        <v>10027</v>
      </c>
      <c r="C35" s="76" t="s">
        <v>216</v>
      </c>
      <c r="D35" s="76" t="s">
        <v>887</v>
      </c>
      <c r="E35" s="76" t="s">
        <v>885</v>
      </c>
      <c r="F35" s="76" t="s">
        <v>888</v>
      </c>
      <c r="G35" s="76">
        <v>4</v>
      </c>
      <c r="O35" s="92"/>
    </row>
    <row r="36" spans="1:15" x14ac:dyDescent="0.25">
      <c r="A36" s="1">
        <v>31</v>
      </c>
      <c r="B36" s="91">
        <v>10028</v>
      </c>
      <c r="C36" s="76" t="s">
        <v>216</v>
      </c>
      <c r="D36" s="76" t="s">
        <v>887</v>
      </c>
      <c r="E36" s="76" t="s">
        <v>885</v>
      </c>
      <c r="F36" s="76" t="s">
        <v>888</v>
      </c>
      <c r="G36" s="76">
        <v>4</v>
      </c>
      <c r="O36" s="92"/>
    </row>
    <row r="37" spans="1:15" x14ac:dyDescent="0.25">
      <c r="A37" s="1">
        <v>32</v>
      </c>
      <c r="B37" s="91">
        <v>10029</v>
      </c>
      <c r="C37" s="76" t="s">
        <v>216</v>
      </c>
      <c r="D37" s="76" t="s">
        <v>887</v>
      </c>
      <c r="E37" s="76" t="s">
        <v>885</v>
      </c>
      <c r="F37" s="76" t="s">
        <v>888</v>
      </c>
      <c r="G37" s="76">
        <v>4</v>
      </c>
      <c r="O37" s="92"/>
    </row>
    <row r="38" spans="1:15" x14ac:dyDescent="0.25">
      <c r="A38" s="1">
        <v>33</v>
      </c>
      <c r="B38" s="91">
        <v>10030</v>
      </c>
      <c r="C38" s="76" t="s">
        <v>216</v>
      </c>
      <c r="D38" s="76" t="s">
        <v>887</v>
      </c>
      <c r="E38" s="76" t="s">
        <v>885</v>
      </c>
      <c r="F38" s="76" t="s">
        <v>888</v>
      </c>
      <c r="G38" s="76">
        <v>4</v>
      </c>
      <c r="O38" s="92"/>
    </row>
    <row r="39" spans="1:15" x14ac:dyDescent="0.25">
      <c r="A39" s="1">
        <v>34</v>
      </c>
      <c r="B39" s="91">
        <v>10031</v>
      </c>
      <c r="C39" s="76" t="s">
        <v>216</v>
      </c>
      <c r="D39" s="76" t="s">
        <v>887</v>
      </c>
      <c r="E39" s="76" t="s">
        <v>885</v>
      </c>
      <c r="F39" s="76" t="s">
        <v>888</v>
      </c>
      <c r="G39" s="76">
        <v>4</v>
      </c>
      <c r="O39" s="92"/>
    </row>
    <row r="40" spans="1:15" x14ac:dyDescent="0.25">
      <c r="A40" s="1">
        <v>35</v>
      </c>
      <c r="B40" s="91">
        <v>10032</v>
      </c>
      <c r="C40" s="76" t="s">
        <v>216</v>
      </c>
      <c r="D40" s="76" t="s">
        <v>887</v>
      </c>
      <c r="E40" s="76" t="s">
        <v>885</v>
      </c>
      <c r="F40" s="76" t="s">
        <v>888</v>
      </c>
      <c r="G40" s="76">
        <v>4</v>
      </c>
      <c r="O40" s="92"/>
    </row>
    <row r="41" spans="1:15" x14ac:dyDescent="0.25">
      <c r="A41" s="1">
        <v>36</v>
      </c>
      <c r="B41" s="91">
        <v>10033</v>
      </c>
      <c r="C41" s="76" t="s">
        <v>216</v>
      </c>
      <c r="D41" s="76" t="s">
        <v>887</v>
      </c>
      <c r="E41" s="76" t="s">
        <v>885</v>
      </c>
      <c r="F41" s="76" t="s">
        <v>888</v>
      </c>
      <c r="G41" s="76">
        <v>4</v>
      </c>
      <c r="O41" s="92"/>
    </row>
    <row r="42" spans="1:15" x14ac:dyDescent="0.25">
      <c r="A42" s="1">
        <v>37</v>
      </c>
      <c r="B42" s="91">
        <v>10034</v>
      </c>
      <c r="C42" s="76" t="s">
        <v>216</v>
      </c>
      <c r="D42" s="76" t="s">
        <v>887</v>
      </c>
      <c r="E42" s="76" t="s">
        <v>885</v>
      </c>
      <c r="F42" s="76" t="s">
        <v>888</v>
      </c>
      <c r="G42" s="76">
        <v>4</v>
      </c>
      <c r="O42" s="92"/>
    </row>
    <row r="43" spans="1:15" x14ac:dyDescent="0.25">
      <c r="A43" s="1">
        <v>38</v>
      </c>
      <c r="B43" s="91">
        <v>10035</v>
      </c>
      <c r="C43" s="76" t="s">
        <v>216</v>
      </c>
      <c r="D43" s="76" t="s">
        <v>887</v>
      </c>
      <c r="E43" s="76" t="s">
        <v>885</v>
      </c>
      <c r="F43" s="76" t="s">
        <v>888</v>
      </c>
      <c r="G43" s="76">
        <v>4</v>
      </c>
      <c r="O43" s="92"/>
    </row>
    <row r="44" spans="1:15" x14ac:dyDescent="0.25">
      <c r="A44" s="1">
        <v>39</v>
      </c>
      <c r="B44" s="91">
        <v>10036</v>
      </c>
      <c r="C44" s="76" t="s">
        <v>216</v>
      </c>
      <c r="D44" s="76" t="s">
        <v>887</v>
      </c>
      <c r="E44" s="76" t="s">
        <v>885</v>
      </c>
      <c r="F44" s="76" t="s">
        <v>888</v>
      </c>
      <c r="G44" s="76">
        <v>4</v>
      </c>
      <c r="O44" s="92"/>
    </row>
    <row r="45" spans="1:15" x14ac:dyDescent="0.25">
      <c r="A45" s="1">
        <v>40</v>
      </c>
      <c r="B45" s="91">
        <v>10037</v>
      </c>
      <c r="C45" s="76" t="s">
        <v>216</v>
      </c>
      <c r="D45" s="76" t="s">
        <v>887</v>
      </c>
      <c r="E45" s="76" t="s">
        <v>885</v>
      </c>
      <c r="F45" s="76" t="s">
        <v>888</v>
      </c>
      <c r="G45" s="76">
        <v>4</v>
      </c>
      <c r="O45" s="92"/>
    </row>
    <row r="46" spans="1:15" x14ac:dyDescent="0.25">
      <c r="A46" s="1">
        <v>41</v>
      </c>
      <c r="B46" s="91">
        <v>10038</v>
      </c>
      <c r="C46" s="76" t="s">
        <v>216</v>
      </c>
      <c r="D46" s="76" t="s">
        <v>887</v>
      </c>
      <c r="E46" s="76" t="s">
        <v>885</v>
      </c>
      <c r="F46" s="76" t="s">
        <v>888</v>
      </c>
      <c r="G46" s="76">
        <v>4</v>
      </c>
      <c r="O46" s="92"/>
    </row>
    <row r="47" spans="1:15" x14ac:dyDescent="0.25">
      <c r="A47" s="1">
        <v>42</v>
      </c>
      <c r="B47" s="91">
        <v>10039</v>
      </c>
      <c r="C47" s="76" t="s">
        <v>216</v>
      </c>
      <c r="D47" s="76" t="s">
        <v>887</v>
      </c>
      <c r="E47" s="76" t="s">
        <v>885</v>
      </c>
      <c r="F47" s="76" t="s">
        <v>888</v>
      </c>
      <c r="G47" s="76">
        <v>4</v>
      </c>
      <c r="O47" s="92"/>
    </row>
    <row r="48" spans="1:15" x14ac:dyDescent="0.25">
      <c r="A48" s="1">
        <v>43</v>
      </c>
      <c r="B48" s="91">
        <v>10040</v>
      </c>
      <c r="C48" s="76" t="s">
        <v>216</v>
      </c>
      <c r="D48" s="76" t="s">
        <v>887</v>
      </c>
      <c r="E48" s="76" t="s">
        <v>885</v>
      </c>
      <c r="F48" s="76" t="s">
        <v>888</v>
      </c>
      <c r="G48" s="76">
        <v>4</v>
      </c>
      <c r="O48" s="92"/>
    </row>
    <row r="49" spans="1:15" x14ac:dyDescent="0.25">
      <c r="A49" s="1">
        <v>44</v>
      </c>
      <c r="B49" s="91">
        <v>10041</v>
      </c>
      <c r="C49" s="76" t="s">
        <v>216</v>
      </c>
      <c r="D49" s="76" t="s">
        <v>887</v>
      </c>
      <c r="E49" s="76" t="s">
        <v>885</v>
      </c>
      <c r="F49" s="76" t="s">
        <v>888</v>
      </c>
      <c r="G49" s="76">
        <v>4</v>
      </c>
      <c r="O49" s="92"/>
    </row>
    <row r="50" spans="1:15" x14ac:dyDescent="0.25">
      <c r="A50" s="1">
        <v>45</v>
      </c>
      <c r="B50" s="91">
        <v>10043</v>
      </c>
      <c r="C50" s="76" t="s">
        <v>216</v>
      </c>
      <c r="D50" s="76" t="s">
        <v>887</v>
      </c>
      <c r="E50" s="76" t="s">
        <v>885</v>
      </c>
      <c r="F50" s="76" t="s">
        <v>888</v>
      </c>
      <c r="G50" s="76">
        <v>4</v>
      </c>
      <c r="O50" s="92"/>
    </row>
    <row r="51" spans="1:15" x14ac:dyDescent="0.25">
      <c r="A51" s="1">
        <v>46</v>
      </c>
      <c r="B51" s="91">
        <v>10044</v>
      </c>
      <c r="C51" s="76" t="s">
        <v>216</v>
      </c>
      <c r="D51" s="76" t="s">
        <v>887</v>
      </c>
      <c r="E51" s="76" t="s">
        <v>885</v>
      </c>
      <c r="F51" s="76" t="s">
        <v>888</v>
      </c>
      <c r="G51" s="76">
        <v>4</v>
      </c>
      <c r="O51" s="92"/>
    </row>
    <row r="52" spans="1:15" x14ac:dyDescent="0.25">
      <c r="A52" s="1">
        <v>47</v>
      </c>
      <c r="B52" s="91">
        <v>10045</v>
      </c>
      <c r="C52" s="76" t="s">
        <v>216</v>
      </c>
      <c r="D52" s="76" t="s">
        <v>887</v>
      </c>
      <c r="E52" s="76" t="s">
        <v>885</v>
      </c>
      <c r="F52" s="76" t="s">
        <v>888</v>
      </c>
      <c r="G52" s="76">
        <v>4</v>
      </c>
      <c r="O52" s="92"/>
    </row>
    <row r="53" spans="1:15" x14ac:dyDescent="0.25">
      <c r="A53" s="1">
        <v>48</v>
      </c>
      <c r="B53" s="91">
        <v>10046</v>
      </c>
      <c r="C53" s="76" t="s">
        <v>216</v>
      </c>
      <c r="D53" s="76" t="s">
        <v>887</v>
      </c>
      <c r="E53" s="76" t="s">
        <v>885</v>
      </c>
      <c r="F53" s="76" t="s">
        <v>888</v>
      </c>
      <c r="G53" s="76">
        <v>4</v>
      </c>
      <c r="O53" s="92"/>
    </row>
    <row r="54" spans="1:15" x14ac:dyDescent="0.25">
      <c r="A54" s="1">
        <v>49</v>
      </c>
      <c r="B54" s="91">
        <v>10047</v>
      </c>
      <c r="C54" s="76" t="s">
        <v>216</v>
      </c>
      <c r="D54" s="76" t="s">
        <v>887</v>
      </c>
      <c r="E54" s="76" t="s">
        <v>885</v>
      </c>
      <c r="F54" s="76" t="s">
        <v>888</v>
      </c>
      <c r="G54" s="76">
        <v>4</v>
      </c>
      <c r="O54" s="92"/>
    </row>
    <row r="55" spans="1:15" x14ac:dyDescent="0.25">
      <c r="A55" s="1">
        <v>50</v>
      </c>
      <c r="B55" s="91">
        <v>10048</v>
      </c>
      <c r="C55" s="76" t="s">
        <v>216</v>
      </c>
      <c r="D55" s="76" t="s">
        <v>887</v>
      </c>
      <c r="E55" s="76" t="s">
        <v>885</v>
      </c>
      <c r="F55" s="76" t="s">
        <v>888</v>
      </c>
      <c r="G55" s="76">
        <v>4</v>
      </c>
      <c r="O55" s="92"/>
    </row>
    <row r="56" spans="1:15" x14ac:dyDescent="0.25">
      <c r="A56" s="1">
        <v>51</v>
      </c>
      <c r="B56" s="91">
        <v>10055</v>
      </c>
      <c r="C56" s="76" t="s">
        <v>216</v>
      </c>
      <c r="D56" s="76" t="s">
        <v>887</v>
      </c>
      <c r="E56" s="76" t="s">
        <v>885</v>
      </c>
      <c r="F56" s="76" t="s">
        <v>888</v>
      </c>
      <c r="G56" s="76">
        <v>4</v>
      </c>
      <c r="O56" s="92"/>
    </row>
    <row r="57" spans="1:15" x14ac:dyDescent="0.25">
      <c r="A57" s="1">
        <v>52</v>
      </c>
      <c r="B57" s="91">
        <v>10060</v>
      </c>
      <c r="C57" s="76" t="s">
        <v>216</v>
      </c>
      <c r="D57" s="76" t="s">
        <v>887</v>
      </c>
      <c r="E57" s="76" t="s">
        <v>885</v>
      </c>
      <c r="F57" s="76" t="s">
        <v>888</v>
      </c>
      <c r="G57" s="76">
        <v>4</v>
      </c>
      <c r="O57" s="92"/>
    </row>
    <row r="58" spans="1:15" x14ac:dyDescent="0.25">
      <c r="A58" s="1">
        <v>53</v>
      </c>
      <c r="B58" s="91">
        <v>10065</v>
      </c>
      <c r="C58" s="76" t="s">
        <v>216</v>
      </c>
      <c r="D58" s="76" t="s">
        <v>887</v>
      </c>
      <c r="E58" s="76" t="s">
        <v>885</v>
      </c>
      <c r="F58" s="76" t="s">
        <v>888</v>
      </c>
      <c r="G58" s="76">
        <v>4</v>
      </c>
      <c r="O58" s="92"/>
    </row>
    <row r="59" spans="1:15" x14ac:dyDescent="0.25">
      <c r="A59" s="1">
        <v>54</v>
      </c>
      <c r="B59" s="91">
        <v>10069</v>
      </c>
      <c r="C59" s="76" t="s">
        <v>216</v>
      </c>
      <c r="D59" s="76" t="s">
        <v>887</v>
      </c>
      <c r="E59" s="76" t="s">
        <v>885</v>
      </c>
      <c r="F59" s="76" t="s">
        <v>888</v>
      </c>
      <c r="G59" s="76">
        <v>4</v>
      </c>
      <c r="O59" s="92"/>
    </row>
    <row r="60" spans="1:15" x14ac:dyDescent="0.25">
      <c r="A60" s="1">
        <v>55</v>
      </c>
      <c r="B60" s="91">
        <v>10072</v>
      </c>
      <c r="C60" s="76" t="s">
        <v>216</v>
      </c>
      <c r="D60" s="76" t="s">
        <v>887</v>
      </c>
      <c r="E60" s="76" t="s">
        <v>885</v>
      </c>
      <c r="F60" s="76" t="s">
        <v>888</v>
      </c>
      <c r="G60" s="76">
        <v>4</v>
      </c>
      <c r="O60" s="92"/>
    </row>
    <row r="61" spans="1:15" x14ac:dyDescent="0.25">
      <c r="A61" s="1">
        <v>56</v>
      </c>
      <c r="B61" s="91">
        <v>10075</v>
      </c>
      <c r="C61" s="76" t="s">
        <v>216</v>
      </c>
      <c r="D61" s="76" t="s">
        <v>887</v>
      </c>
      <c r="E61" s="76" t="s">
        <v>885</v>
      </c>
      <c r="F61" s="76" t="s">
        <v>888</v>
      </c>
      <c r="G61" s="76">
        <v>4</v>
      </c>
      <c r="O61" s="92"/>
    </row>
    <row r="62" spans="1:15" x14ac:dyDescent="0.25">
      <c r="A62" s="1">
        <v>57</v>
      </c>
      <c r="B62" s="91">
        <v>10079</v>
      </c>
      <c r="C62" s="76" t="s">
        <v>216</v>
      </c>
      <c r="D62" s="76" t="s">
        <v>887</v>
      </c>
      <c r="E62" s="76" t="s">
        <v>885</v>
      </c>
      <c r="F62" s="76" t="s">
        <v>888</v>
      </c>
      <c r="G62" s="76">
        <v>4</v>
      </c>
      <c r="O62" s="92"/>
    </row>
    <row r="63" spans="1:15" x14ac:dyDescent="0.25">
      <c r="A63" s="1">
        <v>58</v>
      </c>
      <c r="B63" s="91">
        <v>10080</v>
      </c>
      <c r="C63" s="76" t="s">
        <v>216</v>
      </c>
      <c r="D63" s="76" t="s">
        <v>887</v>
      </c>
      <c r="E63" s="76" t="s">
        <v>885</v>
      </c>
      <c r="F63" s="76" t="s">
        <v>888</v>
      </c>
      <c r="G63" s="76">
        <v>4</v>
      </c>
      <c r="O63" s="92"/>
    </row>
    <row r="64" spans="1:15" x14ac:dyDescent="0.25">
      <c r="A64" s="1">
        <v>59</v>
      </c>
      <c r="B64" s="91">
        <v>10081</v>
      </c>
      <c r="C64" s="76" t="s">
        <v>216</v>
      </c>
      <c r="D64" s="76" t="s">
        <v>887</v>
      </c>
      <c r="E64" s="76" t="s">
        <v>885</v>
      </c>
      <c r="F64" s="76" t="s">
        <v>888</v>
      </c>
      <c r="G64" s="76">
        <v>4</v>
      </c>
      <c r="O64" s="92"/>
    </row>
    <row r="65" spans="1:15" x14ac:dyDescent="0.25">
      <c r="A65" s="1">
        <v>60</v>
      </c>
      <c r="B65" s="91">
        <v>10082</v>
      </c>
      <c r="C65" s="76" t="s">
        <v>216</v>
      </c>
      <c r="D65" s="76" t="s">
        <v>887</v>
      </c>
      <c r="E65" s="76" t="s">
        <v>885</v>
      </c>
      <c r="F65" s="76" t="s">
        <v>888</v>
      </c>
      <c r="G65" s="76">
        <v>4</v>
      </c>
      <c r="O65" s="92"/>
    </row>
    <row r="66" spans="1:15" x14ac:dyDescent="0.25">
      <c r="A66" s="1">
        <v>61</v>
      </c>
      <c r="B66" s="91">
        <v>10087</v>
      </c>
      <c r="C66" s="76" t="s">
        <v>216</v>
      </c>
      <c r="D66" s="76" t="s">
        <v>887</v>
      </c>
      <c r="E66" s="76" t="s">
        <v>885</v>
      </c>
      <c r="F66" s="76" t="s">
        <v>888</v>
      </c>
      <c r="G66" s="76">
        <v>4</v>
      </c>
      <c r="O66" s="92"/>
    </row>
    <row r="67" spans="1:15" x14ac:dyDescent="0.25">
      <c r="A67" s="1">
        <v>62</v>
      </c>
      <c r="B67" s="91">
        <v>10090</v>
      </c>
      <c r="C67" s="76" t="s">
        <v>216</v>
      </c>
      <c r="D67" s="76" t="s">
        <v>887</v>
      </c>
      <c r="E67" s="76" t="s">
        <v>885</v>
      </c>
      <c r="F67" s="76" t="s">
        <v>888</v>
      </c>
      <c r="G67" s="76">
        <v>4</v>
      </c>
      <c r="O67" s="92"/>
    </row>
    <row r="68" spans="1:15" x14ac:dyDescent="0.25">
      <c r="A68" s="1">
        <v>63</v>
      </c>
      <c r="B68" s="91">
        <v>10094</v>
      </c>
      <c r="C68" s="76" t="s">
        <v>216</v>
      </c>
      <c r="D68" s="76" t="s">
        <v>887</v>
      </c>
      <c r="E68" s="76" t="s">
        <v>885</v>
      </c>
      <c r="F68" s="76" t="s">
        <v>888</v>
      </c>
      <c r="G68" s="76">
        <v>4</v>
      </c>
      <c r="O68" s="92"/>
    </row>
    <row r="69" spans="1:15" x14ac:dyDescent="0.25">
      <c r="A69" s="1">
        <v>64</v>
      </c>
      <c r="B69" s="91">
        <v>10095</v>
      </c>
      <c r="C69" s="76" t="s">
        <v>216</v>
      </c>
      <c r="D69" s="76" t="s">
        <v>887</v>
      </c>
      <c r="E69" s="76" t="s">
        <v>885</v>
      </c>
      <c r="F69" s="76" t="s">
        <v>888</v>
      </c>
      <c r="G69" s="76">
        <v>4</v>
      </c>
      <c r="O69" s="92"/>
    </row>
    <row r="70" spans="1:15" x14ac:dyDescent="0.25">
      <c r="A70" s="1">
        <v>65</v>
      </c>
      <c r="B70" s="91">
        <v>10096</v>
      </c>
      <c r="C70" s="76" t="s">
        <v>216</v>
      </c>
      <c r="D70" s="76" t="s">
        <v>887</v>
      </c>
      <c r="E70" s="76" t="s">
        <v>885</v>
      </c>
      <c r="F70" s="76" t="s">
        <v>888</v>
      </c>
      <c r="G70" s="76">
        <v>4</v>
      </c>
      <c r="O70" s="92"/>
    </row>
    <row r="71" spans="1:15" x14ac:dyDescent="0.25">
      <c r="A71" s="1">
        <v>66</v>
      </c>
      <c r="B71" s="91">
        <v>10098</v>
      </c>
      <c r="C71" s="76" t="s">
        <v>216</v>
      </c>
      <c r="D71" s="76" t="s">
        <v>887</v>
      </c>
      <c r="E71" s="76" t="s">
        <v>885</v>
      </c>
      <c r="F71" s="76" t="s">
        <v>888</v>
      </c>
      <c r="G71" s="76">
        <v>4</v>
      </c>
      <c r="O71" s="92"/>
    </row>
    <row r="72" spans="1:15" x14ac:dyDescent="0.25">
      <c r="A72" s="1">
        <v>67</v>
      </c>
      <c r="B72" s="91">
        <v>10099</v>
      </c>
      <c r="C72" s="76" t="s">
        <v>216</v>
      </c>
      <c r="D72" s="76" t="s">
        <v>887</v>
      </c>
      <c r="E72" s="76" t="s">
        <v>885</v>
      </c>
      <c r="F72" s="76" t="s">
        <v>888</v>
      </c>
      <c r="G72" s="76">
        <v>4</v>
      </c>
      <c r="O72" s="92"/>
    </row>
    <row r="73" spans="1:15" x14ac:dyDescent="0.25">
      <c r="A73" s="1">
        <v>68</v>
      </c>
      <c r="B73" s="91">
        <v>10101</v>
      </c>
      <c r="C73" s="76" t="s">
        <v>216</v>
      </c>
      <c r="D73" s="76" t="s">
        <v>887</v>
      </c>
      <c r="E73" s="76" t="s">
        <v>885</v>
      </c>
      <c r="F73" s="76" t="s">
        <v>888</v>
      </c>
      <c r="G73" s="76">
        <v>4</v>
      </c>
      <c r="O73" s="92"/>
    </row>
    <row r="74" spans="1:15" x14ac:dyDescent="0.25">
      <c r="A74" s="1">
        <v>69</v>
      </c>
      <c r="B74" s="91">
        <v>10102</v>
      </c>
      <c r="C74" s="76" t="s">
        <v>216</v>
      </c>
      <c r="D74" s="76" t="s">
        <v>887</v>
      </c>
      <c r="E74" s="76" t="s">
        <v>885</v>
      </c>
      <c r="F74" s="76" t="s">
        <v>888</v>
      </c>
      <c r="G74" s="76">
        <v>4</v>
      </c>
      <c r="O74" s="92"/>
    </row>
    <row r="75" spans="1:15" x14ac:dyDescent="0.25">
      <c r="A75" s="1">
        <v>70</v>
      </c>
      <c r="B75" s="91">
        <v>10103</v>
      </c>
      <c r="C75" s="76" t="s">
        <v>216</v>
      </c>
      <c r="D75" s="76" t="s">
        <v>887</v>
      </c>
      <c r="E75" s="76" t="s">
        <v>885</v>
      </c>
      <c r="F75" s="76" t="s">
        <v>888</v>
      </c>
      <c r="G75" s="76">
        <v>4</v>
      </c>
      <c r="O75" s="92"/>
    </row>
    <row r="76" spans="1:15" x14ac:dyDescent="0.25">
      <c r="A76" s="1">
        <v>71</v>
      </c>
      <c r="B76" s="91">
        <v>10104</v>
      </c>
      <c r="C76" s="76" t="s">
        <v>216</v>
      </c>
      <c r="D76" s="76" t="s">
        <v>887</v>
      </c>
      <c r="E76" s="76" t="s">
        <v>885</v>
      </c>
      <c r="F76" s="76" t="s">
        <v>888</v>
      </c>
      <c r="G76" s="76">
        <v>4</v>
      </c>
      <c r="O76" s="92"/>
    </row>
    <row r="77" spans="1:15" x14ac:dyDescent="0.25">
      <c r="A77" s="1">
        <v>72</v>
      </c>
      <c r="B77" s="91">
        <v>10105</v>
      </c>
      <c r="C77" s="76" t="s">
        <v>216</v>
      </c>
      <c r="D77" s="76" t="s">
        <v>887</v>
      </c>
      <c r="E77" s="76" t="s">
        <v>885</v>
      </c>
      <c r="F77" s="76" t="s">
        <v>888</v>
      </c>
      <c r="G77" s="76">
        <v>4</v>
      </c>
      <c r="O77" s="92"/>
    </row>
    <row r="78" spans="1:15" x14ac:dyDescent="0.25">
      <c r="A78" s="1">
        <v>73</v>
      </c>
      <c r="B78" s="91">
        <v>10106</v>
      </c>
      <c r="C78" s="76" t="s">
        <v>216</v>
      </c>
      <c r="D78" s="76" t="s">
        <v>887</v>
      </c>
      <c r="E78" s="76" t="s">
        <v>885</v>
      </c>
      <c r="F78" s="76" t="s">
        <v>888</v>
      </c>
      <c r="G78" s="76">
        <v>4</v>
      </c>
      <c r="O78" s="92"/>
    </row>
    <row r="79" spans="1:15" x14ac:dyDescent="0.25">
      <c r="A79" s="1">
        <v>74</v>
      </c>
      <c r="B79" s="91">
        <v>10107</v>
      </c>
      <c r="C79" s="76" t="s">
        <v>216</v>
      </c>
      <c r="D79" s="76" t="s">
        <v>887</v>
      </c>
      <c r="E79" s="76" t="s">
        <v>885</v>
      </c>
      <c r="F79" s="76" t="s">
        <v>888</v>
      </c>
      <c r="G79" s="76">
        <v>4</v>
      </c>
      <c r="O79" s="92"/>
    </row>
    <row r="80" spans="1:15" x14ac:dyDescent="0.25">
      <c r="A80" s="1">
        <v>75</v>
      </c>
      <c r="B80" s="91">
        <v>10108</v>
      </c>
      <c r="C80" s="76" t="s">
        <v>216</v>
      </c>
      <c r="D80" s="76" t="s">
        <v>887</v>
      </c>
      <c r="E80" s="76" t="s">
        <v>885</v>
      </c>
      <c r="F80" s="76" t="s">
        <v>888</v>
      </c>
      <c r="G80" s="76">
        <v>4</v>
      </c>
      <c r="O80" s="92"/>
    </row>
    <row r="81" spans="1:15" x14ac:dyDescent="0.25">
      <c r="A81" s="1">
        <v>76</v>
      </c>
      <c r="B81" s="91">
        <v>10109</v>
      </c>
      <c r="C81" s="76" t="s">
        <v>216</v>
      </c>
      <c r="D81" s="76" t="s">
        <v>887</v>
      </c>
      <c r="E81" s="76" t="s">
        <v>885</v>
      </c>
      <c r="F81" s="76" t="s">
        <v>888</v>
      </c>
      <c r="G81" s="76">
        <v>4</v>
      </c>
      <c r="O81" s="92"/>
    </row>
    <row r="82" spans="1:15" x14ac:dyDescent="0.25">
      <c r="A82" s="1">
        <v>77</v>
      </c>
      <c r="B82" s="91">
        <v>10110</v>
      </c>
      <c r="C82" s="76" t="s">
        <v>216</v>
      </c>
      <c r="D82" s="76" t="s">
        <v>887</v>
      </c>
      <c r="E82" s="76" t="s">
        <v>885</v>
      </c>
      <c r="F82" s="76" t="s">
        <v>888</v>
      </c>
      <c r="G82" s="76">
        <v>4</v>
      </c>
      <c r="O82" s="92"/>
    </row>
    <row r="83" spans="1:15" x14ac:dyDescent="0.25">
      <c r="A83" s="1">
        <v>78</v>
      </c>
      <c r="B83" s="91">
        <v>10111</v>
      </c>
      <c r="C83" s="76" t="s">
        <v>216</v>
      </c>
      <c r="D83" s="76" t="s">
        <v>887</v>
      </c>
      <c r="E83" s="76" t="s">
        <v>885</v>
      </c>
      <c r="F83" s="76" t="s">
        <v>888</v>
      </c>
      <c r="G83" s="76">
        <v>4</v>
      </c>
      <c r="O83" s="92"/>
    </row>
    <row r="84" spans="1:15" x14ac:dyDescent="0.25">
      <c r="A84" s="1">
        <v>79</v>
      </c>
      <c r="B84" s="91">
        <v>10112</v>
      </c>
      <c r="C84" s="76" t="s">
        <v>216</v>
      </c>
      <c r="D84" s="76" t="s">
        <v>887</v>
      </c>
      <c r="E84" s="76" t="s">
        <v>885</v>
      </c>
      <c r="F84" s="76" t="s">
        <v>888</v>
      </c>
      <c r="G84" s="76">
        <v>4</v>
      </c>
      <c r="O84" s="92"/>
    </row>
    <row r="85" spans="1:15" x14ac:dyDescent="0.25">
      <c r="A85" s="1">
        <v>80</v>
      </c>
      <c r="B85" s="91">
        <v>10113</v>
      </c>
      <c r="C85" s="76" t="s">
        <v>216</v>
      </c>
      <c r="D85" s="76" t="s">
        <v>887</v>
      </c>
      <c r="E85" s="76" t="s">
        <v>885</v>
      </c>
      <c r="F85" s="76" t="s">
        <v>888</v>
      </c>
      <c r="G85" s="76">
        <v>4</v>
      </c>
      <c r="O85" s="92"/>
    </row>
    <row r="86" spans="1:15" x14ac:dyDescent="0.25">
      <c r="A86" s="1">
        <v>81</v>
      </c>
      <c r="B86" s="91">
        <v>10114</v>
      </c>
      <c r="C86" s="76" t="s">
        <v>216</v>
      </c>
      <c r="D86" s="76" t="s">
        <v>887</v>
      </c>
      <c r="E86" s="76" t="s">
        <v>885</v>
      </c>
      <c r="F86" s="76" t="s">
        <v>888</v>
      </c>
      <c r="G86" s="76">
        <v>4</v>
      </c>
      <c r="O86" s="92"/>
    </row>
    <row r="87" spans="1:15" x14ac:dyDescent="0.25">
      <c r="A87" s="1">
        <v>82</v>
      </c>
      <c r="B87" s="91">
        <v>10115</v>
      </c>
      <c r="C87" s="76" t="s">
        <v>216</v>
      </c>
      <c r="D87" s="76" t="s">
        <v>887</v>
      </c>
      <c r="E87" s="76" t="s">
        <v>885</v>
      </c>
      <c r="F87" s="76" t="s">
        <v>888</v>
      </c>
      <c r="G87" s="76">
        <v>4</v>
      </c>
      <c r="O87" s="92"/>
    </row>
    <row r="88" spans="1:15" x14ac:dyDescent="0.25">
      <c r="A88" s="1">
        <v>83</v>
      </c>
      <c r="B88" s="91">
        <v>10116</v>
      </c>
      <c r="C88" s="76" t="s">
        <v>216</v>
      </c>
      <c r="D88" s="76" t="s">
        <v>887</v>
      </c>
      <c r="E88" s="76" t="s">
        <v>885</v>
      </c>
      <c r="F88" s="76" t="s">
        <v>888</v>
      </c>
      <c r="G88" s="76">
        <v>4</v>
      </c>
      <c r="O88" s="92"/>
    </row>
    <row r="89" spans="1:15" x14ac:dyDescent="0.25">
      <c r="A89" s="1">
        <v>84</v>
      </c>
      <c r="B89" s="91">
        <v>10117</v>
      </c>
      <c r="C89" s="76" t="s">
        <v>216</v>
      </c>
      <c r="D89" s="76" t="s">
        <v>887</v>
      </c>
      <c r="E89" s="76" t="s">
        <v>885</v>
      </c>
      <c r="F89" s="76" t="s">
        <v>888</v>
      </c>
      <c r="G89" s="76">
        <v>4</v>
      </c>
      <c r="O89" s="92"/>
    </row>
    <row r="90" spans="1:15" x14ac:dyDescent="0.25">
      <c r="A90" s="1">
        <v>85</v>
      </c>
      <c r="B90" s="91">
        <v>10118</v>
      </c>
      <c r="C90" s="76" t="s">
        <v>216</v>
      </c>
      <c r="D90" s="76" t="s">
        <v>887</v>
      </c>
      <c r="E90" s="76" t="s">
        <v>885</v>
      </c>
      <c r="F90" s="76" t="s">
        <v>888</v>
      </c>
      <c r="G90" s="76">
        <v>4</v>
      </c>
      <c r="O90" s="92"/>
    </row>
    <row r="91" spans="1:15" x14ac:dyDescent="0.25">
      <c r="A91" s="1">
        <v>86</v>
      </c>
      <c r="B91" s="91">
        <v>10119</v>
      </c>
      <c r="C91" s="76" t="s">
        <v>216</v>
      </c>
      <c r="D91" s="76" t="s">
        <v>887</v>
      </c>
      <c r="E91" s="76" t="s">
        <v>885</v>
      </c>
      <c r="F91" s="76" t="s">
        <v>888</v>
      </c>
      <c r="G91" s="76">
        <v>4</v>
      </c>
      <c r="O91" s="92"/>
    </row>
    <row r="92" spans="1:15" x14ac:dyDescent="0.25">
      <c r="A92" s="1">
        <v>87</v>
      </c>
      <c r="B92" s="91">
        <v>10120</v>
      </c>
      <c r="C92" s="76" t="s">
        <v>216</v>
      </c>
      <c r="D92" s="76" t="s">
        <v>887</v>
      </c>
      <c r="E92" s="76" t="s">
        <v>885</v>
      </c>
      <c r="F92" s="76" t="s">
        <v>888</v>
      </c>
      <c r="G92" s="76">
        <v>4</v>
      </c>
      <c r="O92" s="92"/>
    </row>
    <row r="93" spans="1:15" x14ac:dyDescent="0.25">
      <c r="A93" s="1">
        <v>88</v>
      </c>
      <c r="B93" s="91">
        <v>10121</v>
      </c>
      <c r="C93" s="76" t="s">
        <v>216</v>
      </c>
      <c r="D93" s="76" t="s">
        <v>887</v>
      </c>
      <c r="E93" s="76" t="s">
        <v>885</v>
      </c>
      <c r="F93" s="76" t="s">
        <v>888</v>
      </c>
      <c r="G93" s="76">
        <v>4</v>
      </c>
      <c r="O93" s="92"/>
    </row>
    <row r="94" spans="1:15" x14ac:dyDescent="0.25">
      <c r="A94" s="1">
        <v>89</v>
      </c>
      <c r="B94" s="91">
        <v>10122</v>
      </c>
      <c r="C94" s="76" t="s">
        <v>216</v>
      </c>
      <c r="D94" s="76" t="s">
        <v>887</v>
      </c>
      <c r="E94" s="76" t="s">
        <v>885</v>
      </c>
      <c r="F94" s="76" t="s">
        <v>888</v>
      </c>
      <c r="G94" s="76">
        <v>4</v>
      </c>
      <c r="O94" s="92"/>
    </row>
    <row r="95" spans="1:15" x14ac:dyDescent="0.25">
      <c r="A95" s="1">
        <v>90</v>
      </c>
      <c r="B95" s="91">
        <v>10123</v>
      </c>
      <c r="C95" s="76" t="s">
        <v>216</v>
      </c>
      <c r="D95" s="76" t="s">
        <v>887</v>
      </c>
      <c r="E95" s="76" t="s">
        <v>885</v>
      </c>
      <c r="F95" s="76" t="s">
        <v>888</v>
      </c>
      <c r="G95" s="76">
        <v>4</v>
      </c>
      <c r="O95" s="92"/>
    </row>
    <row r="96" spans="1:15" x14ac:dyDescent="0.25">
      <c r="A96" s="1">
        <v>91</v>
      </c>
      <c r="B96" s="91">
        <v>10124</v>
      </c>
      <c r="C96" s="76" t="s">
        <v>216</v>
      </c>
      <c r="D96" s="76" t="s">
        <v>887</v>
      </c>
      <c r="E96" s="76" t="s">
        <v>885</v>
      </c>
      <c r="F96" s="76" t="s">
        <v>888</v>
      </c>
      <c r="G96" s="76">
        <v>4</v>
      </c>
      <c r="O96" s="92"/>
    </row>
    <row r="97" spans="1:15" x14ac:dyDescent="0.25">
      <c r="A97" s="1">
        <v>92</v>
      </c>
      <c r="B97" s="91">
        <v>10125</v>
      </c>
      <c r="C97" s="76" t="s">
        <v>216</v>
      </c>
      <c r="D97" s="76" t="s">
        <v>887</v>
      </c>
      <c r="E97" s="76" t="s">
        <v>885</v>
      </c>
      <c r="F97" s="76" t="s">
        <v>888</v>
      </c>
      <c r="G97" s="76">
        <v>4</v>
      </c>
      <c r="O97" s="92"/>
    </row>
    <row r="98" spans="1:15" x14ac:dyDescent="0.25">
      <c r="A98" s="1">
        <v>93</v>
      </c>
      <c r="B98" s="91">
        <v>10126</v>
      </c>
      <c r="C98" s="76" t="s">
        <v>216</v>
      </c>
      <c r="D98" s="76" t="s">
        <v>887</v>
      </c>
      <c r="E98" s="76" t="s">
        <v>885</v>
      </c>
      <c r="F98" s="76" t="s">
        <v>888</v>
      </c>
      <c r="G98" s="76">
        <v>4</v>
      </c>
      <c r="O98" s="92"/>
    </row>
    <row r="99" spans="1:15" x14ac:dyDescent="0.25">
      <c r="A99" s="1">
        <v>94</v>
      </c>
      <c r="B99" s="91">
        <v>10128</v>
      </c>
      <c r="C99" s="76" t="s">
        <v>216</v>
      </c>
      <c r="D99" s="76" t="s">
        <v>887</v>
      </c>
      <c r="E99" s="76" t="s">
        <v>885</v>
      </c>
      <c r="F99" s="76" t="s">
        <v>888</v>
      </c>
      <c r="G99" s="76">
        <v>4</v>
      </c>
      <c r="O99" s="92"/>
    </row>
    <row r="100" spans="1:15" x14ac:dyDescent="0.25">
      <c r="A100" s="1">
        <v>95</v>
      </c>
      <c r="B100" s="91">
        <v>10129</v>
      </c>
      <c r="C100" s="76" t="s">
        <v>216</v>
      </c>
      <c r="D100" s="76" t="s">
        <v>887</v>
      </c>
      <c r="E100" s="76" t="s">
        <v>885</v>
      </c>
      <c r="F100" s="76" t="s">
        <v>888</v>
      </c>
      <c r="G100" s="76">
        <v>4</v>
      </c>
      <c r="O100" s="92"/>
    </row>
    <row r="101" spans="1:15" x14ac:dyDescent="0.25">
      <c r="A101" s="1">
        <v>96</v>
      </c>
      <c r="B101" s="91">
        <v>10130</v>
      </c>
      <c r="C101" s="76" t="s">
        <v>216</v>
      </c>
      <c r="D101" s="76" t="s">
        <v>887</v>
      </c>
      <c r="E101" s="76" t="s">
        <v>885</v>
      </c>
      <c r="F101" s="76" t="s">
        <v>888</v>
      </c>
      <c r="G101" s="76">
        <v>4</v>
      </c>
      <c r="O101" s="92"/>
    </row>
    <row r="102" spans="1:15" x14ac:dyDescent="0.25">
      <c r="A102" s="1">
        <v>97</v>
      </c>
      <c r="B102" s="91">
        <v>10131</v>
      </c>
      <c r="C102" s="76" t="s">
        <v>216</v>
      </c>
      <c r="D102" s="76" t="s">
        <v>887</v>
      </c>
      <c r="E102" s="76" t="s">
        <v>885</v>
      </c>
      <c r="F102" s="76" t="s">
        <v>888</v>
      </c>
      <c r="G102" s="76">
        <v>4</v>
      </c>
      <c r="O102" s="92"/>
    </row>
    <row r="103" spans="1:15" x14ac:dyDescent="0.25">
      <c r="A103" s="1">
        <v>98</v>
      </c>
      <c r="B103" s="91">
        <v>10132</v>
      </c>
      <c r="C103" s="76" t="s">
        <v>216</v>
      </c>
      <c r="D103" s="76" t="s">
        <v>887</v>
      </c>
      <c r="E103" s="76" t="s">
        <v>885</v>
      </c>
      <c r="F103" s="76" t="s">
        <v>888</v>
      </c>
      <c r="G103" s="76">
        <v>4</v>
      </c>
      <c r="O103" s="92"/>
    </row>
    <row r="104" spans="1:15" x14ac:dyDescent="0.25">
      <c r="A104" s="1">
        <v>99</v>
      </c>
      <c r="B104" s="91">
        <v>10133</v>
      </c>
      <c r="C104" s="76" t="s">
        <v>216</v>
      </c>
      <c r="D104" s="76" t="s">
        <v>887</v>
      </c>
      <c r="E104" s="76" t="s">
        <v>885</v>
      </c>
      <c r="F104" s="76" t="s">
        <v>888</v>
      </c>
      <c r="G104" s="76">
        <v>4</v>
      </c>
      <c r="O104" s="92"/>
    </row>
    <row r="105" spans="1:15" x14ac:dyDescent="0.25">
      <c r="A105" s="1">
        <v>100</v>
      </c>
      <c r="B105" s="91">
        <v>10138</v>
      </c>
      <c r="C105" s="76" t="s">
        <v>216</v>
      </c>
      <c r="D105" s="76" t="s">
        <v>887</v>
      </c>
      <c r="E105" s="76" t="s">
        <v>885</v>
      </c>
      <c r="F105" s="76" t="s">
        <v>888</v>
      </c>
      <c r="G105" s="76">
        <v>4</v>
      </c>
      <c r="O105" s="92"/>
    </row>
    <row r="106" spans="1:15" x14ac:dyDescent="0.25">
      <c r="A106" s="1">
        <v>101</v>
      </c>
      <c r="B106" s="91">
        <v>10149</v>
      </c>
      <c r="C106" s="76" t="s">
        <v>216</v>
      </c>
      <c r="D106" s="76" t="s">
        <v>887</v>
      </c>
      <c r="E106" s="76" t="s">
        <v>885</v>
      </c>
      <c r="F106" s="76" t="s">
        <v>888</v>
      </c>
      <c r="G106" s="76">
        <v>4</v>
      </c>
      <c r="O106" s="92"/>
    </row>
    <row r="107" spans="1:15" x14ac:dyDescent="0.25">
      <c r="A107" s="1">
        <v>102</v>
      </c>
      <c r="B107" s="91">
        <v>10150</v>
      </c>
      <c r="C107" s="76" t="s">
        <v>216</v>
      </c>
      <c r="D107" s="76" t="s">
        <v>887</v>
      </c>
      <c r="E107" s="76" t="s">
        <v>885</v>
      </c>
      <c r="F107" s="76" t="s">
        <v>888</v>
      </c>
      <c r="G107" s="76">
        <v>4</v>
      </c>
      <c r="O107" s="92"/>
    </row>
    <row r="108" spans="1:15" x14ac:dyDescent="0.25">
      <c r="A108" s="1">
        <v>103</v>
      </c>
      <c r="B108" s="91">
        <v>10151</v>
      </c>
      <c r="C108" s="76" t="s">
        <v>216</v>
      </c>
      <c r="D108" s="76" t="s">
        <v>887</v>
      </c>
      <c r="E108" s="76" t="s">
        <v>885</v>
      </c>
      <c r="F108" s="76" t="s">
        <v>888</v>
      </c>
      <c r="G108" s="76">
        <v>4</v>
      </c>
      <c r="O108" s="92"/>
    </row>
    <row r="109" spans="1:15" x14ac:dyDescent="0.25">
      <c r="A109" s="1">
        <v>104</v>
      </c>
      <c r="B109" s="91">
        <v>10152</v>
      </c>
      <c r="C109" s="76" t="s">
        <v>216</v>
      </c>
      <c r="D109" s="76" t="s">
        <v>887</v>
      </c>
      <c r="E109" s="76" t="s">
        <v>885</v>
      </c>
      <c r="F109" s="76" t="s">
        <v>888</v>
      </c>
      <c r="G109" s="76">
        <v>4</v>
      </c>
      <c r="O109" s="92"/>
    </row>
    <row r="110" spans="1:15" x14ac:dyDescent="0.25">
      <c r="A110" s="1">
        <v>105</v>
      </c>
      <c r="B110" s="91">
        <v>10153</v>
      </c>
      <c r="C110" s="76" t="s">
        <v>216</v>
      </c>
      <c r="D110" s="76" t="s">
        <v>887</v>
      </c>
      <c r="E110" s="76" t="s">
        <v>885</v>
      </c>
      <c r="F110" s="76" t="s">
        <v>888</v>
      </c>
      <c r="G110" s="76">
        <v>4</v>
      </c>
      <c r="O110" s="92"/>
    </row>
    <row r="111" spans="1:15" x14ac:dyDescent="0.25">
      <c r="A111" s="1">
        <v>106</v>
      </c>
      <c r="B111" s="91">
        <v>10154</v>
      </c>
      <c r="C111" s="76" t="s">
        <v>216</v>
      </c>
      <c r="D111" s="76" t="s">
        <v>887</v>
      </c>
      <c r="E111" s="76" t="s">
        <v>885</v>
      </c>
      <c r="F111" s="76" t="s">
        <v>888</v>
      </c>
      <c r="G111" s="76">
        <v>4</v>
      </c>
      <c r="O111" s="92"/>
    </row>
    <row r="112" spans="1:15" x14ac:dyDescent="0.25">
      <c r="A112" s="1">
        <v>107</v>
      </c>
      <c r="B112" s="91">
        <v>10155</v>
      </c>
      <c r="C112" s="76" t="s">
        <v>216</v>
      </c>
      <c r="D112" s="76" t="s">
        <v>887</v>
      </c>
      <c r="E112" s="76" t="s">
        <v>885</v>
      </c>
      <c r="F112" s="76" t="s">
        <v>888</v>
      </c>
      <c r="G112" s="76">
        <v>4</v>
      </c>
      <c r="O112" s="92"/>
    </row>
    <row r="113" spans="1:15" x14ac:dyDescent="0.25">
      <c r="A113" s="1">
        <v>108</v>
      </c>
      <c r="B113" s="91">
        <v>10156</v>
      </c>
      <c r="C113" s="76" t="s">
        <v>216</v>
      </c>
      <c r="D113" s="76" t="s">
        <v>887</v>
      </c>
      <c r="E113" s="76" t="s">
        <v>885</v>
      </c>
      <c r="F113" s="76" t="s">
        <v>888</v>
      </c>
      <c r="G113" s="76">
        <v>4</v>
      </c>
      <c r="O113" s="92"/>
    </row>
    <row r="114" spans="1:15" x14ac:dyDescent="0.25">
      <c r="A114" s="1">
        <v>109</v>
      </c>
      <c r="B114" s="91">
        <v>10157</v>
      </c>
      <c r="C114" s="76" t="s">
        <v>216</v>
      </c>
      <c r="D114" s="76" t="s">
        <v>887</v>
      </c>
      <c r="E114" s="76" t="s">
        <v>885</v>
      </c>
      <c r="F114" s="76" t="s">
        <v>888</v>
      </c>
      <c r="G114" s="76">
        <v>4</v>
      </c>
      <c r="O114" s="92"/>
    </row>
    <row r="115" spans="1:15" x14ac:dyDescent="0.25">
      <c r="A115" s="1">
        <v>110</v>
      </c>
      <c r="B115" s="91">
        <v>10158</v>
      </c>
      <c r="C115" s="76" t="s">
        <v>216</v>
      </c>
      <c r="D115" s="76" t="s">
        <v>887</v>
      </c>
      <c r="E115" s="76" t="s">
        <v>885</v>
      </c>
      <c r="F115" s="76" t="s">
        <v>888</v>
      </c>
      <c r="G115" s="76">
        <v>4</v>
      </c>
      <c r="O115" s="92"/>
    </row>
    <row r="116" spans="1:15" x14ac:dyDescent="0.25">
      <c r="A116" s="1">
        <v>111</v>
      </c>
      <c r="B116" s="91">
        <v>10159</v>
      </c>
      <c r="C116" s="76" t="s">
        <v>216</v>
      </c>
      <c r="D116" s="76" t="s">
        <v>887</v>
      </c>
      <c r="E116" s="76" t="s">
        <v>885</v>
      </c>
      <c r="F116" s="76" t="s">
        <v>888</v>
      </c>
      <c r="G116" s="76">
        <v>4</v>
      </c>
      <c r="O116" s="92"/>
    </row>
    <row r="117" spans="1:15" x14ac:dyDescent="0.25">
      <c r="A117" s="1">
        <v>112</v>
      </c>
      <c r="B117" s="91">
        <v>10160</v>
      </c>
      <c r="C117" s="76" t="s">
        <v>216</v>
      </c>
      <c r="D117" s="76" t="s">
        <v>887</v>
      </c>
      <c r="E117" s="76" t="s">
        <v>885</v>
      </c>
      <c r="F117" s="76" t="s">
        <v>888</v>
      </c>
      <c r="G117" s="76">
        <v>4</v>
      </c>
      <c r="O117" s="92"/>
    </row>
    <row r="118" spans="1:15" x14ac:dyDescent="0.25">
      <c r="A118" s="1">
        <v>113</v>
      </c>
      <c r="B118" s="91">
        <v>10161</v>
      </c>
      <c r="C118" s="76" t="s">
        <v>216</v>
      </c>
      <c r="D118" s="76" t="s">
        <v>887</v>
      </c>
      <c r="E118" s="76" t="s">
        <v>885</v>
      </c>
      <c r="F118" s="76" t="s">
        <v>888</v>
      </c>
      <c r="G118" s="76">
        <v>4</v>
      </c>
      <c r="O118" s="92"/>
    </row>
    <row r="119" spans="1:15" x14ac:dyDescent="0.25">
      <c r="A119" s="1">
        <v>114</v>
      </c>
      <c r="B119" s="91">
        <v>10162</v>
      </c>
      <c r="C119" s="76" t="s">
        <v>216</v>
      </c>
      <c r="D119" s="76" t="s">
        <v>887</v>
      </c>
      <c r="E119" s="76" t="s">
        <v>885</v>
      </c>
      <c r="F119" s="76" t="s">
        <v>888</v>
      </c>
      <c r="G119" s="76">
        <v>4</v>
      </c>
      <c r="O119" s="92"/>
    </row>
    <row r="120" spans="1:15" x14ac:dyDescent="0.25">
      <c r="A120" s="1">
        <v>115</v>
      </c>
      <c r="B120" s="91">
        <v>10163</v>
      </c>
      <c r="C120" s="76" t="s">
        <v>216</v>
      </c>
      <c r="D120" s="76" t="s">
        <v>887</v>
      </c>
      <c r="E120" s="76" t="s">
        <v>885</v>
      </c>
      <c r="F120" s="76" t="s">
        <v>888</v>
      </c>
      <c r="G120" s="76">
        <v>4</v>
      </c>
      <c r="O120" s="92"/>
    </row>
    <row r="121" spans="1:15" x14ac:dyDescent="0.25">
      <c r="A121" s="1">
        <v>116</v>
      </c>
      <c r="B121" s="91">
        <v>10164</v>
      </c>
      <c r="C121" s="76" t="s">
        <v>216</v>
      </c>
      <c r="D121" s="76" t="s">
        <v>887</v>
      </c>
      <c r="E121" s="76" t="s">
        <v>885</v>
      </c>
      <c r="F121" s="76" t="s">
        <v>888</v>
      </c>
      <c r="G121" s="76">
        <v>4</v>
      </c>
      <c r="O121" s="92"/>
    </row>
    <row r="122" spans="1:15" x14ac:dyDescent="0.25">
      <c r="A122" s="1">
        <v>117</v>
      </c>
      <c r="B122" s="91">
        <v>10165</v>
      </c>
      <c r="C122" s="76" t="s">
        <v>216</v>
      </c>
      <c r="D122" s="76" t="s">
        <v>887</v>
      </c>
      <c r="E122" s="76" t="s">
        <v>885</v>
      </c>
      <c r="F122" s="76" t="s">
        <v>888</v>
      </c>
      <c r="G122" s="76">
        <v>4</v>
      </c>
      <c r="O122" s="92"/>
    </row>
    <row r="123" spans="1:15" x14ac:dyDescent="0.25">
      <c r="A123" s="1">
        <v>118</v>
      </c>
      <c r="B123" s="91">
        <v>10166</v>
      </c>
      <c r="C123" s="76" t="s">
        <v>216</v>
      </c>
      <c r="D123" s="76" t="s">
        <v>887</v>
      </c>
      <c r="E123" s="76" t="s">
        <v>885</v>
      </c>
      <c r="F123" s="76" t="s">
        <v>888</v>
      </c>
      <c r="G123" s="76">
        <v>4</v>
      </c>
      <c r="O123" s="92"/>
    </row>
    <row r="124" spans="1:15" x14ac:dyDescent="0.25">
      <c r="A124" s="1">
        <v>119</v>
      </c>
      <c r="B124" s="91">
        <v>10167</v>
      </c>
      <c r="C124" s="76" t="s">
        <v>216</v>
      </c>
      <c r="D124" s="76" t="s">
        <v>887</v>
      </c>
      <c r="E124" s="76" t="s">
        <v>885</v>
      </c>
      <c r="F124" s="76" t="s">
        <v>888</v>
      </c>
      <c r="G124" s="76">
        <v>4</v>
      </c>
      <c r="O124" s="92"/>
    </row>
    <row r="125" spans="1:15" x14ac:dyDescent="0.25">
      <c r="A125" s="1">
        <v>120</v>
      </c>
      <c r="B125" s="91">
        <v>10168</v>
      </c>
      <c r="C125" s="76" t="s">
        <v>216</v>
      </c>
      <c r="D125" s="76" t="s">
        <v>887</v>
      </c>
      <c r="E125" s="76" t="s">
        <v>885</v>
      </c>
      <c r="F125" s="76" t="s">
        <v>888</v>
      </c>
      <c r="G125" s="76">
        <v>4</v>
      </c>
      <c r="O125" s="92"/>
    </row>
    <row r="126" spans="1:15" x14ac:dyDescent="0.25">
      <c r="A126" s="1">
        <v>121</v>
      </c>
      <c r="B126" s="91">
        <v>10169</v>
      </c>
      <c r="C126" s="76" t="s">
        <v>216</v>
      </c>
      <c r="D126" s="76" t="s">
        <v>887</v>
      </c>
      <c r="E126" s="76" t="s">
        <v>885</v>
      </c>
      <c r="F126" s="76" t="s">
        <v>888</v>
      </c>
      <c r="G126" s="76">
        <v>4</v>
      </c>
      <c r="O126" s="92"/>
    </row>
    <row r="127" spans="1:15" x14ac:dyDescent="0.25">
      <c r="A127" s="1">
        <v>122</v>
      </c>
      <c r="B127" s="91">
        <v>10170</v>
      </c>
      <c r="C127" s="76" t="s">
        <v>216</v>
      </c>
      <c r="D127" s="76" t="s">
        <v>887</v>
      </c>
      <c r="E127" s="76" t="s">
        <v>885</v>
      </c>
      <c r="F127" s="76" t="s">
        <v>888</v>
      </c>
      <c r="G127" s="76">
        <v>4</v>
      </c>
      <c r="O127" s="92"/>
    </row>
    <row r="128" spans="1:15" x14ac:dyDescent="0.25">
      <c r="A128" s="1">
        <v>123</v>
      </c>
      <c r="B128" s="91">
        <v>10171</v>
      </c>
      <c r="C128" s="76" t="s">
        <v>216</v>
      </c>
      <c r="D128" s="76" t="s">
        <v>887</v>
      </c>
      <c r="E128" s="76" t="s">
        <v>885</v>
      </c>
      <c r="F128" s="76" t="s">
        <v>888</v>
      </c>
      <c r="G128" s="76">
        <v>4</v>
      </c>
      <c r="O128" s="92"/>
    </row>
    <row r="129" spans="1:15" x14ac:dyDescent="0.25">
      <c r="A129" s="1">
        <v>124</v>
      </c>
      <c r="B129" s="91">
        <v>10172</v>
      </c>
      <c r="C129" s="76" t="s">
        <v>216</v>
      </c>
      <c r="D129" s="76" t="s">
        <v>887</v>
      </c>
      <c r="E129" s="76" t="s">
        <v>885</v>
      </c>
      <c r="F129" s="76" t="s">
        <v>888</v>
      </c>
      <c r="G129" s="76">
        <v>4</v>
      </c>
      <c r="O129" s="92"/>
    </row>
    <row r="130" spans="1:15" x14ac:dyDescent="0.25">
      <c r="A130" s="1">
        <v>125</v>
      </c>
      <c r="B130" s="91">
        <v>10173</v>
      </c>
      <c r="C130" s="76" t="s">
        <v>216</v>
      </c>
      <c r="D130" s="76" t="s">
        <v>887</v>
      </c>
      <c r="E130" s="76" t="s">
        <v>885</v>
      </c>
      <c r="F130" s="76" t="s">
        <v>888</v>
      </c>
      <c r="G130" s="76">
        <v>4</v>
      </c>
      <c r="O130" s="92"/>
    </row>
    <row r="131" spans="1:15" x14ac:dyDescent="0.25">
      <c r="A131" s="1">
        <v>126</v>
      </c>
      <c r="B131" s="91">
        <v>10174</v>
      </c>
      <c r="C131" s="76" t="s">
        <v>216</v>
      </c>
      <c r="D131" s="76" t="s">
        <v>887</v>
      </c>
      <c r="E131" s="76" t="s">
        <v>885</v>
      </c>
      <c r="F131" s="76" t="s">
        <v>888</v>
      </c>
      <c r="G131" s="76">
        <v>4</v>
      </c>
      <c r="O131" s="92"/>
    </row>
    <row r="132" spans="1:15" x14ac:dyDescent="0.25">
      <c r="A132" s="1">
        <v>127</v>
      </c>
      <c r="B132" s="91">
        <v>10175</v>
      </c>
      <c r="C132" s="76" t="s">
        <v>216</v>
      </c>
      <c r="D132" s="76" t="s">
        <v>887</v>
      </c>
      <c r="E132" s="76" t="s">
        <v>885</v>
      </c>
      <c r="F132" s="76" t="s">
        <v>888</v>
      </c>
      <c r="G132" s="76">
        <v>4</v>
      </c>
      <c r="O132" s="92"/>
    </row>
    <row r="133" spans="1:15" x14ac:dyDescent="0.25">
      <c r="A133" s="1">
        <v>128</v>
      </c>
      <c r="B133" s="91">
        <v>10176</v>
      </c>
      <c r="C133" s="76" t="s">
        <v>216</v>
      </c>
      <c r="D133" s="76" t="s">
        <v>887</v>
      </c>
      <c r="E133" s="76" t="s">
        <v>885</v>
      </c>
      <c r="F133" s="76" t="s">
        <v>888</v>
      </c>
      <c r="G133" s="76">
        <v>4</v>
      </c>
      <c r="O133" s="92"/>
    </row>
    <row r="134" spans="1:15" x14ac:dyDescent="0.25">
      <c r="A134" s="1">
        <v>129</v>
      </c>
      <c r="B134" s="91">
        <v>10177</v>
      </c>
      <c r="C134" s="76" t="s">
        <v>216</v>
      </c>
      <c r="D134" s="76" t="s">
        <v>887</v>
      </c>
      <c r="E134" s="76" t="s">
        <v>885</v>
      </c>
      <c r="F134" s="76" t="s">
        <v>888</v>
      </c>
      <c r="G134" s="76">
        <v>4</v>
      </c>
      <c r="O134" s="92"/>
    </row>
    <row r="135" spans="1:15" x14ac:dyDescent="0.25">
      <c r="A135" s="1">
        <v>130</v>
      </c>
      <c r="B135" s="91">
        <v>10178</v>
      </c>
      <c r="C135" s="76" t="s">
        <v>216</v>
      </c>
      <c r="D135" s="76" t="s">
        <v>887</v>
      </c>
      <c r="E135" s="76" t="s">
        <v>885</v>
      </c>
      <c r="F135" s="76" t="s">
        <v>888</v>
      </c>
      <c r="G135" s="76">
        <v>4</v>
      </c>
      <c r="O135" s="92"/>
    </row>
    <row r="136" spans="1:15" x14ac:dyDescent="0.25">
      <c r="A136" s="1">
        <v>131</v>
      </c>
      <c r="B136" s="91">
        <v>10179</v>
      </c>
      <c r="C136" s="76" t="s">
        <v>216</v>
      </c>
      <c r="D136" s="76" t="s">
        <v>887</v>
      </c>
      <c r="E136" s="76" t="s">
        <v>885</v>
      </c>
      <c r="F136" s="76" t="s">
        <v>888</v>
      </c>
      <c r="G136" s="76">
        <v>4</v>
      </c>
      <c r="O136" s="92"/>
    </row>
    <row r="137" spans="1:15" x14ac:dyDescent="0.25">
      <c r="A137" s="1">
        <v>132</v>
      </c>
      <c r="B137" s="91">
        <v>10184</v>
      </c>
      <c r="C137" s="76" t="s">
        <v>216</v>
      </c>
      <c r="D137" s="76" t="s">
        <v>887</v>
      </c>
      <c r="E137" s="76" t="s">
        <v>885</v>
      </c>
      <c r="F137" s="76" t="s">
        <v>888</v>
      </c>
      <c r="G137" s="76">
        <v>4</v>
      </c>
      <c r="O137" s="92"/>
    </row>
    <row r="138" spans="1:15" x14ac:dyDescent="0.25">
      <c r="A138" s="1">
        <v>133</v>
      </c>
      <c r="B138" s="91">
        <v>10185</v>
      </c>
      <c r="C138" s="76" t="s">
        <v>216</v>
      </c>
      <c r="D138" s="76" t="s">
        <v>887</v>
      </c>
      <c r="E138" s="76" t="s">
        <v>885</v>
      </c>
      <c r="F138" s="76" t="s">
        <v>888</v>
      </c>
      <c r="G138" s="76">
        <v>4</v>
      </c>
      <c r="O138" s="92"/>
    </row>
    <row r="139" spans="1:15" x14ac:dyDescent="0.25">
      <c r="A139" s="1">
        <v>134</v>
      </c>
      <c r="B139" s="91">
        <v>10196</v>
      </c>
      <c r="C139" s="76" t="s">
        <v>216</v>
      </c>
      <c r="D139" s="76" t="s">
        <v>887</v>
      </c>
      <c r="E139" s="76" t="s">
        <v>885</v>
      </c>
      <c r="F139" s="76" t="s">
        <v>888</v>
      </c>
      <c r="G139" s="76">
        <v>4</v>
      </c>
      <c r="O139" s="92"/>
    </row>
    <row r="140" spans="1:15" x14ac:dyDescent="0.25">
      <c r="A140" s="1">
        <v>135</v>
      </c>
      <c r="B140" s="91">
        <v>10197</v>
      </c>
      <c r="C140" s="76" t="s">
        <v>216</v>
      </c>
      <c r="D140" s="76" t="s">
        <v>887</v>
      </c>
      <c r="E140" s="76" t="s">
        <v>885</v>
      </c>
      <c r="F140" s="76" t="s">
        <v>888</v>
      </c>
      <c r="G140" s="76">
        <v>4</v>
      </c>
      <c r="O140" s="92"/>
    </row>
    <row r="141" spans="1:15" x14ac:dyDescent="0.25">
      <c r="A141" s="1">
        <v>136</v>
      </c>
      <c r="B141" s="91">
        <v>10199</v>
      </c>
      <c r="C141" s="76" t="s">
        <v>216</v>
      </c>
      <c r="D141" s="76" t="s">
        <v>887</v>
      </c>
      <c r="E141" s="76" t="s">
        <v>885</v>
      </c>
      <c r="F141" s="76" t="s">
        <v>888</v>
      </c>
      <c r="G141" s="76">
        <v>4</v>
      </c>
      <c r="O141" s="92"/>
    </row>
    <row r="142" spans="1:15" x14ac:dyDescent="0.25">
      <c r="A142" s="1">
        <v>137</v>
      </c>
      <c r="B142" s="91">
        <v>10200</v>
      </c>
      <c r="C142" s="76" t="s">
        <v>216</v>
      </c>
      <c r="D142" s="76" t="s">
        <v>887</v>
      </c>
      <c r="E142" s="76" t="s">
        <v>885</v>
      </c>
      <c r="F142" s="76" t="s">
        <v>888</v>
      </c>
      <c r="G142" s="76">
        <v>4</v>
      </c>
      <c r="O142" s="92"/>
    </row>
    <row r="143" spans="1:15" x14ac:dyDescent="0.25">
      <c r="A143" s="1">
        <v>138</v>
      </c>
      <c r="B143" s="91">
        <v>10203</v>
      </c>
      <c r="C143" s="76" t="s">
        <v>216</v>
      </c>
      <c r="D143" s="76" t="s">
        <v>887</v>
      </c>
      <c r="E143" s="76" t="s">
        <v>885</v>
      </c>
      <c r="F143" s="76" t="s">
        <v>888</v>
      </c>
      <c r="G143" s="76">
        <v>4</v>
      </c>
      <c r="O143" s="92"/>
    </row>
    <row r="144" spans="1:15" x14ac:dyDescent="0.25">
      <c r="A144" s="1">
        <v>139</v>
      </c>
      <c r="B144" s="91">
        <v>10211</v>
      </c>
      <c r="C144" s="76" t="s">
        <v>216</v>
      </c>
      <c r="D144" s="76" t="s">
        <v>887</v>
      </c>
      <c r="E144" s="76" t="s">
        <v>885</v>
      </c>
      <c r="F144" s="76" t="s">
        <v>888</v>
      </c>
      <c r="G144" s="76">
        <v>4</v>
      </c>
      <c r="O144" s="92"/>
    </row>
    <row r="145" spans="1:15" x14ac:dyDescent="0.25">
      <c r="A145" s="1">
        <v>140</v>
      </c>
      <c r="B145" s="91">
        <v>10212</v>
      </c>
      <c r="C145" s="76" t="s">
        <v>216</v>
      </c>
      <c r="D145" s="76" t="s">
        <v>887</v>
      </c>
      <c r="E145" s="76" t="s">
        <v>885</v>
      </c>
      <c r="F145" s="76" t="s">
        <v>888</v>
      </c>
      <c r="G145" s="76">
        <v>4</v>
      </c>
      <c r="O145" s="92"/>
    </row>
    <row r="146" spans="1:15" x14ac:dyDescent="0.25">
      <c r="A146" s="1">
        <v>141</v>
      </c>
      <c r="B146" s="91">
        <v>10213</v>
      </c>
      <c r="C146" s="76" t="s">
        <v>216</v>
      </c>
      <c r="D146" s="76" t="s">
        <v>887</v>
      </c>
      <c r="E146" s="76" t="s">
        <v>885</v>
      </c>
      <c r="F146" s="76" t="s">
        <v>888</v>
      </c>
      <c r="G146" s="76">
        <v>4</v>
      </c>
      <c r="O146" s="92"/>
    </row>
    <row r="147" spans="1:15" x14ac:dyDescent="0.25">
      <c r="A147" s="1">
        <v>142</v>
      </c>
      <c r="B147" s="91">
        <v>10242</v>
      </c>
      <c r="C147" s="76" t="s">
        <v>216</v>
      </c>
      <c r="D147" s="76" t="s">
        <v>887</v>
      </c>
      <c r="E147" s="76" t="s">
        <v>885</v>
      </c>
      <c r="F147" s="76" t="s">
        <v>888</v>
      </c>
      <c r="G147" s="76">
        <v>4</v>
      </c>
      <c r="O147" s="92"/>
    </row>
    <row r="148" spans="1:15" x14ac:dyDescent="0.25">
      <c r="A148" s="1">
        <v>143</v>
      </c>
      <c r="B148" s="91">
        <v>10249</v>
      </c>
      <c r="C148" s="76" t="s">
        <v>216</v>
      </c>
      <c r="D148" s="76" t="s">
        <v>887</v>
      </c>
      <c r="E148" s="76" t="s">
        <v>885</v>
      </c>
      <c r="F148" s="76" t="s">
        <v>888</v>
      </c>
      <c r="G148" s="76">
        <v>4</v>
      </c>
      <c r="O148" s="92"/>
    </row>
    <row r="149" spans="1:15" x14ac:dyDescent="0.25">
      <c r="A149" s="1">
        <v>144</v>
      </c>
      <c r="B149" s="91">
        <v>10256</v>
      </c>
      <c r="C149" s="76" t="s">
        <v>216</v>
      </c>
      <c r="D149" s="76" t="s">
        <v>887</v>
      </c>
      <c r="E149" s="76" t="s">
        <v>885</v>
      </c>
      <c r="F149" s="76" t="s">
        <v>888</v>
      </c>
      <c r="G149" s="76">
        <v>4</v>
      </c>
      <c r="O149" s="92"/>
    </row>
    <row r="150" spans="1:15" x14ac:dyDescent="0.25">
      <c r="A150" s="1">
        <v>145</v>
      </c>
      <c r="B150" s="91">
        <v>10257</v>
      </c>
      <c r="C150" s="76" t="s">
        <v>216</v>
      </c>
      <c r="D150" s="76" t="s">
        <v>887</v>
      </c>
      <c r="E150" s="76" t="s">
        <v>885</v>
      </c>
      <c r="F150" s="76" t="s">
        <v>888</v>
      </c>
      <c r="G150" s="76">
        <v>4</v>
      </c>
      <c r="O150" s="92"/>
    </row>
    <row r="151" spans="1:15" x14ac:dyDescent="0.25">
      <c r="A151" s="1">
        <v>146</v>
      </c>
      <c r="B151" s="91">
        <v>10258</v>
      </c>
      <c r="C151" s="76" t="s">
        <v>216</v>
      </c>
      <c r="D151" s="76" t="s">
        <v>887</v>
      </c>
      <c r="E151" s="76" t="s">
        <v>885</v>
      </c>
      <c r="F151" s="76" t="s">
        <v>888</v>
      </c>
      <c r="G151" s="76">
        <v>4</v>
      </c>
      <c r="O151" s="92"/>
    </row>
    <row r="152" spans="1:15" x14ac:dyDescent="0.25">
      <c r="A152" s="1">
        <v>147</v>
      </c>
      <c r="B152" s="91">
        <v>10259</v>
      </c>
      <c r="C152" s="76" t="s">
        <v>216</v>
      </c>
      <c r="D152" s="76" t="s">
        <v>887</v>
      </c>
      <c r="E152" s="76" t="s">
        <v>885</v>
      </c>
      <c r="F152" s="76" t="s">
        <v>888</v>
      </c>
      <c r="G152" s="76">
        <v>4</v>
      </c>
      <c r="O152" s="92"/>
    </row>
    <row r="153" spans="1:15" x14ac:dyDescent="0.25">
      <c r="A153" s="1">
        <v>148</v>
      </c>
      <c r="B153" s="91">
        <v>10260</v>
      </c>
      <c r="C153" s="76" t="s">
        <v>216</v>
      </c>
      <c r="D153" s="76" t="s">
        <v>887</v>
      </c>
      <c r="E153" s="76" t="s">
        <v>885</v>
      </c>
      <c r="F153" s="76" t="s">
        <v>888</v>
      </c>
      <c r="G153" s="76">
        <v>4</v>
      </c>
      <c r="O153" s="92"/>
    </row>
    <row r="154" spans="1:15" x14ac:dyDescent="0.25">
      <c r="A154" s="1">
        <v>149</v>
      </c>
      <c r="B154" s="91">
        <v>10261</v>
      </c>
      <c r="C154" s="76" t="s">
        <v>216</v>
      </c>
      <c r="D154" s="76" t="s">
        <v>887</v>
      </c>
      <c r="E154" s="76" t="s">
        <v>885</v>
      </c>
      <c r="F154" s="76" t="s">
        <v>888</v>
      </c>
      <c r="G154" s="76">
        <v>4</v>
      </c>
      <c r="O154" s="92"/>
    </row>
    <row r="155" spans="1:15" x14ac:dyDescent="0.25">
      <c r="A155" s="1">
        <v>150</v>
      </c>
      <c r="B155" s="91">
        <v>10265</v>
      </c>
      <c r="C155" s="76" t="s">
        <v>216</v>
      </c>
      <c r="D155" s="76" t="s">
        <v>887</v>
      </c>
      <c r="E155" s="76" t="s">
        <v>885</v>
      </c>
      <c r="F155" s="76" t="s">
        <v>888</v>
      </c>
      <c r="G155" s="76">
        <v>4</v>
      </c>
      <c r="O155" s="92"/>
    </row>
    <row r="156" spans="1:15" x14ac:dyDescent="0.25">
      <c r="A156" s="1">
        <v>151</v>
      </c>
      <c r="B156" s="91">
        <v>10268</v>
      </c>
      <c r="C156" s="76" t="s">
        <v>216</v>
      </c>
      <c r="D156" s="76" t="s">
        <v>887</v>
      </c>
      <c r="E156" s="76" t="s">
        <v>885</v>
      </c>
      <c r="F156" s="76" t="s">
        <v>888</v>
      </c>
      <c r="G156" s="76">
        <v>4</v>
      </c>
      <c r="O156" s="92"/>
    </row>
    <row r="157" spans="1:15" x14ac:dyDescent="0.25">
      <c r="A157" s="1">
        <v>152</v>
      </c>
      <c r="B157" s="91">
        <v>10269</v>
      </c>
      <c r="C157" s="76" t="s">
        <v>216</v>
      </c>
      <c r="D157" s="76" t="s">
        <v>887</v>
      </c>
      <c r="E157" s="76" t="s">
        <v>885</v>
      </c>
      <c r="F157" s="76" t="s">
        <v>888</v>
      </c>
      <c r="G157" s="76">
        <v>4</v>
      </c>
      <c r="O157" s="92"/>
    </row>
    <row r="158" spans="1:15" x14ac:dyDescent="0.25">
      <c r="A158" s="1">
        <v>153</v>
      </c>
      <c r="B158" s="91">
        <v>10270</v>
      </c>
      <c r="C158" s="76" t="s">
        <v>216</v>
      </c>
      <c r="D158" s="76" t="s">
        <v>887</v>
      </c>
      <c r="E158" s="76" t="s">
        <v>885</v>
      </c>
      <c r="F158" s="76" t="s">
        <v>888</v>
      </c>
      <c r="G158" s="76">
        <v>4</v>
      </c>
      <c r="O158" s="92"/>
    </row>
    <row r="159" spans="1:15" x14ac:dyDescent="0.25">
      <c r="A159" s="1">
        <v>154</v>
      </c>
      <c r="B159" s="91">
        <v>10271</v>
      </c>
      <c r="C159" s="76" t="s">
        <v>216</v>
      </c>
      <c r="D159" s="76" t="s">
        <v>887</v>
      </c>
      <c r="E159" s="76" t="s">
        <v>885</v>
      </c>
      <c r="F159" s="76" t="s">
        <v>888</v>
      </c>
      <c r="G159" s="76">
        <v>4</v>
      </c>
      <c r="O159" s="92"/>
    </row>
    <row r="160" spans="1:15" x14ac:dyDescent="0.25">
      <c r="A160" s="1">
        <v>155</v>
      </c>
      <c r="B160" s="91">
        <v>10272</v>
      </c>
      <c r="C160" s="76" t="s">
        <v>216</v>
      </c>
      <c r="D160" s="76" t="s">
        <v>887</v>
      </c>
      <c r="E160" s="76" t="s">
        <v>885</v>
      </c>
      <c r="F160" s="76" t="s">
        <v>888</v>
      </c>
      <c r="G160" s="76">
        <v>4</v>
      </c>
      <c r="O160" s="92"/>
    </row>
    <row r="161" spans="1:15" x14ac:dyDescent="0.25">
      <c r="A161" s="1">
        <v>156</v>
      </c>
      <c r="B161" s="91">
        <v>10273</v>
      </c>
      <c r="C161" s="76" t="s">
        <v>216</v>
      </c>
      <c r="D161" s="76" t="s">
        <v>887</v>
      </c>
      <c r="E161" s="76" t="s">
        <v>885</v>
      </c>
      <c r="F161" s="76" t="s">
        <v>888</v>
      </c>
      <c r="G161" s="76">
        <v>4</v>
      </c>
      <c r="O161" s="92"/>
    </row>
    <row r="162" spans="1:15" x14ac:dyDescent="0.25">
      <c r="A162" s="1">
        <v>157</v>
      </c>
      <c r="B162" s="91">
        <v>10274</v>
      </c>
      <c r="C162" s="76" t="s">
        <v>216</v>
      </c>
      <c r="D162" s="76" t="s">
        <v>887</v>
      </c>
      <c r="E162" s="76" t="s">
        <v>885</v>
      </c>
      <c r="F162" s="76" t="s">
        <v>888</v>
      </c>
      <c r="G162" s="76">
        <v>4</v>
      </c>
      <c r="O162" s="92"/>
    </row>
    <row r="163" spans="1:15" x14ac:dyDescent="0.25">
      <c r="A163" s="1">
        <v>158</v>
      </c>
      <c r="B163" s="91">
        <v>10275</v>
      </c>
      <c r="C163" s="76" t="s">
        <v>216</v>
      </c>
      <c r="D163" s="76" t="s">
        <v>887</v>
      </c>
      <c r="E163" s="76" t="s">
        <v>885</v>
      </c>
      <c r="F163" s="76" t="s">
        <v>888</v>
      </c>
      <c r="G163" s="76">
        <v>4</v>
      </c>
      <c r="O163" s="92"/>
    </row>
    <row r="164" spans="1:15" x14ac:dyDescent="0.25">
      <c r="A164" s="1">
        <v>159</v>
      </c>
      <c r="B164" s="91">
        <v>10276</v>
      </c>
      <c r="C164" s="76" t="s">
        <v>216</v>
      </c>
      <c r="D164" s="76" t="s">
        <v>887</v>
      </c>
      <c r="E164" s="76" t="s">
        <v>885</v>
      </c>
      <c r="F164" s="76" t="s">
        <v>888</v>
      </c>
      <c r="G164" s="76">
        <v>4</v>
      </c>
      <c r="O164" s="92"/>
    </row>
    <row r="165" spans="1:15" x14ac:dyDescent="0.25">
      <c r="A165" s="1">
        <v>160</v>
      </c>
      <c r="B165" s="91">
        <v>10277</v>
      </c>
      <c r="C165" s="76" t="s">
        <v>216</v>
      </c>
      <c r="D165" s="76" t="s">
        <v>887</v>
      </c>
      <c r="E165" s="76" t="s">
        <v>885</v>
      </c>
      <c r="F165" s="76" t="s">
        <v>888</v>
      </c>
      <c r="G165" s="76">
        <v>4</v>
      </c>
      <c r="O165" s="92"/>
    </row>
    <row r="166" spans="1:15" x14ac:dyDescent="0.25">
      <c r="A166" s="1">
        <v>161</v>
      </c>
      <c r="B166" s="91">
        <v>10278</v>
      </c>
      <c r="C166" s="76" t="s">
        <v>216</v>
      </c>
      <c r="D166" s="76" t="s">
        <v>887</v>
      </c>
      <c r="E166" s="76" t="s">
        <v>885</v>
      </c>
      <c r="F166" s="76" t="s">
        <v>888</v>
      </c>
      <c r="G166" s="76">
        <v>4</v>
      </c>
      <c r="O166" s="92"/>
    </row>
    <row r="167" spans="1:15" x14ac:dyDescent="0.25">
      <c r="A167" s="1">
        <v>162</v>
      </c>
      <c r="B167" s="91">
        <v>10279</v>
      </c>
      <c r="C167" s="76" t="s">
        <v>216</v>
      </c>
      <c r="D167" s="76" t="s">
        <v>887</v>
      </c>
      <c r="E167" s="76" t="s">
        <v>885</v>
      </c>
      <c r="F167" s="76" t="s">
        <v>888</v>
      </c>
      <c r="G167" s="76">
        <v>4</v>
      </c>
      <c r="O167" s="92"/>
    </row>
    <row r="168" spans="1:15" x14ac:dyDescent="0.25">
      <c r="A168" s="1">
        <v>163</v>
      </c>
      <c r="B168" s="91">
        <v>10280</v>
      </c>
      <c r="C168" s="76" t="s">
        <v>216</v>
      </c>
      <c r="D168" s="76" t="s">
        <v>887</v>
      </c>
      <c r="E168" s="76" t="s">
        <v>885</v>
      </c>
      <c r="F168" s="76" t="s">
        <v>888</v>
      </c>
      <c r="G168" s="76">
        <v>4</v>
      </c>
      <c r="O168" s="92"/>
    </row>
    <row r="169" spans="1:15" x14ac:dyDescent="0.25">
      <c r="A169" s="1">
        <v>164</v>
      </c>
      <c r="B169" s="91">
        <v>10281</v>
      </c>
      <c r="C169" s="76" t="s">
        <v>216</v>
      </c>
      <c r="D169" s="76" t="s">
        <v>887</v>
      </c>
      <c r="E169" s="76" t="s">
        <v>885</v>
      </c>
      <c r="F169" s="76" t="s">
        <v>888</v>
      </c>
      <c r="G169" s="76">
        <v>4</v>
      </c>
      <c r="O169" s="92"/>
    </row>
    <row r="170" spans="1:15" x14ac:dyDescent="0.25">
      <c r="A170" s="1">
        <v>165</v>
      </c>
      <c r="B170" s="91">
        <v>10282</v>
      </c>
      <c r="C170" s="76" t="s">
        <v>216</v>
      </c>
      <c r="D170" s="76" t="s">
        <v>887</v>
      </c>
      <c r="E170" s="76" t="s">
        <v>885</v>
      </c>
      <c r="F170" s="76" t="s">
        <v>888</v>
      </c>
      <c r="G170" s="76">
        <v>4</v>
      </c>
      <c r="O170" s="92"/>
    </row>
    <row r="171" spans="1:15" x14ac:dyDescent="0.25">
      <c r="A171" s="1">
        <v>166</v>
      </c>
      <c r="B171" s="91">
        <v>10285</v>
      </c>
      <c r="C171" s="76" t="s">
        <v>216</v>
      </c>
      <c r="D171" s="76" t="s">
        <v>887</v>
      </c>
      <c r="E171" s="76" t="s">
        <v>885</v>
      </c>
      <c r="F171" s="76" t="s">
        <v>888</v>
      </c>
      <c r="G171" s="76">
        <v>4</v>
      </c>
      <c r="O171" s="92"/>
    </row>
    <row r="172" spans="1:15" x14ac:dyDescent="0.25">
      <c r="A172" s="1">
        <v>167</v>
      </c>
      <c r="B172" s="91">
        <v>10286</v>
      </c>
      <c r="C172" s="76" t="s">
        <v>216</v>
      </c>
      <c r="D172" s="76" t="s">
        <v>887</v>
      </c>
      <c r="E172" s="76" t="s">
        <v>885</v>
      </c>
      <c r="F172" s="76" t="s">
        <v>888</v>
      </c>
      <c r="G172" s="76">
        <v>4</v>
      </c>
      <c r="O172" s="92"/>
    </row>
    <row r="173" spans="1:15" x14ac:dyDescent="0.25">
      <c r="A173" s="1">
        <v>168</v>
      </c>
      <c r="B173" s="91">
        <v>10292</v>
      </c>
      <c r="C173" s="76" t="s">
        <v>216</v>
      </c>
      <c r="D173" s="76" t="s">
        <v>887</v>
      </c>
      <c r="E173" s="76" t="s">
        <v>885</v>
      </c>
      <c r="F173" s="76" t="s">
        <v>888</v>
      </c>
      <c r="G173" s="76">
        <v>4</v>
      </c>
      <c r="O173" s="92"/>
    </row>
    <row r="174" spans="1:15" x14ac:dyDescent="0.25">
      <c r="A174" s="1">
        <v>169</v>
      </c>
      <c r="B174" s="91">
        <v>10301</v>
      </c>
      <c r="C174" s="76" t="s">
        <v>216</v>
      </c>
      <c r="D174" s="76" t="s">
        <v>889</v>
      </c>
      <c r="E174" s="76" t="s">
        <v>885</v>
      </c>
      <c r="F174" s="76" t="s">
        <v>890</v>
      </c>
      <c r="G174" s="76">
        <v>4</v>
      </c>
      <c r="O174" s="92"/>
    </row>
    <row r="175" spans="1:15" x14ac:dyDescent="0.25">
      <c r="A175" s="1">
        <v>170</v>
      </c>
      <c r="B175" s="91">
        <v>10302</v>
      </c>
      <c r="C175" s="76" t="s">
        <v>216</v>
      </c>
      <c r="D175" s="76" t="s">
        <v>889</v>
      </c>
      <c r="E175" s="76" t="s">
        <v>885</v>
      </c>
      <c r="F175" s="76" t="s">
        <v>890</v>
      </c>
      <c r="G175" s="76">
        <v>4</v>
      </c>
      <c r="O175" s="92"/>
    </row>
    <row r="176" spans="1:15" x14ac:dyDescent="0.25">
      <c r="A176" s="1">
        <v>171</v>
      </c>
      <c r="B176" s="91">
        <v>10303</v>
      </c>
      <c r="C176" s="76" t="s">
        <v>216</v>
      </c>
      <c r="D176" s="76" t="s">
        <v>889</v>
      </c>
      <c r="E176" s="76" t="s">
        <v>885</v>
      </c>
      <c r="F176" s="76" t="s">
        <v>890</v>
      </c>
      <c r="G176" s="76">
        <v>4</v>
      </c>
      <c r="O176" s="92"/>
    </row>
    <row r="177" spans="1:15" x14ac:dyDescent="0.25">
      <c r="A177" s="1">
        <v>172</v>
      </c>
      <c r="B177" s="91">
        <v>10304</v>
      </c>
      <c r="C177" s="76" t="s">
        <v>216</v>
      </c>
      <c r="D177" s="76" t="s">
        <v>889</v>
      </c>
      <c r="E177" s="76" t="s">
        <v>885</v>
      </c>
      <c r="F177" s="76" t="s">
        <v>890</v>
      </c>
      <c r="G177" s="76">
        <v>4</v>
      </c>
      <c r="O177" s="92"/>
    </row>
    <row r="178" spans="1:15" x14ac:dyDescent="0.25">
      <c r="A178" s="1">
        <v>173</v>
      </c>
      <c r="B178" s="91">
        <v>10305</v>
      </c>
      <c r="C178" s="76" t="s">
        <v>216</v>
      </c>
      <c r="D178" s="76" t="s">
        <v>889</v>
      </c>
      <c r="E178" s="76" t="s">
        <v>885</v>
      </c>
      <c r="F178" s="76" t="s">
        <v>890</v>
      </c>
      <c r="G178" s="76">
        <v>4</v>
      </c>
      <c r="O178" s="92"/>
    </row>
    <row r="179" spans="1:15" x14ac:dyDescent="0.25">
      <c r="A179" s="1">
        <v>174</v>
      </c>
      <c r="B179" s="91">
        <v>10306</v>
      </c>
      <c r="C179" s="76" t="s">
        <v>216</v>
      </c>
      <c r="D179" s="76" t="s">
        <v>889</v>
      </c>
      <c r="E179" s="76" t="s">
        <v>885</v>
      </c>
      <c r="F179" s="76" t="s">
        <v>890</v>
      </c>
      <c r="G179" s="76">
        <v>4</v>
      </c>
      <c r="O179" s="92"/>
    </row>
    <row r="180" spans="1:15" x14ac:dyDescent="0.25">
      <c r="A180" s="1">
        <v>175</v>
      </c>
      <c r="B180" s="91">
        <v>10307</v>
      </c>
      <c r="C180" s="76" t="s">
        <v>216</v>
      </c>
      <c r="D180" s="76" t="s">
        <v>889</v>
      </c>
      <c r="E180" s="76" t="s">
        <v>885</v>
      </c>
      <c r="F180" s="76" t="s">
        <v>890</v>
      </c>
      <c r="G180" s="76">
        <v>4</v>
      </c>
      <c r="O180" s="92"/>
    </row>
    <row r="181" spans="1:15" x14ac:dyDescent="0.25">
      <c r="A181" s="1">
        <v>176</v>
      </c>
      <c r="B181" s="91">
        <v>10308</v>
      </c>
      <c r="C181" s="76" t="s">
        <v>216</v>
      </c>
      <c r="D181" s="76" t="s">
        <v>889</v>
      </c>
      <c r="E181" s="76" t="s">
        <v>885</v>
      </c>
      <c r="F181" s="76" t="s">
        <v>890</v>
      </c>
      <c r="G181" s="76">
        <v>4</v>
      </c>
      <c r="O181" s="92"/>
    </row>
    <row r="182" spans="1:15" x14ac:dyDescent="0.25">
      <c r="A182" s="1">
        <v>177</v>
      </c>
      <c r="B182" s="91">
        <v>10309</v>
      </c>
      <c r="C182" s="76" t="s">
        <v>216</v>
      </c>
      <c r="D182" s="76" t="s">
        <v>889</v>
      </c>
      <c r="E182" s="76" t="s">
        <v>885</v>
      </c>
      <c r="F182" s="76" t="s">
        <v>890</v>
      </c>
      <c r="G182" s="76">
        <v>4</v>
      </c>
      <c r="O182" s="92"/>
    </row>
    <row r="183" spans="1:15" x14ac:dyDescent="0.25">
      <c r="A183" s="1">
        <v>178</v>
      </c>
      <c r="B183" s="91">
        <v>10310</v>
      </c>
      <c r="C183" s="76" t="s">
        <v>216</v>
      </c>
      <c r="D183" s="76" t="s">
        <v>889</v>
      </c>
      <c r="E183" s="76" t="s">
        <v>885</v>
      </c>
      <c r="F183" s="76" t="s">
        <v>890</v>
      </c>
      <c r="G183" s="76">
        <v>4</v>
      </c>
      <c r="O183" s="92"/>
    </row>
    <row r="184" spans="1:15" x14ac:dyDescent="0.25">
      <c r="A184" s="1">
        <v>179</v>
      </c>
      <c r="B184" s="91">
        <v>10311</v>
      </c>
      <c r="C184" s="76" t="s">
        <v>216</v>
      </c>
      <c r="D184" s="76" t="s">
        <v>889</v>
      </c>
      <c r="E184" s="76" t="s">
        <v>885</v>
      </c>
      <c r="F184" s="76" t="s">
        <v>890</v>
      </c>
      <c r="G184" s="76">
        <v>4</v>
      </c>
      <c r="O184" s="92"/>
    </row>
    <row r="185" spans="1:15" x14ac:dyDescent="0.25">
      <c r="A185" s="1">
        <v>180</v>
      </c>
      <c r="B185" s="91">
        <v>10312</v>
      </c>
      <c r="C185" s="76" t="s">
        <v>216</v>
      </c>
      <c r="D185" s="76" t="s">
        <v>889</v>
      </c>
      <c r="E185" s="76" t="s">
        <v>885</v>
      </c>
      <c r="F185" s="76" t="s">
        <v>890</v>
      </c>
      <c r="G185" s="76">
        <v>4</v>
      </c>
      <c r="O185" s="92"/>
    </row>
    <row r="186" spans="1:15" x14ac:dyDescent="0.25">
      <c r="A186" s="1">
        <v>181</v>
      </c>
      <c r="B186" s="91">
        <v>10313</v>
      </c>
      <c r="C186" s="76" t="s">
        <v>216</v>
      </c>
      <c r="D186" s="76" t="s">
        <v>889</v>
      </c>
      <c r="E186" s="76" t="s">
        <v>885</v>
      </c>
      <c r="F186" s="76" t="s">
        <v>890</v>
      </c>
      <c r="G186" s="76">
        <v>4</v>
      </c>
      <c r="O186" s="92"/>
    </row>
    <row r="187" spans="1:15" x14ac:dyDescent="0.25">
      <c r="A187" s="1">
        <v>182</v>
      </c>
      <c r="B187" s="91">
        <v>10314</v>
      </c>
      <c r="C187" s="76" t="s">
        <v>216</v>
      </c>
      <c r="D187" s="76" t="s">
        <v>889</v>
      </c>
      <c r="E187" s="76" t="s">
        <v>885</v>
      </c>
      <c r="F187" s="76" t="s">
        <v>890</v>
      </c>
      <c r="G187" s="76">
        <v>4</v>
      </c>
      <c r="O187" s="92"/>
    </row>
    <row r="188" spans="1:15" x14ac:dyDescent="0.25">
      <c r="A188" s="1">
        <v>183</v>
      </c>
      <c r="B188" s="91">
        <v>10451</v>
      </c>
      <c r="C188" s="76" t="s">
        <v>216</v>
      </c>
      <c r="D188" s="76" t="s">
        <v>891</v>
      </c>
      <c r="E188" s="76" t="s">
        <v>885</v>
      </c>
      <c r="F188" s="76" t="s">
        <v>888</v>
      </c>
      <c r="G188" s="76">
        <v>4</v>
      </c>
      <c r="O188" s="92"/>
    </row>
    <row r="189" spans="1:15" x14ac:dyDescent="0.25">
      <c r="A189" s="1">
        <v>184</v>
      </c>
      <c r="B189" s="91">
        <v>10452</v>
      </c>
      <c r="C189" s="76" t="s">
        <v>216</v>
      </c>
      <c r="D189" s="76" t="s">
        <v>891</v>
      </c>
      <c r="E189" s="76" t="s">
        <v>885</v>
      </c>
      <c r="F189" s="76" t="s">
        <v>888</v>
      </c>
      <c r="G189" s="76">
        <v>4</v>
      </c>
      <c r="O189" s="92"/>
    </row>
    <row r="190" spans="1:15" x14ac:dyDescent="0.25">
      <c r="A190" s="1">
        <v>185</v>
      </c>
      <c r="B190" s="91">
        <v>10453</v>
      </c>
      <c r="C190" s="76" t="s">
        <v>216</v>
      </c>
      <c r="D190" s="76" t="s">
        <v>891</v>
      </c>
      <c r="E190" s="76" t="s">
        <v>885</v>
      </c>
      <c r="F190" s="76" t="s">
        <v>888</v>
      </c>
      <c r="G190" s="76">
        <v>4</v>
      </c>
      <c r="O190" s="92"/>
    </row>
    <row r="191" spans="1:15" x14ac:dyDescent="0.25">
      <c r="A191" s="1">
        <v>186</v>
      </c>
      <c r="B191" s="91">
        <v>10454</v>
      </c>
      <c r="C191" s="76" t="s">
        <v>216</v>
      </c>
      <c r="D191" s="76" t="s">
        <v>891</v>
      </c>
      <c r="E191" s="76" t="s">
        <v>885</v>
      </c>
      <c r="F191" s="76" t="s">
        <v>888</v>
      </c>
      <c r="G191" s="76">
        <v>4</v>
      </c>
      <c r="O191" s="92"/>
    </row>
    <row r="192" spans="1:15" x14ac:dyDescent="0.25">
      <c r="A192" s="1">
        <v>187</v>
      </c>
      <c r="B192" s="91">
        <v>10455</v>
      </c>
      <c r="C192" s="76" t="s">
        <v>216</v>
      </c>
      <c r="D192" s="76" t="s">
        <v>891</v>
      </c>
      <c r="E192" s="76" t="s">
        <v>885</v>
      </c>
      <c r="F192" s="76" t="s">
        <v>888</v>
      </c>
      <c r="G192" s="76">
        <v>4</v>
      </c>
      <c r="O192" s="92"/>
    </row>
    <row r="193" spans="1:15" x14ac:dyDescent="0.25">
      <c r="A193" s="1">
        <v>188</v>
      </c>
      <c r="B193" s="91">
        <v>10456</v>
      </c>
      <c r="C193" s="76" t="s">
        <v>216</v>
      </c>
      <c r="D193" s="76" t="s">
        <v>891</v>
      </c>
      <c r="E193" s="76" t="s">
        <v>885</v>
      </c>
      <c r="F193" s="76" t="s">
        <v>888</v>
      </c>
      <c r="G193" s="76">
        <v>4</v>
      </c>
      <c r="O193" s="92"/>
    </row>
    <row r="194" spans="1:15" x14ac:dyDescent="0.25">
      <c r="A194" s="1">
        <v>189</v>
      </c>
      <c r="B194" s="91">
        <v>10457</v>
      </c>
      <c r="C194" s="76" t="s">
        <v>216</v>
      </c>
      <c r="D194" s="76" t="s">
        <v>891</v>
      </c>
      <c r="E194" s="76" t="s">
        <v>885</v>
      </c>
      <c r="F194" s="76" t="s">
        <v>888</v>
      </c>
      <c r="G194" s="76">
        <v>4</v>
      </c>
      <c r="O194" s="92"/>
    </row>
    <row r="195" spans="1:15" x14ac:dyDescent="0.25">
      <c r="A195" s="1">
        <v>190</v>
      </c>
      <c r="B195" s="91">
        <v>10458</v>
      </c>
      <c r="C195" s="76" t="s">
        <v>216</v>
      </c>
      <c r="D195" s="76" t="s">
        <v>891</v>
      </c>
      <c r="E195" s="76" t="s">
        <v>885</v>
      </c>
      <c r="F195" s="76" t="s">
        <v>888</v>
      </c>
      <c r="G195" s="76">
        <v>4</v>
      </c>
      <c r="O195" s="92"/>
    </row>
    <row r="196" spans="1:15" x14ac:dyDescent="0.25">
      <c r="A196" s="1">
        <v>191</v>
      </c>
      <c r="B196" s="91">
        <v>10459</v>
      </c>
      <c r="C196" s="76" t="s">
        <v>216</v>
      </c>
      <c r="D196" s="76" t="s">
        <v>891</v>
      </c>
      <c r="E196" s="76" t="s">
        <v>885</v>
      </c>
      <c r="F196" s="76" t="s">
        <v>888</v>
      </c>
      <c r="G196" s="76">
        <v>4</v>
      </c>
      <c r="O196" s="92"/>
    </row>
    <row r="197" spans="1:15" x14ac:dyDescent="0.25">
      <c r="A197" s="1">
        <v>192</v>
      </c>
      <c r="B197" s="91">
        <v>10460</v>
      </c>
      <c r="C197" s="76" t="s">
        <v>216</v>
      </c>
      <c r="D197" s="76" t="s">
        <v>891</v>
      </c>
      <c r="E197" s="76" t="s">
        <v>885</v>
      </c>
      <c r="F197" s="76" t="s">
        <v>888</v>
      </c>
      <c r="G197" s="76">
        <v>4</v>
      </c>
      <c r="O197" s="92"/>
    </row>
    <row r="198" spans="1:15" x14ac:dyDescent="0.25">
      <c r="A198" s="1">
        <v>193</v>
      </c>
      <c r="B198" s="91">
        <v>10461</v>
      </c>
      <c r="C198" s="76" t="s">
        <v>216</v>
      </c>
      <c r="D198" s="76" t="s">
        <v>891</v>
      </c>
      <c r="E198" s="76" t="s">
        <v>885</v>
      </c>
      <c r="F198" s="76" t="s">
        <v>888</v>
      </c>
      <c r="G198" s="76">
        <v>4</v>
      </c>
      <c r="O198" s="92"/>
    </row>
    <row r="199" spans="1:15" x14ac:dyDescent="0.25">
      <c r="A199" s="1">
        <v>194</v>
      </c>
      <c r="B199" s="91">
        <v>10462</v>
      </c>
      <c r="C199" s="76" t="s">
        <v>216</v>
      </c>
      <c r="D199" s="76" t="s">
        <v>891</v>
      </c>
      <c r="E199" s="76" t="s">
        <v>885</v>
      </c>
      <c r="F199" s="76" t="s">
        <v>888</v>
      </c>
      <c r="G199" s="76">
        <v>4</v>
      </c>
      <c r="O199" s="92"/>
    </row>
    <row r="200" spans="1:15" x14ac:dyDescent="0.25">
      <c r="A200" s="1">
        <v>195</v>
      </c>
      <c r="B200" s="91">
        <v>10463</v>
      </c>
      <c r="C200" s="76" t="s">
        <v>216</v>
      </c>
      <c r="D200" s="76" t="s">
        <v>891</v>
      </c>
      <c r="E200" s="76" t="s">
        <v>885</v>
      </c>
      <c r="F200" s="76" t="s">
        <v>888</v>
      </c>
      <c r="G200" s="76">
        <v>4</v>
      </c>
      <c r="O200" s="92"/>
    </row>
    <row r="201" spans="1:15" x14ac:dyDescent="0.25">
      <c r="A201" s="1">
        <v>196</v>
      </c>
      <c r="B201" s="91">
        <v>10464</v>
      </c>
      <c r="C201" s="76" t="s">
        <v>216</v>
      </c>
      <c r="D201" s="76" t="s">
        <v>891</v>
      </c>
      <c r="E201" s="76" t="s">
        <v>885</v>
      </c>
      <c r="F201" s="76" t="s">
        <v>888</v>
      </c>
      <c r="G201" s="76">
        <v>4</v>
      </c>
      <c r="O201" s="92"/>
    </row>
    <row r="202" spans="1:15" x14ac:dyDescent="0.25">
      <c r="A202" s="1">
        <v>197</v>
      </c>
      <c r="B202" s="91">
        <v>10465</v>
      </c>
      <c r="C202" s="76" t="s">
        <v>216</v>
      </c>
      <c r="D202" s="76" t="s">
        <v>891</v>
      </c>
      <c r="E202" s="76" t="s">
        <v>885</v>
      </c>
      <c r="F202" s="76" t="s">
        <v>888</v>
      </c>
      <c r="G202" s="76">
        <v>4</v>
      </c>
      <c r="O202" s="92"/>
    </row>
    <row r="203" spans="1:15" x14ac:dyDescent="0.25">
      <c r="A203" s="1">
        <v>198</v>
      </c>
      <c r="B203" s="91">
        <v>10466</v>
      </c>
      <c r="C203" s="76" t="s">
        <v>216</v>
      </c>
      <c r="D203" s="76" t="s">
        <v>891</v>
      </c>
      <c r="E203" s="76" t="s">
        <v>885</v>
      </c>
      <c r="F203" s="76" t="s">
        <v>888</v>
      </c>
      <c r="G203" s="76">
        <v>4</v>
      </c>
      <c r="O203" s="92"/>
    </row>
    <row r="204" spans="1:15" x14ac:dyDescent="0.25">
      <c r="A204" s="1">
        <v>199</v>
      </c>
      <c r="B204" s="91">
        <v>10467</v>
      </c>
      <c r="C204" s="76" t="s">
        <v>216</v>
      </c>
      <c r="D204" s="76" t="s">
        <v>891</v>
      </c>
      <c r="E204" s="76" t="s">
        <v>885</v>
      </c>
      <c r="F204" s="76" t="s">
        <v>888</v>
      </c>
      <c r="G204" s="76">
        <v>4</v>
      </c>
      <c r="O204" s="92"/>
    </row>
    <row r="205" spans="1:15" x14ac:dyDescent="0.25">
      <c r="A205" s="1">
        <v>200</v>
      </c>
      <c r="B205" s="91">
        <v>10468</v>
      </c>
      <c r="C205" s="76" t="s">
        <v>216</v>
      </c>
      <c r="D205" s="76" t="s">
        <v>891</v>
      </c>
      <c r="E205" s="76" t="s">
        <v>885</v>
      </c>
      <c r="F205" s="76" t="s">
        <v>888</v>
      </c>
      <c r="G205" s="76">
        <v>4</v>
      </c>
      <c r="O205" s="92"/>
    </row>
    <row r="206" spans="1:15" x14ac:dyDescent="0.25">
      <c r="A206" s="1">
        <v>201</v>
      </c>
      <c r="B206" s="91">
        <v>10469</v>
      </c>
      <c r="C206" s="76" t="s">
        <v>216</v>
      </c>
      <c r="D206" s="76" t="s">
        <v>891</v>
      </c>
      <c r="E206" s="76" t="s">
        <v>885</v>
      </c>
      <c r="F206" s="76" t="s">
        <v>888</v>
      </c>
      <c r="G206" s="76">
        <v>4</v>
      </c>
      <c r="O206" s="92"/>
    </row>
    <row r="207" spans="1:15" x14ac:dyDescent="0.25">
      <c r="A207" s="1">
        <v>202</v>
      </c>
      <c r="B207" s="91">
        <v>10470</v>
      </c>
      <c r="C207" s="76" t="s">
        <v>216</v>
      </c>
      <c r="D207" s="76" t="s">
        <v>891</v>
      </c>
      <c r="E207" s="76" t="s">
        <v>885</v>
      </c>
      <c r="F207" s="76" t="s">
        <v>888</v>
      </c>
      <c r="G207" s="76">
        <v>4</v>
      </c>
      <c r="O207" s="92"/>
    </row>
    <row r="208" spans="1:15" x14ac:dyDescent="0.25">
      <c r="A208" s="1">
        <v>203</v>
      </c>
      <c r="B208" s="91">
        <v>10471</v>
      </c>
      <c r="C208" s="76" t="s">
        <v>216</v>
      </c>
      <c r="D208" s="76" t="s">
        <v>891</v>
      </c>
      <c r="E208" s="76" t="s">
        <v>885</v>
      </c>
      <c r="F208" s="76" t="s">
        <v>888</v>
      </c>
      <c r="G208" s="76">
        <v>4</v>
      </c>
      <c r="O208" s="92"/>
    </row>
    <row r="209" spans="1:15" x14ac:dyDescent="0.25">
      <c r="A209" s="1">
        <v>204</v>
      </c>
      <c r="B209" s="91">
        <v>10472</v>
      </c>
      <c r="C209" s="76" t="s">
        <v>216</v>
      </c>
      <c r="D209" s="76" t="s">
        <v>891</v>
      </c>
      <c r="E209" s="76" t="s">
        <v>885</v>
      </c>
      <c r="F209" s="76" t="s">
        <v>888</v>
      </c>
      <c r="G209" s="76">
        <v>4</v>
      </c>
      <c r="O209" s="92"/>
    </row>
    <row r="210" spans="1:15" x14ac:dyDescent="0.25">
      <c r="A210" s="1">
        <v>205</v>
      </c>
      <c r="B210" s="91">
        <v>10473</v>
      </c>
      <c r="C210" s="76" t="s">
        <v>216</v>
      </c>
      <c r="D210" s="76" t="s">
        <v>891</v>
      </c>
      <c r="E210" s="76" t="s">
        <v>885</v>
      </c>
      <c r="F210" s="76" t="s">
        <v>888</v>
      </c>
      <c r="G210" s="76">
        <v>4</v>
      </c>
      <c r="O210" s="92"/>
    </row>
    <row r="211" spans="1:15" x14ac:dyDescent="0.25">
      <c r="A211" s="1">
        <v>206</v>
      </c>
      <c r="B211" s="91">
        <v>10474</v>
      </c>
      <c r="C211" s="76" t="s">
        <v>216</v>
      </c>
      <c r="D211" s="76" t="s">
        <v>891</v>
      </c>
      <c r="E211" s="76" t="s">
        <v>885</v>
      </c>
      <c r="F211" s="76" t="s">
        <v>888</v>
      </c>
      <c r="G211" s="76">
        <v>4</v>
      </c>
      <c r="O211" s="92"/>
    </row>
    <row r="212" spans="1:15" x14ac:dyDescent="0.25">
      <c r="A212" s="1">
        <v>207</v>
      </c>
      <c r="B212" s="91">
        <v>10475</v>
      </c>
      <c r="C212" s="76" t="s">
        <v>216</v>
      </c>
      <c r="D212" s="76" t="s">
        <v>891</v>
      </c>
      <c r="E212" s="76" t="s">
        <v>885</v>
      </c>
      <c r="F212" s="76" t="s">
        <v>888</v>
      </c>
      <c r="G212" s="76">
        <v>4</v>
      </c>
      <c r="O212" s="92"/>
    </row>
    <row r="213" spans="1:15" x14ac:dyDescent="0.25">
      <c r="A213" s="1">
        <v>208</v>
      </c>
      <c r="B213" s="91">
        <v>10499</v>
      </c>
      <c r="C213" s="76" t="s">
        <v>216</v>
      </c>
      <c r="D213" s="76" t="s">
        <v>891</v>
      </c>
      <c r="E213" s="76" t="s">
        <v>885</v>
      </c>
      <c r="F213" s="76" t="s">
        <v>888</v>
      </c>
      <c r="G213" s="76">
        <v>4</v>
      </c>
      <c r="O213" s="92"/>
    </row>
    <row r="214" spans="1:15" x14ac:dyDescent="0.25">
      <c r="A214" s="1">
        <v>209</v>
      </c>
      <c r="B214" s="91">
        <v>10501</v>
      </c>
      <c r="C214" s="76" t="s">
        <v>216</v>
      </c>
      <c r="D214" s="76" t="s">
        <v>892</v>
      </c>
      <c r="E214" s="76" t="s">
        <v>885</v>
      </c>
      <c r="F214" s="76" t="s">
        <v>888</v>
      </c>
      <c r="G214" s="76">
        <v>4</v>
      </c>
      <c r="O214" s="92"/>
    </row>
    <row r="215" spans="1:15" x14ac:dyDescent="0.25">
      <c r="A215" s="1">
        <v>210</v>
      </c>
      <c r="B215" s="91">
        <v>10502</v>
      </c>
      <c r="C215" s="76" t="s">
        <v>216</v>
      </c>
      <c r="D215" s="76" t="s">
        <v>892</v>
      </c>
      <c r="E215" s="76" t="s">
        <v>885</v>
      </c>
      <c r="F215" s="76" t="s">
        <v>888</v>
      </c>
      <c r="G215" s="76">
        <v>4</v>
      </c>
      <c r="O215" s="92"/>
    </row>
    <row r="216" spans="1:15" x14ac:dyDescent="0.25">
      <c r="A216" s="1">
        <v>211</v>
      </c>
      <c r="B216" s="91">
        <v>10503</v>
      </c>
      <c r="C216" s="76" t="s">
        <v>216</v>
      </c>
      <c r="D216" s="76" t="s">
        <v>892</v>
      </c>
      <c r="E216" s="76" t="s">
        <v>885</v>
      </c>
      <c r="F216" s="76" t="s">
        <v>888</v>
      </c>
      <c r="G216" s="76">
        <v>4</v>
      </c>
      <c r="O216" s="92"/>
    </row>
    <row r="217" spans="1:15" x14ac:dyDescent="0.25">
      <c r="A217" s="1">
        <v>212</v>
      </c>
      <c r="B217" s="91">
        <v>10504</v>
      </c>
      <c r="C217" s="76" t="s">
        <v>216</v>
      </c>
      <c r="D217" s="76" t="s">
        <v>892</v>
      </c>
      <c r="E217" s="76" t="s">
        <v>885</v>
      </c>
      <c r="F217" s="76" t="s">
        <v>888</v>
      </c>
      <c r="G217" s="76">
        <v>4</v>
      </c>
      <c r="O217" s="92"/>
    </row>
    <row r="218" spans="1:15" x14ac:dyDescent="0.25">
      <c r="A218" s="1">
        <v>213</v>
      </c>
      <c r="B218" s="91">
        <v>10505</v>
      </c>
      <c r="C218" s="76" t="s">
        <v>216</v>
      </c>
      <c r="D218" s="76" t="s">
        <v>893</v>
      </c>
      <c r="E218" s="76" t="s">
        <v>885</v>
      </c>
      <c r="F218" s="76" t="s">
        <v>888</v>
      </c>
      <c r="G218" s="76">
        <v>5</v>
      </c>
      <c r="O218" s="92"/>
    </row>
    <row r="219" spans="1:15" x14ac:dyDescent="0.25">
      <c r="A219" s="1">
        <v>214</v>
      </c>
      <c r="B219" s="91">
        <v>10506</v>
      </c>
      <c r="C219" s="76" t="s">
        <v>216</v>
      </c>
      <c r="D219" s="76" t="s">
        <v>892</v>
      </c>
      <c r="E219" s="76" t="s">
        <v>885</v>
      </c>
      <c r="F219" s="76" t="s">
        <v>888</v>
      </c>
      <c r="G219" s="76">
        <v>4</v>
      </c>
      <c r="O219" s="92"/>
    </row>
    <row r="220" spans="1:15" x14ac:dyDescent="0.25">
      <c r="A220" s="1">
        <v>215</v>
      </c>
      <c r="B220" s="91">
        <v>10507</v>
      </c>
      <c r="C220" s="76" t="s">
        <v>216</v>
      </c>
      <c r="D220" s="76" t="s">
        <v>892</v>
      </c>
      <c r="E220" s="76" t="s">
        <v>885</v>
      </c>
      <c r="F220" s="76" t="s">
        <v>888</v>
      </c>
      <c r="G220" s="76">
        <v>4</v>
      </c>
      <c r="O220" s="92"/>
    </row>
    <row r="221" spans="1:15" x14ac:dyDescent="0.25">
      <c r="A221" s="1">
        <v>216</v>
      </c>
      <c r="B221" s="91">
        <v>10509</v>
      </c>
      <c r="C221" s="76" t="s">
        <v>218</v>
      </c>
      <c r="D221" s="76" t="s">
        <v>893</v>
      </c>
      <c r="E221" s="76" t="s">
        <v>885</v>
      </c>
      <c r="F221" s="76" t="s">
        <v>888</v>
      </c>
      <c r="G221" s="76">
        <v>5</v>
      </c>
      <c r="O221" s="92"/>
    </row>
    <row r="222" spans="1:15" x14ac:dyDescent="0.25">
      <c r="A222" s="1">
        <v>217</v>
      </c>
      <c r="B222" s="91">
        <v>10510</v>
      </c>
      <c r="C222" s="76" t="s">
        <v>216</v>
      </c>
      <c r="D222" s="76" t="s">
        <v>892</v>
      </c>
      <c r="E222" s="76" t="s">
        <v>885</v>
      </c>
      <c r="F222" s="76" t="s">
        <v>888</v>
      </c>
      <c r="G222" s="76">
        <v>4</v>
      </c>
      <c r="O222" s="92"/>
    </row>
    <row r="223" spans="1:15" x14ac:dyDescent="0.25">
      <c r="A223" s="1">
        <v>218</v>
      </c>
      <c r="B223" s="91">
        <v>10511</v>
      </c>
      <c r="C223" s="76" t="s">
        <v>216</v>
      </c>
      <c r="D223" s="76" t="s">
        <v>892</v>
      </c>
      <c r="E223" s="76" t="s">
        <v>885</v>
      </c>
      <c r="F223" s="76" t="s">
        <v>888</v>
      </c>
      <c r="G223" s="76">
        <v>4</v>
      </c>
      <c r="O223" s="92"/>
    </row>
    <row r="224" spans="1:15" x14ac:dyDescent="0.25">
      <c r="A224" s="1">
        <v>219</v>
      </c>
      <c r="B224" s="91">
        <v>10512</v>
      </c>
      <c r="C224" s="76" t="s">
        <v>218</v>
      </c>
      <c r="D224" s="76" t="s">
        <v>893</v>
      </c>
      <c r="E224" s="76" t="s">
        <v>885</v>
      </c>
      <c r="F224" s="76" t="s">
        <v>888</v>
      </c>
      <c r="G224" s="76">
        <v>5</v>
      </c>
      <c r="O224" s="92"/>
    </row>
    <row r="225" spans="1:15" x14ac:dyDescent="0.25">
      <c r="A225" s="1">
        <v>220</v>
      </c>
      <c r="B225" s="91">
        <v>10514</v>
      </c>
      <c r="C225" s="76" t="s">
        <v>216</v>
      </c>
      <c r="D225" s="76" t="s">
        <v>892</v>
      </c>
      <c r="E225" s="76" t="s">
        <v>885</v>
      </c>
      <c r="F225" s="76" t="s">
        <v>888</v>
      </c>
      <c r="G225" s="76">
        <v>4</v>
      </c>
      <c r="O225" s="92"/>
    </row>
    <row r="226" spans="1:15" x14ac:dyDescent="0.25">
      <c r="A226" s="1">
        <v>221</v>
      </c>
      <c r="B226" s="91">
        <v>10516</v>
      </c>
      <c r="C226" s="76" t="s">
        <v>218</v>
      </c>
      <c r="D226" s="76" t="s">
        <v>893</v>
      </c>
      <c r="E226" s="76" t="s">
        <v>885</v>
      </c>
      <c r="F226" s="76" t="s">
        <v>888</v>
      </c>
      <c r="G226" s="76">
        <v>5</v>
      </c>
      <c r="O226" s="92"/>
    </row>
    <row r="227" spans="1:15" x14ac:dyDescent="0.25">
      <c r="A227" s="1">
        <v>222</v>
      </c>
      <c r="B227" s="91">
        <v>10517</v>
      </c>
      <c r="C227" s="76" t="s">
        <v>216</v>
      </c>
      <c r="D227" s="76" t="s">
        <v>892</v>
      </c>
      <c r="E227" s="76" t="s">
        <v>885</v>
      </c>
      <c r="F227" s="76" t="s">
        <v>888</v>
      </c>
      <c r="G227" s="76">
        <v>4</v>
      </c>
      <c r="O227" s="92"/>
    </row>
    <row r="228" spans="1:15" x14ac:dyDescent="0.25">
      <c r="A228" s="1">
        <v>223</v>
      </c>
      <c r="B228" s="91">
        <v>10518</v>
      </c>
      <c r="C228" s="76" t="s">
        <v>216</v>
      </c>
      <c r="D228" s="76" t="s">
        <v>892</v>
      </c>
      <c r="E228" s="76" t="s">
        <v>885</v>
      </c>
      <c r="F228" s="76" t="s">
        <v>888</v>
      </c>
      <c r="G228" s="76">
        <v>4</v>
      </c>
      <c r="O228" s="92"/>
    </row>
    <row r="229" spans="1:15" x14ac:dyDescent="0.25">
      <c r="A229" s="1">
        <v>224</v>
      </c>
      <c r="B229" s="91">
        <v>10519</v>
      </c>
      <c r="C229" s="76" t="s">
        <v>216</v>
      </c>
      <c r="D229" s="76" t="s">
        <v>892</v>
      </c>
      <c r="E229" s="76" t="s">
        <v>885</v>
      </c>
      <c r="F229" s="76" t="s">
        <v>888</v>
      </c>
      <c r="G229" s="76">
        <v>4</v>
      </c>
      <c r="O229" s="92"/>
    </row>
    <row r="230" spans="1:15" x14ac:dyDescent="0.25">
      <c r="A230" s="1">
        <v>225</v>
      </c>
      <c r="B230" s="91">
        <v>10520</v>
      </c>
      <c r="C230" s="76" t="s">
        <v>216</v>
      </c>
      <c r="D230" s="76" t="s">
        <v>892</v>
      </c>
      <c r="E230" s="76" t="s">
        <v>885</v>
      </c>
      <c r="F230" s="76" t="s">
        <v>888</v>
      </c>
      <c r="G230" s="76">
        <v>4</v>
      </c>
      <c r="O230" s="92"/>
    </row>
    <row r="231" spans="1:15" x14ac:dyDescent="0.25">
      <c r="A231" s="1">
        <v>226</v>
      </c>
      <c r="B231" s="91">
        <v>10521</v>
      </c>
      <c r="C231" s="76" t="s">
        <v>216</v>
      </c>
      <c r="D231" s="76" t="s">
        <v>892</v>
      </c>
      <c r="E231" s="76" t="s">
        <v>885</v>
      </c>
      <c r="F231" s="76" t="s">
        <v>888</v>
      </c>
      <c r="G231" s="76">
        <v>4</v>
      </c>
      <c r="O231" s="92"/>
    </row>
    <row r="232" spans="1:15" x14ac:dyDescent="0.25">
      <c r="A232" s="1">
        <v>227</v>
      </c>
      <c r="B232" s="91">
        <v>10522</v>
      </c>
      <c r="C232" s="76" t="s">
        <v>216</v>
      </c>
      <c r="D232" s="76" t="s">
        <v>892</v>
      </c>
      <c r="E232" s="76" t="s">
        <v>885</v>
      </c>
      <c r="F232" s="76" t="s">
        <v>888</v>
      </c>
      <c r="G232" s="76">
        <v>4</v>
      </c>
      <c r="O232" s="92"/>
    </row>
    <row r="233" spans="1:15" x14ac:dyDescent="0.25">
      <c r="A233" s="1">
        <v>228</v>
      </c>
      <c r="B233" s="91">
        <v>10523</v>
      </c>
      <c r="C233" s="76" t="s">
        <v>216</v>
      </c>
      <c r="D233" s="76" t="s">
        <v>892</v>
      </c>
      <c r="E233" s="76" t="s">
        <v>885</v>
      </c>
      <c r="F233" s="76" t="s">
        <v>888</v>
      </c>
      <c r="G233" s="76">
        <v>4</v>
      </c>
      <c r="O233" s="92"/>
    </row>
    <row r="234" spans="1:15" x14ac:dyDescent="0.25">
      <c r="A234" s="1">
        <v>229</v>
      </c>
      <c r="B234" s="91">
        <v>10524</v>
      </c>
      <c r="C234" s="76" t="s">
        <v>218</v>
      </c>
      <c r="D234" s="76" t="s">
        <v>893</v>
      </c>
      <c r="E234" s="76" t="s">
        <v>885</v>
      </c>
      <c r="F234" s="76" t="s">
        <v>888</v>
      </c>
      <c r="G234" s="76">
        <v>5</v>
      </c>
      <c r="O234" s="92"/>
    </row>
    <row r="235" spans="1:15" x14ac:dyDescent="0.25">
      <c r="A235" s="1">
        <v>230</v>
      </c>
      <c r="B235" s="91">
        <v>10526</v>
      </c>
      <c r="C235" s="76" t="s">
        <v>216</v>
      </c>
      <c r="D235" s="76" t="s">
        <v>892</v>
      </c>
      <c r="E235" s="76" t="s">
        <v>885</v>
      </c>
      <c r="F235" s="76" t="s">
        <v>888</v>
      </c>
      <c r="G235" s="76">
        <v>4</v>
      </c>
      <c r="O235" s="92"/>
    </row>
    <row r="236" spans="1:15" x14ac:dyDescent="0.25">
      <c r="A236" s="1">
        <v>231</v>
      </c>
      <c r="B236" s="91">
        <v>10527</v>
      </c>
      <c r="C236" s="76" t="s">
        <v>216</v>
      </c>
      <c r="D236" s="76" t="s">
        <v>892</v>
      </c>
      <c r="E236" s="76" t="s">
        <v>885</v>
      </c>
      <c r="F236" s="76" t="s">
        <v>888</v>
      </c>
      <c r="G236" s="76">
        <v>4</v>
      </c>
      <c r="O236" s="92"/>
    </row>
    <row r="237" spans="1:15" x14ac:dyDescent="0.25">
      <c r="A237" s="1">
        <v>232</v>
      </c>
      <c r="B237" s="91">
        <v>10528</v>
      </c>
      <c r="C237" s="76" t="s">
        <v>216</v>
      </c>
      <c r="D237" s="76" t="s">
        <v>892</v>
      </c>
      <c r="E237" s="76" t="s">
        <v>885</v>
      </c>
      <c r="F237" s="76" t="s">
        <v>888</v>
      </c>
      <c r="G237" s="76">
        <v>4</v>
      </c>
      <c r="O237" s="92"/>
    </row>
    <row r="238" spans="1:15" x14ac:dyDescent="0.25">
      <c r="A238" s="1">
        <v>233</v>
      </c>
      <c r="B238" s="91">
        <v>10530</v>
      </c>
      <c r="C238" s="76" t="s">
        <v>216</v>
      </c>
      <c r="D238" s="76" t="s">
        <v>892</v>
      </c>
      <c r="E238" s="76" t="s">
        <v>885</v>
      </c>
      <c r="F238" s="76" t="s">
        <v>888</v>
      </c>
      <c r="G238" s="76">
        <v>4</v>
      </c>
      <c r="O238" s="92"/>
    </row>
    <row r="239" spans="1:15" x14ac:dyDescent="0.25">
      <c r="A239" s="1">
        <v>234</v>
      </c>
      <c r="B239" s="91">
        <v>10532</v>
      </c>
      <c r="C239" s="76" t="s">
        <v>216</v>
      </c>
      <c r="D239" s="76" t="s">
        <v>892</v>
      </c>
      <c r="E239" s="76" t="s">
        <v>885</v>
      </c>
      <c r="F239" s="76" t="s">
        <v>888</v>
      </c>
      <c r="G239" s="76">
        <v>4</v>
      </c>
      <c r="O239" s="92"/>
    </row>
    <row r="240" spans="1:15" x14ac:dyDescent="0.25">
      <c r="A240" s="1">
        <v>235</v>
      </c>
      <c r="B240" s="91">
        <v>10533</v>
      </c>
      <c r="C240" s="76" t="s">
        <v>216</v>
      </c>
      <c r="D240" s="76" t="s">
        <v>892</v>
      </c>
      <c r="E240" s="76" t="s">
        <v>885</v>
      </c>
      <c r="F240" s="76" t="s">
        <v>888</v>
      </c>
      <c r="G240" s="76">
        <v>4</v>
      </c>
      <c r="O240" s="92"/>
    </row>
    <row r="241" spans="1:15" x14ac:dyDescent="0.25">
      <c r="A241" s="1">
        <v>236</v>
      </c>
      <c r="B241" s="91">
        <v>10535</v>
      </c>
      <c r="C241" s="76" t="s">
        <v>216</v>
      </c>
      <c r="D241" s="76" t="s">
        <v>892</v>
      </c>
      <c r="E241" s="76" t="s">
        <v>885</v>
      </c>
      <c r="F241" s="76" t="s">
        <v>888</v>
      </c>
      <c r="G241" s="76">
        <v>4</v>
      </c>
      <c r="O241" s="92"/>
    </row>
    <row r="242" spans="1:15" x14ac:dyDescent="0.25">
      <c r="A242" s="1">
        <v>237</v>
      </c>
      <c r="B242" s="91">
        <v>10536</v>
      </c>
      <c r="C242" s="76" t="s">
        <v>216</v>
      </c>
      <c r="D242" s="76" t="s">
        <v>892</v>
      </c>
      <c r="E242" s="76" t="s">
        <v>885</v>
      </c>
      <c r="F242" s="76" t="s">
        <v>888</v>
      </c>
      <c r="G242" s="76">
        <v>4</v>
      </c>
      <c r="O242" s="92"/>
    </row>
    <row r="243" spans="1:15" x14ac:dyDescent="0.25">
      <c r="A243" s="1">
        <v>238</v>
      </c>
      <c r="B243" s="91">
        <v>10537</v>
      </c>
      <c r="C243" s="76" t="s">
        <v>218</v>
      </c>
      <c r="D243" s="76" t="s">
        <v>893</v>
      </c>
      <c r="E243" s="76" t="s">
        <v>885</v>
      </c>
      <c r="F243" s="76" t="s">
        <v>888</v>
      </c>
      <c r="G243" s="76">
        <v>5</v>
      </c>
      <c r="O243" s="92"/>
    </row>
    <row r="244" spans="1:15" x14ac:dyDescent="0.25">
      <c r="A244" s="1">
        <v>239</v>
      </c>
      <c r="B244" s="91">
        <v>10538</v>
      </c>
      <c r="C244" s="76" t="s">
        <v>216</v>
      </c>
      <c r="D244" s="76" t="s">
        <v>892</v>
      </c>
      <c r="E244" s="76" t="s">
        <v>885</v>
      </c>
      <c r="F244" s="76" t="s">
        <v>888</v>
      </c>
      <c r="G244" s="76">
        <v>4</v>
      </c>
      <c r="O244" s="92"/>
    </row>
    <row r="245" spans="1:15" x14ac:dyDescent="0.25">
      <c r="A245" s="1">
        <v>240</v>
      </c>
      <c r="B245" s="91">
        <v>10540</v>
      </c>
      <c r="C245" s="76" t="s">
        <v>216</v>
      </c>
      <c r="D245" s="76" t="s">
        <v>892</v>
      </c>
      <c r="E245" s="76" t="s">
        <v>885</v>
      </c>
      <c r="F245" s="76" t="s">
        <v>888</v>
      </c>
      <c r="G245" s="76">
        <v>4</v>
      </c>
      <c r="O245" s="92"/>
    </row>
    <row r="246" spans="1:15" x14ac:dyDescent="0.25">
      <c r="A246" s="1">
        <v>241</v>
      </c>
      <c r="B246" s="91">
        <v>10541</v>
      </c>
      <c r="C246" s="76" t="s">
        <v>218</v>
      </c>
      <c r="D246" s="76" t="s">
        <v>893</v>
      </c>
      <c r="E246" s="76" t="s">
        <v>885</v>
      </c>
      <c r="F246" s="76" t="s">
        <v>888</v>
      </c>
      <c r="G246" s="76">
        <v>5</v>
      </c>
      <c r="O246" s="92"/>
    </row>
    <row r="247" spans="1:15" x14ac:dyDescent="0.25">
      <c r="A247" s="1">
        <v>242</v>
      </c>
      <c r="B247" s="91">
        <v>10542</v>
      </c>
      <c r="C247" s="76" t="s">
        <v>218</v>
      </c>
      <c r="D247" s="76" t="s">
        <v>893</v>
      </c>
      <c r="E247" s="76" t="s">
        <v>885</v>
      </c>
      <c r="F247" s="76" t="s">
        <v>888</v>
      </c>
      <c r="G247" s="76">
        <v>5</v>
      </c>
      <c r="O247" s="92"/>
    </row>
    <row r="248" spans="1:15" x14ac:dyDescent="0.25">
      <c r="A248" s="1">
        <v>243</v>
      </c>
      <c r="B248" s="91">
        <v>10543</v>
      </c>
      <c r="C248" s="76" t="s">
        <v>216</v>
      </c>
      <c r="D248" s="76" t="s">
        <v>892</v>
      </c>
      <c r="E248" s="76" t="s">
        <v>885</v>
      </c>
      <c r="F248" s="76" t="s">
        <v>888</v>
      </c>
      <c r="G248" s="76">
        <v>4</v>
      </c>
      <c r="O248" s="92"/>
    </row>
    <row r="249" spans="1:15" x14ac:dyDescent="0.25">
      <c r="A249" s="1">
        <v>244</v>
      </c>
      <c r="B249" s="91">
        <v>10545</v>
      </c>
      <c r="C249" s="76" t="s">
        <v>216</v>
      </c>
      <c r="D249" s="76" t="s">
        <v>892</v>
      </c>
      <c r="E249" s="76" t="s">
        <v>885</v>
      </c>
      <c r="F249" s="76" t="s">
        <v>888</v>
      </c>
      <c r="G249" s="76">
        <v>4</v>
      </c>
      <c r="O249" s="92"/>
    </row>
    <row r="250" spans="1:15" x14ac:dyDescent="0.25">
      <c r="A250" s="1">
        <v>245</v>
      </c>
      <c r="B250" s="91">
        <v>10546</v>
      </c>
      <c r="C250" s="76" t="s">
        <v>216</v>
      </c>
      <c r="D250" s="76" t="s">
        <v>892</v>
      </c>
      <c r="E250" s="76" t="s">
        <v>885</v>
      </c>
      <c r="F250" s="76" t="s">
        <v>888</v>
      </c>
      <c r="G250" s="76">
        <v>4</v>
      </c>
      <c r="O250" s="92"/>
    </row>
    <row r="251" spans="1:15" x14ac:dyDescent="0.25">
      <c r="A251" s="1">
        <v>246</v>
      </c>
      <c r="B251" s="91">
        <v>10547</v>
      </c>
      <c r="C251" s="76" t="s">
        <v>216</v>
      </c>
      <c r="D251" s="76" t="s">
        <v>892</v>
      </c>
      <c r="E251" s="76" t="s">
        <v>885</v>
      </c>
      <c r="F251" s="76" t="s">
        <v>888</v>
      </c>
      <c r="G251" s="76">
        <v>4</v>
      </c>
      <c r="O251" s="92"/>
    </row>
    <row r="252" spans="1:15" x14ac:dyDescent="0.25">
      <c r="A252" s="1">
        <v>247</v>
      </c>
      <c r="B252" s="91">
        <v>10548</v>
      </c>
      <c r="C252" s="76" t="s">
        <v>216</v>
      </c>
      <c r="D252" s="76" t="s">
        <v>892</v>
      </c>
      <c r="E252" s="76" t="s">
        <v>885</v>
      </c>
      <c r="F252" s="76" t="s">
        <v>888</v>
      </c>
      <c r="G252" s="76">
        <v>4</v>
      </c>
      <c r="O252" s="92"/>
    </row>
    <row r="253" spans="1:15" x14ac:dyDescent="0.25">
      <c r="A253" s="1">
        <v>248</v>
      </c>
      <c r="B253" s="91">
        <v>10549</v>
      </c>
      <c r="C253" s="76" t="s">
        <v>216</v>
      </c>
      <c r="D253" s="76" t="s">
        <v>892</v>
      </c>
      <c r="E253" s="76" t="s">
        <v>885</v>
      </c>
      <c r="F253" s="76" t="s">
        <v>888</v>
      </c>
      <c r="G253" s="76">
        <v>4</v>
      </c>
      <c r="O253" s="92"/>
    </row>
    <row r="254" spans="1:15" x14ac:dyDescent="0.25">
      <c r="A254" s="1">
        <v>249</v>
      </c>
      <c r="B254" s="91">
        <v>10550</v>
      </c>
      <c r="C254" s="76" t="s">
        <v>216</v>
      </c>
      <c r="D254" s="76" t="s">
        <v>892</v>
      </c>
      <c r="E254" s="76" t="s">
        <v>885</v>
      </c>
      <c r="F254" s="76" t="s">
        <v>888</v>
      </c>
      <c r="G254" s="76">
        <v>4</v>
      </c>
      <c r="O254" s="92"/>
    </row>
    <row r="255" spans="1:15" x14ac:dyDescent="0.25">
      <c r="A255" s="1">
        <v>250</v>
      </c>
      <c r="B255" s="91">
        <v>10551</v>
      </c>
      <c r="C255" s="76" t="s">
        <v>216</v>
      </c>
      <c r="D255" s="76" t="s">
        <v>892</v>
      </c>
      <c r="E255" s="76" t="s">
        <v>885</v>
      </c>
      <c r="F255" s="76" t="s">
        <v>888</v>
      </c>
      <c r="G255" s="76">
        <v>4</v>
      </c>
      <c r="O255" s="92"/>
    </row>
    <row r="256" spans="1:15" x14ac:dyDescent="0.25">
      <c r="A256" s="1">
        <v>251</v>
      </c>
      <c r="B256" s="91">
        <v>10552</v>
      </c>
      <c r="C256" s="76" t="s">
        <v>216</v>
      </c>
      <c r="D256" s="76" t="s">
        <v>892</v>
      </c>
      <c r="E256" s="76" t="s">
        <v>885</v>
      </c>
      <c r="F256" s="76" t="s">
        <v>888</v>
      </c>
      <c r="G256" s="76">
        <v>4</v>
      </c>
      <c r="O256" s="92"/>
    </row>
    <row r="257" spans="1:15" x14ac:dyDescent="0.25">
      <c r="A257" s="1">
        <v>252</v>
      </c>
      <c r="B257" s="91">
        <v>10553</v>
      </c>
      <c r="C257" s="76" t="s">
        <v>216</v>
      </c>
      <c r="D257" s="76" t="s">
        <v>892</v>
      </c>
      <c r="E257" s="76" t="s">
        <v>885</v>
      </c>
      <c r="F257" s="76" t="s">
        <v>888</v>
      </c>
      <c r="G257" s="76">
        <v>4</v>
      </c>
      <c r="O257" s="92"/>
    </row>
    <row r="258" spans="1:15" x14ac:dyDescent="0.25">
      <c r="A258" s="1">
        <v>253</v>
      </c>
      <c r="B258" s="91">
        <v>10557</v>
      </c>
      <c r="C258" s="76" t="s">
        <v>216</v>
      </c>
      <c r="D258" s="76" t="s">
        <v>892</v>
      </c>
      <c r="E258" s="76" t="s">
        <v>885</v>
      </c>
      <c r="F258" s="76" t="s">
        <v>888</v>
      </c>
      <c r="G258" s="76">
        <v>4</v>
      </c>
      <c r="O258" s="92"/>
    </row>
    <row r="259" spans="1:15" x14ac:dyDescent="0.25">
      <c r="A259" s="1">
        <v>254</v>
      </c>
      <c r="B259" s="91">
        <v>10558</v>
      </c>
      <c r="C259" s="76" t="s">
        <v>216</v>
      </c>
      <c r="D259" s="76" t="s">
        <v>892</v>
      </c>
      <c r="E259" s="76" t="s">
        <v>885</v>
      </c>
      <c r="F259" s="76" t="s">
        <v>888</v>
      </c>
      <c r="G259" s="76">
        <v>4</v>
      </c>
      <c r="O259" s="92"/>
    </row>
    <row r="260" spans="1:15" x14ac:dyDescent="0.25">
      <c r="A260" s="1">
        <v>255</v>
      </c>
      <c r="B260" s="91">
        <v>10560</v>
      </c>
      <c r="C260" s="76" t="s">
        <v>216</v>
      </c>
      <c r="D260" s="76" t="s">
        <v>892</v>
      </c>
      <c r="E260" s="76" t="s">
        <v>885</v>
      </c>
      <c r="F260" s="76" t="s">
        <v>888</v>
      </c>
      <c r="G260" s="76">
        <v>4</v>
      </c>
      <c r="O260" s="92"/>
    </row>
    <row r="261" spans="1:15" x14ac:dyDescent="0.25">
      <c r="A261" s="1">
        <v>256</v>
      </c>
      <c r="B261" s="91">
        <v>10562</v>
      </c>
      <c r="C261" s="76" t="s">
        <v>216</v>
      </c>
      <c r="D261" s="76" t="s">
        <v>892</v>
      </c>
      <c r="E261" s="76" t="s">
        <v>885</v>
      </c>
      <c r="F261" s="76" t="s">
        <v>888</v>
      </c>
      <c r="G261" s="76">
        <v>4</v>
      </c>
      <c r="O261" s="92"/>
    </row>
    <row r="262" spans="1:15" x14ac:dyDescent="0.25">
      <c r="A262" s="1">
        <v>257</v>
      </c>
      <c r="B262" s="91">
        <v>10566</v>
      </c>
      <c r="C262" s="76" t="s">
        <v>216</v>
      </c>
      <c r="D262" s="76" t="s">
        <v>892</v>
      </c>
      <c r="E262" s="76" t="s">
        <v>885</v>
      </c>
      <c r="F262" s="76" t="s">
        <v>888</v>
      </c>
      <c r="G262" s="76">
        <v>4</v>
      </c>
      <c r="O262" s="92"/>
    </row>
    <row r="263" spans="1:15" x14ac:dyDescent="0.25">
      <c r="A263" s="1">
        <v>258</v>
      </c>
      <c r="B263" s="91">
        <v>10567</v>
      </c>
      <c r="C263" s="76" t="s">
        <v>216</v>
      </c>
      <c r="D263" s="76" t="s">
        <v>892</v>
      </c>
      <c r="E263" s="76" t="s">
        <v>885</v>
      </c>
      <c r="F263" s="76" t="s">
        <v>888</v>
      </c>
      <c r="G263" s="76">
        <v>4</v>
      </c>
      <c r="O263" s="92"/>
    </row>
    <row r="264" spans="1:15" x14ac:dyDescent="0.25">
      <c r="A264" s="1">
        <v>259</v>
      </c>
      <c r="B264" s="91">
        <v>10570</v>
      </c>
      <c r="C264" s="76" t="s">
        <v>216</v>
      </c>
      <c r="D264" s="76" t="s">
        <v>892</v>
      </c>
      <c r="E264" s="76" t="s">
        <v>885</v>
      </c>
      <c r="F264" s="76" t="s">
        <v>888</v>
      </c>
      <c r="G264" s="76">
        <v>4</v>
      </c>
      <c r="O264" s="92"/>
    </row>
    <row r="265" spans="1:15" x14ac:dyDescent="0.25">
      <c r="A265" s="1">
        <v>260</v>
      </c>
      <c r="B265" s="91">
        <v>10571</v>
      </c>
      <c r="C265" s="76" t="s">
        <v>216</v>
      </c>
      <c r="D265" s="76" t="s">
        <v>892</v>
      </c>
      <c r="E265" s="76" t="s">
        <v>885</v>
      </c>
      <c r="F265" s="76" t="s">
        <v>888</v>
      </c>
      <c r="G265" s="76">
        <v>4</v>
      </c>
      <c r="O265" s="92"/>
    </row>
    <row r="266" spans="1:15" x14ac:dyDescent="0.25">
      <c r="A266" s="1">
        <v>261</v>
      </c>
      <c r="B266" s="91">
        <v>10572</v>
      </c>
      <c r="C266" s="76" t="s">
        <v>216</v>
      </c>
      <c r="D266" s="76" t="s">
        <v>892</v>
      </c>
      <c r="E266" s="76" t="s">
        <v>885</v>
      </c>
      <c r="F266" s="76" t="s">
        <v>888</v>
      </c>
      <c r="G266" s="76">
        <v>4</v>
      </c>
      <c r="O266" s="92"/>
    </row>
    <row r="267" spans="1:15" x14ac:dyDescent="0.25">
      <c r="A267" s="1">
        <v>262</v>
      </c>
      <c r="B267" s="91">
        <v>10573</v>
      </c>
      <c r="C267" s="76" t="s">
        <v>216</v>
      </c>
      <c r="D267" s="76" t="s">
        <v>892</v>
      </c>
      <c r="E267" s="76" t="s">
        <v>885</v>
      </c>
      <c r="F267" s="76" t="s">
        <v>888</v>
      </c>
      <c r="G267" s="76">
        <v>4</v>
      </c>
      <c r="O267" s="92"/>
    </row>
    <row r="268" spans="1:15" x14ac:dyDescent="0.25">
      <c r="A268" s="1">
        <v>263</v>
      </c>
      <c r="B268" s="91">
        <v>10576</v>
      </c>
      <c r="C268" s="76" t="s">
        <v>216</v>
      </c>
      <c r="D268" s="76" t="s">
        <v>892</v>
      </c>
      <c r="E268" s="76" t="s">
        <v>885</v>
      </c>
      <c r="F268" s="76" t="s">
        <v>888</v>
      </c>
      <c r="G268" s="76">
        <v>4</v>
      </c>
      <c r="O268" s="92"/>
    </row>
    <row r="269" spans="1:15" x14ac:dyDescent="0.25">
      <c r="A269" s="1">
        <v>264</v>
      </c>
      <c r="B269" s="91">
        <v>10577</v>
      </c>
      <c r="C269" s="76" t="s">
        <v>216</v>
      </c>
      <c r="D269" s="76" t="s">
        <v>892</v>
      </c>
      <c r="E269" s="76" t="s">
        <v>885</v>
      </c>
      <c r="F269" s="76" t="s">
        <v>888</v>
      </c>
      <c r="G269" s="76">
        <v>4</v>
      </c>
      <c r="O269" s="92"/>
    </row>
    <row r="270" spans="1:15" x14ac:dyDescent="0.25">
      <c r="A270" s="1">
        <v>265</v>
      </c>
      <c r="B270" s="91">
        <v>10578</v>
      </c>
      <c r="C270" s="76" t="s">
        <v>216</v>
      </c>
      <c r="D270" s="76" t="s">
        <v>892</v>
      </c>
      <c r="E270" s="76" t="s">
        <v>885</v>
      </c>
      <c r="F270" s="76" t="s">
        <v>888</v>
      </c>
      <c r="G270" s="76">
        <v>4</v>
      </c>
      <c r="O270" s="92"/>
    </row>
    <row r="271" spans="1:15" x14ac:dyDescent="0.25">
      <c r="A271" s="1">
        <v>266</v>
      </c>
      <c r="B271" s="91">
        <v>10579</v>
      </c>
      <c r="C271" s="76" t="s">
        <v>218</v>
      </c>
      <c r="D271" s="76" t="s">
        <v>893</v>
      </c>
      <c r="E271" s="76" t="s">
        <v>885</v>
      </c>
      <c r="F271" s="76" t="s">
        <v>888</v>
      </c>
      <c r="G271" s="76">
        <v>5</v>
      </c>
      <c r="O271" s="92"/>
    </row>
    <row r="272" spans="1:15" x14ac:dyDescent="0.25">
      <c r="A272" s="1">
        <v>267</v>
      </c>
      <c r="B272" s="91">
        <v>10580</v>
      </c>
      <c r="C272" s="76" t="s">
        <v>216</v>
      </c>
      <c r="D272" s="76" t="s">
        <v>892</v>
      </c>
      <c r="E272" s="76" t="s">
        <v>885</v>
      </c>
      <c r="F272" s="76" t="s">
        <v>888</v>
      </c>
      <c r="G272" s="76">
        <v>4</v>
      </c>
      <c r="O272" s="92"/>
    </row>
    <row r="273" spans="1:15" x14ac:dyDescent="0.25">
      <c r="A273" s="1">
        <v>268</v>
      </c>
      <c r="B273" s="91">
        <v>10583</v>
      </c>
      <c r="C273" s="76" t="s">
        <v>216</v>
      </c>
      <c r="D273" s="76" t="s">
        <v>892</v>
      </c>
      <c r="E273" s="76" t="s">
        <v>885</v>
      </c>
      <c r="F273" s="76" t="s">
        <v>888</v>
      </c>
      <c r="G273" s="76">
        <v>4</v>
      </c>
      <c r="O273" s="92"/>
    </row>
    <row r="274" spans="1:15" x14ac:dyDescent="0.25">
      <c r="A274" s="1">
        <v>269</v>
      </c>
      <c r="B274" s="91">
        <v>10587</v>
      </c>
      <c r="C274" s="76" t="s">
        <v>216</v>
      </c>
      <c r="D274" s="76" t="s">
        <v>892</v>
      </c>
      <c r="E274" s="76" t="s">
        <v>885</v>
      </c>
      <c r="F274" s="76" t="s">
        <v>888</v>
      </c>
      <c r="G274" s="76">
        <v>4</v>
      </c>
      <c r="O274" s="92"/>
    </row>
    <row r="275" spans="1:15" x14ac:dyDescent="0.25">
      <c r="A275" s="1">
        <v>270</v>
      </c>
      <c r="B275" s="91">
        <v>10588</v>
      </c>
      <c r="C275" s="76" t="s">
        <v>216</v>
      </c>
      <c r="D275" s="76" t="s">
        <v>892</v>
      </c>
      <c r="E275" s="76" t="s">
        <v>885</v>
      </c>
      <c r="F275" s="76" t="s">
        <v>888</v>
      </c>
      <c r="G275" s="76">
        <v>4</v>
      </c>
      <c r="O275" s="92"/>
    </row>
    <row r="276" spans="1:15" x14ac:dyDescent="0.25">
      <c r="A276" s="1">
        <v>271</v>
      </c>
      <c r="B276" s="91">
        <v>10589</v>
      </c>
      <c r="C276" s="76" t="s">
        <v>216</v>
      </c>
      <c r="D276" s="76" t="s">
        <v>892</v>
      </c>
      <c r="E276" s="76" t="s">
        <v>885</v>
      </c>
      <c r="F276" s="76" t="s">
        <v>888</v>
      </c>
      <c r="G276" s="76">
        <v>4</v>
      </c>
      <c r="O276" s="92"/>
    </row>
    <row r="277" spans="1:15" x14ac:dyDescent="0.25">
      <c r="A277" s="1">
        <v>272</v>
      </c>
      <c r="B277" s="91">
        <v>10590</v>
      </c>
      <c r="C277" s="76" t="s">
        <v>216</v>
      </c>
      <c r="D277" s="76" t="s">
        <v>892</v>
      </c>
      <c r="E277" s="76" t="s">
        <v>885</v>
      </c>
      <c r="F277" s="76" t="s">
        <v>888</v>
      </c>
      <c r="G277" s="76">
        <v>4</v>
      </c>
      <c r="O277" s="92"/>
    </row>
    <row r="278" spans="1:15" x14ac:dyDescent="0.25">
      <c r="A278" s="1">
        <v>273</v>
      </c>
      <c r="B278" s="91">
        <v>10591</v>
      </c>
      <c r="C278" s="76" t="s">
        <v>216</v>
      </c>
      <c r="D278" s="76" t="s">
        <v>892</v>
      </c>
      <c r="E278" s="76" t="s">
        <v>885</v>
      </c>
      <c r="F278" s="76" t="s">
        <v>888</v>
      </c>
      <c r="G278" s="76">
        <v>4</v>
      </c>
      <c r="O278" s="92"/>
    </row>
    <row r="279" spans="1:15" x14ac:dyDescent="0.25">
      <c r="A279" s="1">
        <v>274</v>
      </c>
      <c r="B279" s="91">
        <v>10594</v>
      </c>
      <c r="C279" s="76" t="s">
        <v>216</v>
      </c>
      <c r="D279" s="76" t="s">
        <v>892</v>
      </c>
      <c r="E279" s="76" t="s">
        <v>885</v>
      </c>
      <c r="F279" s="76" t="s">
        <v>888</v>
      </c>
      <c r="G279" s="76">
        <v>4</v>
      </c>
      <c r="O279" s="92"/>
    </row>
    <row r="280" spans="1:15" x14ac:dyDescent="0.25">
      <c r="A280" s="1">
        <v>275</v>
      </c>
      <c r="B280" s="91">
        <v>10595</v>
      </c>
      <c r="C280" s="76" t="s">
        <v>216</v>
      </c>
      <c r="D280" s="76" t="s">
        <v>892</v>
      </c>
      <c r="E280" s="76" t="s">
        <v>885</v>
      </c>
      <c r="F280" s="76" t="s">
        <v>888</v>
      </c>
      <c r="G280" s="76">
        <v>4</v>
      </c>
      <c r="O280" s="92"/>
    </row>
    <row r="281" spans="1:15" x14ac:dyDescent="0.25">
      <c r="A281" s="1">
        <v>276</v>
      </c>
      <c r="B281" s="91">
        <v>10596</v>
      </c>
      <c r="C281" s="76" t="s">
        <v>216</v>
      </c>
      <c r="D281" s="76" t="s">
        <v>892</v>
      </c>
      <c r="E281" s="76" t="s">
        <v>885</v>
      </c>
      <c r="F281" s="76" t="s">
        <v>888</v>
      </c>
      <c r="G281" s="76">
        <v>4</v>
      </c>
      <c r="O281" s="92"/>
    </row>
    <row r="282" spans="1:15" x14ac:dyDescent="0.25">
      <c r="A282" s="1">
        <v>277</v>
      </c>
      <c r="B282" s="91">
        <v>10597</v>
      </c>
      <c r="C282" s="76" t="s">
        <v>216</v>
      </c>
      <c r="D282" s="76" t="s">
        <v>892</v>
      </c>
      <c r="E282" s="76" t="s">
        <v>885</v>
      </c>
      <c r="F282" s="76" t="s">
        <v>888</v>
      </c>
      <c r="G282" s="76">
        <v>4</v>
      </c>
      <c r="O282" s="92"/>
    </row>
    <row r="283" spans="1:15" x14ac:dyDescent="0.25">
      <c r="A283" s="1">
        <v>278</v>
      </c>
      <c r="B283" s="91">
        <v>10598</v>
      </c>
      <c r="C283" s="76" t="s">
        <v>216</v>
      </c>
      <c r="D283" s="76" t="s">
        <v>892</v>
      </c>
      <c r="E283" s="76" t="s">
        <v>885</v>
      </c>
      <c r="F283" s="76" t="s">
        <v>888</v>
      </c>
      <c r="G283" s="76">
        <v>4</v>
      </c>
      <c r="O283" s="92"/>
    </row>
    <row r="284" spans="1:15" x14ac:dyDescent="0.25">
      <c r="A284" s="1">
        <v>279</v>
      </c>
      <c r="B284" s="91">
        <v>10601</v>
      </c>
      <c r="C284" s="76" t="s">
        <v>216</v>
      </c>
      <c r="D284" s="76" t="s">
        <v>892</v>
      </c>
      <c r="E284" s="76" t="s">
        <v>885</v>
      </c>
      <c r="F284" s="76" t="s">
        <v>888</v>
      </c>
      <c r="G284" s="76">
        <v>4</v>
      </c>
      <c r="O284" s="92"/>
    </row>
    <row r="285" spans="1:15" x14ac:dyDescent="0.25">
      <c r="A285" s="1">
        <v>280</v>
      </c>
      <c r="B285" s="91">
        <v>10602</v>
      </c>
      <c r="C285" s="76" t="s">
        <v>216</v>
      </c>
      <c r="D285" s="76" t="s">
        <v>892</v>
      </c>
      <c r="E285" s="76" t="s">
        <v>885</v>
      </c>
      <c r="F285" s="76" t="s">
        <v>888</v>
      </c>
      <c r="G285" s="76">
        <v>4</v>
      </c>
      <c r="O285" s="92"/>
    </row>
    <row r="286" spans="1:15" x14ac:dyDescent="0.25">
      <c r="A286" s="1">
        <v>281</v>
      </c>
      <c r="B286" s="91">
        <v>10603</v>
      </c>
      <c r="C286" s="76" t="s">
        <v>216</v>
      </c>
      <c r="D286" s="76" t="s">
        <v>892</v>
      </c>
      <c r="E286" s="76" t="s">
        <v>885</v>
      </c>
      <c r="F286" s="76" t="s">
        <v>888</v>
      </c>
      <c r="G286" s="76">
        <v>4</v>
      </c>
      <c r="O286" s="92"/>
    </row>
    <row r="287" spans="1:15" x14ac:dyDescent="0.25">
      <c r="A287" s="1">
        <v>282</v>
      </c>
      <c r="B287" s="91">
        <v>10604</v>
      </c>
      <c r="C287" s="76" t="s">
        <v>216</v>
      </c>
      <c r="D287" s="76" t="s">
        <v>892</v>
      </c>
      <c r="E287" s="76" t="s">
        <v>885</v>
      </c>
      <c r="F287" s="76" t="s">
        <v>888</v>
      </c>
      <c r="G287" s="76">
        <v>4</v>
      </c>
      <c r="O287" s="92"/>
    </row>
    <row r="288" spans="1:15" x14ac:dyDescent="0.25">
      <c r="A288" s="1">
        <v>283</v>
      </c>
      <c r="B288" s="91">
        <v>10605</v>
      </c>
      <c r="C288" s="76" t="s">
        <v>216</v>
      </c>
      <c r="D288" s="76" t="s">
        <v>892</v>
      </c>
      <c r="E288" s="76" t="s">
        <v>885</v>
      </c>
      <c r="F288" s="76" t="s">
        <v>888</v>
      </c>
      <c r="G288" s="76">
        <v>4</v>
      </c>
      <c r="O288" s="92"/>
    </row>
    <row r="289" spans="1:15" x14ac:dyDescent="0.25">
      <c r="A289" s="1">
        <v>284</v>
      </c>
      <c r="B289" s="91">
        <v>10606</v>
      </c>
      <c r="C289" s="76" t="s">
        <v>216</v>
      </c>
      <c r="D289" s="76" t="s">
        <v>892</v>
      </c>
      <c r="E289" s="76" t="s">
        <v>885</v>
      </c>
      <c r="F289" s="76" t="s">
        <v>888</v>
      </c>
      <c r="G289" s="76">
        <v>4</v>
      </c>
      <c r="O289" s="92"/>
    </row>
    <row r="290" spans="1:15" x14ac:dyDescent="0.25">
      <c r="A290" s="1">
        <v>285</v>
      </c>
      <c r="B290" s="91">
        <v>10607</v>
      </c>
      <c r="C290" s="76" t="s">
        <v>216</v>
      </c>
      <c r="D290" s="76" t="s">
        <v>892</v>
      </c>
      <c r="E290" s="76" t="s">
        <v>885</v>
      </c>
      <c r="F290" s="76" t="s">
        <v>888</v>
      </c>
      <c r="G290" s="76">
        <v>4</v>
      </c>
      <c r="O290" s="92"/>
    </row>
    <row r="291" spans="1:15" x14ac:dyDescent="0.25">
      <c r="A291" s="1">
        <v>286</v>
      </c>
      <c r="B291" s="91">
        <v>10610</v>
      </c>
      <c r="C291" s="76" t="s">
        <v>216</v>
      </c>
      <c r="D291" s="76" t="s">
        <v>892</v>
      </c>
      <c r="E291" s="76" t="s">
        <v>885</v>
      </c>
      <c r="F291" s="76" t="s">
        <v>888</v>
      </c>
      <c r="G291" s="76">
        <v>4</v>
      </c>
      <c r="O291" s="92"/>
    </row>
    <row r="292" spans="1:15" x14ac:dyDescent="0.25">
      <c r="A292" s="1">
        <v>287</v>
      </c>
      <c r="B292" s="91">
        <v>10701</v>
      </c>
      <c r="C292" s="76" t="s">
        <v>216</v>
      </c>
      <c r="D292" s="76" t="s">
        <v>892</v>
      </c>
      <c r="E292" s="76" t="s">
        <v>885</v>
      </c>
      <c r="F292" s="76" t="s">
        <v>888</v>
      </c>
      <c r="G292" s="76">
        <v>4</v>
      </c>
      <c r="O292" s="92"/>
    </row>
    <row r="293" spans="1:15" x14ac:dyDescent="0.25">
      <c r="A293" s="1">
        <v>288</v>
      </c>
      <c r="B293" s="91">
        <v>10702</v>
      </c>
      <c r="C293" s="76" t="s">
        <v>216</v>
      </c>
      <c r="D293" s="76" t="s">
        <v>892</v>
      </c>
      <c r="E293" s="76" t="s">
        <v>885</v>
      </c>
      <c r="F293" s="76" t="s">
        <v>888</v>
      </c>
      <c r="G293" s="76">
        <v>4</v>
      </c>
      <c r="O293" s="92"/>
    </row>
    <row r="294" spans="1:15" x14ac:dyDescent="0.25">
      <c r="A294" s="1">
        <v>289</v>
      </c>
      <c r="B294" s="91">
        <v>10703</v>
      </c>
      <c r="C294" s="76" t="s">
        <v>216</v>
      </c>
      <c r="D294" s="76" t="s">
        <v>892</v>
      </c>
      <c r="E294" s="76" t="s">
        <v>885</v>
      </c>
      <c r="F294" s="76" t="s">
        <v>888</v>
      </c>
      <c r="G294" s="76">
        <v>4</v>
      </c>
      <c r="O294" s="92"/>
    </row>
    <row r="295" spans="1:15" x14ac:dyDescent="0.25">
      <c r="A295" s="1">
        <v>290</v>
      </c>
      <c r="B295" s="91">
        <v>10704</v>
      </c>
      <c r="C295" s="76" t="s">
        <v>216</v>
      </c>
      <c r="D295" s="76" t="s">
        <v>892</v>
      </c>
      <c r="E295" s="76" t="s">
        <v>885</v>
      </c>
      <c r="F295" s="76" t="s">
        <v>888</v>
      </c>
      <c r="G295" s="76">
        <v>4</v>
      </c>
      <c r="O295" s="92"/>
    </row>
    <row r="296" spans="1:15" x14ac:dyDescent="0.25">
      <c r="A296" s="1">
        <v>291</v>
      </c>
      <c r="B296" s="91">
        <v>10705</v>
      </c>
      <c r="C296" s="76" t="s">
        <v>216</v>
      </c>
      <c r="D296" s="76" t="s">
        <v>892</v>
      </c>
      <c r="E296" s="76" t="s">
        <v>885</v>
      </c>
      <c r="F296" s="76" t="s">
        <v>888</v>
      </c>
      <c r="G296" s="76">
        <v>4</v>
      </c>
      <c r="O296" s="92"/>
    </row>
    <row r="297" spans="1:15" x14ac:dyDescent="0.25">
      <c r="A297" s="1">
        <v>292</v>
      </c>
      <c r="B297" s="91">
        <v>10706</v>
      </c>
      <c r="C297" s="76" t="s">
        <v>216</v>
      </c>
      <c r="D297" s="76" t="s">
        <v>892</v>
      </c>
      <c r="E297" s="76" t="s">
        <v>885</v>
      </c>
      <c r="F297" s="76" t="s">
        <v>888</v>
      </c>
      <c r="G297" s="76">
        <v>4</v>
      </c>
      <c r="O297" s="92"/>
    </row>
    <row r="298" spans="1:15" x14ac:dyDescent="0.25">
      <c r="A298" s="1">
        <v>293</v>
      </c>
      <c r="B298" s="91">
        <v>10707</v>
      </c>
      <c r="C298" s="76" t="s">
        <v>216</v>
      </c>
      <c r="D298" s="76" t="s">
        <v>892</v>
      </c>
      <c r="E298" s="76" t="s">
        <v>885</v>
      </c>
      <c r="F298" s="76" t="s">
        <v>888</v>
      </c>
      <c r="G298" s="76">
        <v>4</v>
      </c>
      <c r="O298" s="92"/>
    </row>
    <row r="299" spans="1:15" x14ac:dyDescent="0.25">
      <c r="A299" s="1">
        <v>294</v>
      </c>
      <c r="B299" s="91">
        <v>10708</v>
      </c>
      <c r="C299" s="76" t="s">
        <v>216</v>
      </c>
      <c r="D299" s="76" t="s">
        <v>892</v>
      </c>
      <c r="E299" s="76" t="s">
        <v>885</v>
      </c>
      <c r="F299" s="76" t="s">
        <v>888</v>
      </c>
      <c r="G299" s="76">
        <v>4</v>
      </c>
      <c r="O299" s="92"/>
    </row>
    <row r="300" spans="1:15" x14ac:dyDescent="0.25">
      <c r="A300" s="1">
        <v>295</v>
      </c>
      <c r="B300" s="91">
        <v>10709</v>
      </c>
      <c r="C300" s="76" t="s">
        <v>216</v>
      </c>
      <c r="D300" s="76" t="s">
        <v>892</v>
      </c>
      <c r="E300" s="76" t="s">
        <v>885</v>
      </c>
      <c r="F300" s="76" t="s">
        <v>888</v>
      </c>
      <c r="G300" s="76">
        <v>4</v>
      </c>
      <c r="O300" s="92"/>
    </row>
    <row r="301" spans="1:15" x14ac:dyDescent="0.25">
      <c r="A301" s="1">
        <v>296</v>
      </c>
      <c r="B301" s="91">
        <v>10710</v>
      </c>
      <c r="C301" s="76" t="s">
        <v>216</v>
      </c>
      <c r="D301" s="76" t="s">
        <v>892</v>
      </c>
      <c r="E301" s="76" t="s">
        <v>885</v>
      </c>
      <c r="F301" s="76" t="s">
        <v>888</v>
      </c>
      <c r="G301" s="76">
        <v>4</v>
      </c>
      <c r="O301" s="92"/>
    </row>
    <row r="302" spans="1:15" x14ac:dyDescent="0.25">
      <c r="A302" s="1">
        <v>297</v>
      </c>
      <c r="B302" s="91">
        <v>10801</v>
      </c>
      <c r="C302" s="76" t="s">
        <v>216</v>
      </c>
      <c r="D302" s="76" t="s">
        <v>892</v>
      </c>
      <c r="E302" s="76" t="s">
        <v>885</v>
      </c>
      <c r="F302" s="76" t="s">
        <v>888</v>
      </c>
      <c r="G302" s="76">
        <v>4</v>
      </c>
      <c r="O302" s="92"/>
    </row>
    <row r="303" spans="1:15" x14ac:dyDescent="0.25">
      <c r="A303" s="1">
        <v>298</v>
      </c>
      <c r="B303" s="91">
        <v>10802</v>
      </c>
      <c r="C303" s="76" t="s">
        <v>216</v>
      </c>
      <c r="D303" s="76" t="s">
        <v>892</v>
      </c>
      <c r="E303" s="76" t="s">
        <v>885</v>
      </c>
      <c r="F303" s="76" t="s">
        <v>888</v>
      </c>
      <c r="G303" s="76">
        <v>4</v>
      </c>
      <c r="O303" s="92"/>
    </row>
    <row r="304" spans="1:15" x14ac:dyDescent="0.25">
      <c r="A304" s="1">
        <v>299</v>
      </c>
      <c r="B304" s="91">
        <v>10803</v>
      </c>
      <c r="C304" s="76" t="s">
        <v>216</v>
      </c>
      <c r="D304" s="76" t="s">
        <v>892</v>
      </c>
      <c r="E304" s="76" t="s">
        <v>885</v>
      </c>
      <c r="F304" s="76" t="s">
        <v>888</v>
      </c>
      <c r="G304" s="76">
        <v>4</v>
      </c>
      <c r="O304" s="92"/>
    </row>
    <row r="305" spans="1:15" x14ac:dyDescent="0.25">
      <c r="A305" s="1">
        <v>300</v>
      </c>
      <c r="B305" s="91">
        <v>10804</v>
      </c>
      <c r="C305" s="76" t="s">
        <v>216</v>
      </c>
      <c r="D305" s="76" t="s">
        <v>892</v>
      </c>
      <c r="E305" s="76" t="s">
        <v>885</v>
      </c>
      <c r="F305" s="76" t="s">
        <v>888</v>
      </c>
      <c r="G305" s="76">
        <v>4</v>
      </c>
      <c r="O305" s="92"/>
    </row>
    <row r="306" spans="1:15" x14ac:dyDescent="0.25">
      <c r="A306" s="1">
        <v>301</v>
      </c>
      <c r="B306" s="91">
        <v>10805</v>
      </c>
      <c r="C306" s="76" t="s">
        <v>216</v>
      </c>
      <c r="D306" s="76" t="s">
        <v>892</v>
      </c>
      <c r="E306" s="76" t="s">
        <v>885</v>
      </c>
      <c r="F306" s="76" t="s">
        <v>888</v>
      </c>
      <c r="G306" s="76">
        <v>4</v>
      </c>
      <c r="O306" s="92"/>
    </row>
    <row r="307" spans="1:15" x14ac:dyDescent="0.25">
      <c r="A307" s="1">
        <v>302</v>
      </c>
      <c r="B307" s="91">
        <v>10901</v>
      </c>
      <c r="C307" s="76" t="s">
        <v>216</v>
      </c>
      <c r="D307" s="76" t="s">
        <v>894</v>
      </c>
      <c r="E307" s="76" t="s">
        <v>885</v>
      </c>
      <c r="F307" s="76" t="s">
        <v>888</v>
      </c>
      <c r="G307" s="76">
        <v>5</v>
      </c>
      <c r="O307" s="92"/>
    </row>
    <row r="308" spans="1:15" x14ac:dyDescent="0.25">
      <c r="A308" s="1">
        <v>303</v>
      </c>
      <c r="B308" s="91">
        <v>10910</v>
      </c>
      <c r="C308" s="76" t="s">
        <v>218</v>
      </c>
      <c r="D308" s="76" t="s">
        <v>895</v>
      </c>
      <c r="E308" s="76" t="s">
        <v>885</v>
      </c>
      <c r="F308" s="76" t="s">
        <v>888</v>
      </c>
      <c r="G308" s="76">
        <v>5</v>
      </c>
      <c r="O308" s="92"/>
    </row>
    <row r="309" spans="1:15" x14ac:dyDescent="0.25">
      <c r="A309" s="1">
        <v>304</v>
      </c>
      <c r="B309" s="91">
        <v>10911</v>
      </c>
      <c r="C309" s="76" t="s">
        <v>218</v>
      </c>
      <c r="D309" s="76" t="s">
        <v>894</v>
      </c>
      <c r="E309" s="76" t="s">
        <v>885</v>
      </c>
      <c r="F309" s="76" t="s">
        <v>888</v>
      </c>
      <c r="G309" s="76">
        <v>5</v>
      </c>
      <c r="O309" s="92"/>
    </row>
    <row r="310" spans="1:15" x14ac:dyDescent="0.25">
      <c r="A310" s="1">
        <v>305</v>
      </c>
      <c r="B310" s="91">
        <v>10912</v>
      </c>
      <c r="C310" s="76" t="s">
        <v>218</v>
      </c>
      <c r="D310" s="76" t="s">
        <v>895</v>
      </c>
      <c r="E310" s="76" t="s">
        <v>885</v>
      </c>
      <c r="F310" s="76" t="s">
        <v>888</v>
      </c>
      <c r="G310" s="76">
        <v>5</v>
      </c>
      <c r="O310" s="92"/>
    </row>
    <row r="311" spans="1:15" x14ac:dyDescent="0.25">
      <c r="A311" s="1">
        <v>306</v>
      </c>
      <c r="B311" s="91">
        <v>10913</v>
      </c>
      <c r="C311" s="76" t="s">
        <v>216</v>
      </c>
      <c r="D311" s="76" t="s">
        <v>894</v>
      </c>
      <c r="E311" s="76" t="s">
        <v>885</v>
      </c>
      <c r="F311" s="76" t="s">
        <v>888</v>
      </c>
      <c r="G311" s="76">
        <v>5</v>
      </c>
      <c r="O311" s="92"/>
    </row>
    <row r="312" spans="1:15" x14ac:dyDescent="0.25">
      <c r="A312" s="1">
        <v>307</v>
      </c>
      <c r="B312" s="91">
        <v>10914</v>
      </c>
      <c r="C312" s="76" t="s">
        <v>218</v>
      </c>
      <c r="D312" s="76" t="s">
        <v>895</v>
      </c>
      <c r="E312" s="76" t="s">
        <v>885</v>
      </c>
      <c r="F312" s="76" t="s">
        <v>888</v>
      </c>
      <c r="G312" s="76">
        <v>5</v>
      </c>
      <c r="O312" s="92"/>
    </row>
    <row r="313" spans="1:15" x14ac:dyDescent="0.25">
      <c r="A313" s="1">
        <v>308</v>
      </c>
      <c r="B313" s="91">
        <v>10915</v>
      </c>
      <c r="C313" s="76" t="s">
        <v>218</v>
      </c>
      <c r="D313" s="76" t="s">
        <v>895</v>
      </c>
      <c r="E313" s="76" t="s">
        <v>885</v>
      </c>
      <c r="F313" s="76" t="s">
        <v>888</v>
      </c>
      <c r="G313" s="76">
        <v>5</v>
      </c>
      <c r="O313" s="92"/>
    </row>
    <row r="314" spans="1:15" x14ac:dyDescent="0.25">
      <c r="A314" s="1">
        <v>309</v>
      </c>
      <c r="B314" s="91">
        <v>10916</v>
      </c>
      <c r="C314" s="76" t="s">
        <v>218</v>
      </c>
      <c r="D314" s="76" t="s">
        <v>895</v>
      </c>
      <c r="E314" s="76" t="s">
        <v>885</v>
      </c>
      <c r="F314" s="76" t="s">
        <v>888</v>
      </c>
      <c r="G314" s="76">
        <v>5</v>
      </c>
      <c r="O314" s="92"/>
    </row>
    <row r="315" spans="1:15" x14ac:dyDescent="0.25">
      <c r="A315" s="1">
        <v>310</v>
      </c>
      <c r="B315" s="91">
        <v>10917</v>
      </c>
      <c r="C315" s="76" t="s">
        <v>218</v>
      </c>
      <c r="D315" s="76" t="s">
        <v>895</v>
      </c>
      <c r="E315" s="76" t="s">
        <v>885</v>
      </c>
      <c r="F315" s="76" t="s">
        <v>888</v>
      </c>
      <c r="G315" s="76">
        <v>5</v>
      </c>
      <c r="O315" s="92"/>
    </row>
    <row r="316" spans="1:15" x14ac:dyDescent="0.25">
      <c r="A316" s="1">
        <v>311</v>
      </c>
      <c r="B316" s="91">
        <v>10918</v>
      </c>
      <c r="C316" s="76" t="s">
        <v>218</v>
      </c>
      <c r="D316" s="76" t="s">
        <v>895</v>
      </c>
      <c r="E316" s="76" t="s">
        <v>885</v>
      </c>
      <c r="F316" s="76" t="s">
        <v>888</v>
      </c>
      <c r="G316" s="76">
        <v>5</v>
      </c>
      <c r="O316" s="92"/>
    </row>
    <row r="317" spans="1:15" x14ac:dyDescent="0.25">
      <c r="A317" s="1">
        <v>312</v>
      </c>
      <c r="B317" s="91">
        <v>10919</v>
      </c>
      <c r="C317" s="76" t="s">
        <v>218</v>
      </c>
      <c r="D317" s="76" t="s">
        <v>895</v>
      </c>
      <c r="E317" s="76" t="s">
        <v>885</v>
      </c>
      <c r="F317" s="76" t="s">
        <v>888</v>
      </c>
      <c r="G317" s="76">
        <v>5</v>
      </c>
      <c r="O317" s="92"/>
    </row>
    <row r="318" spans="1:15" x14ac:dyDescent="0.25">
      <c r="A318" s="1">
        <v>313</v>
      </c>
      <c r="B318" s="91">
        <v>10920</v>
      </c>
      <c r="C318" s="76" t="s">
        <v>216</v>
      </c>
      <c r="D318" s="76" t="s">
        <v>894</v>
      </c>
      <c r="E318" s="76" t="s">
        <v>885</v>
      </c>
      <c r="F318" s="76" t="s">
        <v>888</v>
      </c>
      <c r="G318" s="76">
        <v>5</v>
      </c>
      <c r="O318" s="92"/>
    </row>
    <row r="319" spans="1:15" x14ac:dyDescent="0.25">
      <c r="A319" s="1">
        <v>314</v>
      </c>
      <c r="B319" s="91">
        <v>10921</v>
      </c>
      <c r="C319" s="76" t="s">
        <v>218</v>
      </c>
      <c r="D319" s="76" t="s">
        <v>895</v>
      </c>
      <c r="E319" s="76" t="s">
        <v>885</v>
      </c>
      <c r="F319" s="76" t="s">
        <v>888</v>
      </c>
      <c r="G319" s="76">
        <v>5</v>
      </c>
      <c r="O319" s="92"/>
    </row>
    <row r="320" spans="1:15" x14ac:dyDescent="0.25">
      <c r="A320" s="1">
        <v>315</v>
      </c>
      <c r="B320" s="91">
        <v>10922</v>
      </c>
      <c r="C320" s="76" t="s">
        <v>218</v>
      </c>
      <c r="D320" s="76" t="s">
        <v>895</v>
      </c>
      <c r="E320" s="76" t="s">
        <v>885</v>
      </c>
      <c r="F320" s="76" t="s">
        <v>888</v>
      </c>
      <c r="G320" s="76">
        <v>5</v>
      </c>
      <c r="O320" s="92"/>
    </row>
    <row r="321" spans="1:15" x14ac:dyDescent="0.25">
      <c r="A321" s="1">
        <v>316</v>
      </c>
      <c r="B321" s="91">
        <v>10923</v>
      </c>
      <c r="C321" s="76" t="s">
        <v>216</v>
      </c>
      <c r="D321" s="76" t="s">
        <v>894</v>
      </c>
      <c r="E321" s="76" t="s">
        <v>885</v>
      </c>
      <c r="F321" s="76" t="s">
        <v>888</v>
      </c>
      <c r="G321" s="76">
        <v>5</v>
      </c>
      <c r="O321" s="92"/>
    </row>
    <row r="322" spans="1:15" x14ac:dyDescent="0.25">
      <c r="A322" s="1">
        <v>317</v>
      </c>
      <c r="B322" s="91">
        <v>10924</v>
      </c>
      <c r="C322" s="76" t="s">
        <v>218</v>
      </c>
      <c r="D322" s="76" t="s">
        <v>895</v>
      </c>
      <c r="E322" s="76" t="s">
        <v>885</v>
      </c>
      <c r="F322" s="76" t="s">
        <v>888</v>
      </c>
      <c r="G322" s="76">
        <v>5</v>
      </c>
      <c r="O322" s="92"/>
    </row>
    <row r="323" spans="1:15" x14ac:dyDescent="0.25">
      <c r="A323" s="1">
        <v>318</v>
      </c>
      <c r="B323" s="91">
        <v>10925</v>
      </c>
      <c r="C323" s="76" t="s">
        <v>218</v>
      </c>
      <c r="D323" s="76" t="s">
        <v>895</v>
      </c>
      <c r="E323" s="76" t="s">
        <v>885</v>
      </c>
      <c r="F323" s="76" t="s">
        <v>888</v>
      </c>
      <c r="G323" s="76">
        <v>5</v>
      </c>
      <c r="O323" s="92"/>
    </row>
    <row r="324" spans="1:15" x14ac:dyDescent="0.25">
      <c r="A324" s="1">
        <v>319</v>
      </c>
      <c r="B324" s="91">
        <v>10926</v>
      </c>
      <c r="C324" s="76" t="s">
        <v>218</v>
      </c>
      <c r="D324" s="76" t="s">
        <v>895</v>
      </c>
      <c r="E324" s="76" t="s">
        <v>885</v>
      </c>
      <c r="F324" s="76" t="s">
        <v>888</v>
      </c>
      <c r="G324" s="76">
        <v>5</v>
      </c>
      <c r="O324" s="92"/>
    </row>
    <row r="325" spans="1:15" x14ac:dyDescent="0.25">
      <c r="A325" s="1">
        <v>320</v>
      </c>
      <c r="B325" s="91">
        <v>10927</v>
      </c>
      <c r="C325" s="76" t="s">
        <v>216</v>
      </c>
      <c r="D325" s="76" t="s">
        <v>894</v>
      </c>
      <c r="E325" s="76" t="s">
        <v>885</v>
      </c>
      <c r="F325" s="76" t="s">
        <v>888</v>
      </c>
      <c r="G325" s="76">
        <v>5</v>
      </c>
      <c r="O325" s="92"/>
    </row>
    <row r="326" spans="1:15" x14ac:dyDescent="0.25">
      <c r="A326" s="1">
        <v>321</v>
      </c>
      <c r="B326" s="91">
        <v>10928</v>
      </c>
      <c r="C326" s="76" t="s">
        <v>218</v>
      </c>
      <c r="D326" s="76" t="s">
        <v>895</v>
      </c>
      <c r="E326" s="76" t="s">
        <v>885</v>
      </c>
      <c r="F326" s="76" t="s">
        <v>888</v>
      </c>
      <c r="G326" s="76">
        <v>5</v>
      </c>
      <c r="O326" s="92"/>
    </row>
    <row r="327" spans="1:15" x14ac:dyDescent="0.25">
      <c r="A327" s="1">
        <v>322</v>
      </c>
      <c r="B327" s="91">
        <v>10930</v>
      </c>
      <c r="C327" s="76" t="s">
        <v>218</v>
      </c>
      <c r="D327" s="76" t="s">
        <v>895</v>
      </c>
      <c r="E327" s="76" t="s">
        <v>885</v>
      </c>
      <c r="F327" s="76" t="s">
        <v>888</v>
      </c>
      <c r="G327" s="76">
        <v>5</v>
      </c>
      <c r="O327" s="92"/>
    </row>
    <row r="328" spans="1:15" x14ac:dyDescent="0.25">
      <c r="A328" s="1">
        <v>323</v>
      </c>
      <c r="B328" s="91">
        <v>10931</v>
      </c>
      <c r="C328" s="76" t="s">
        <v>216</v>
      </c>
      <c r="D328" s="76" t="s">
        <v>894</v>
      </c>
      <c r="E328" s="76" t="s">
        <v>885</v>
      </c>
      <c r="F328" s="76" t="s">
        <v>888</v>
      </c>
      <c r="G328" s="76">
        <v>5</v>
      </c>
      <c r="O328" s="92"/>
    </row>
    <row r="329" spans="1:15" x14ac:dyDescent="0.25">
      <c r="A329" s="1">
        <v>324</v>
      </c>
      <c r="B329" s="91">
        <v>10932</v>
      </c>
      <c r="C329" s="76" t="s">
        <v>218</v>
      </c>
      <c r="D329" s="76" t="s">
        <v>895</v>
      </c>
      <c r="E329" s="76" t="s">
        <v>885</v>
      </c>
      <c r="F329" s="76" t="s">
        <v>888</v>
      </c>
      <c r="G329" s="76">
        <v>5</v>
      </c>
      <c r="O329" s="92"/>
    </row>
    <row r="330" spans="1:15" x14ac:dyDescent="0.25">
      <c r="A330" s="1">
        <v>325</v>
      </c>
      <c r="B330" s="91">
        <v>10933</v>
      </c>
      <c r="C330" s="76" t="s">
        <v>218</v>
      </c>
      <c r="D330" s="76" t="s">
        <v>895</v>
      </c>
      <c r="E330" s="76" t="s">
        <v>885</v>
      </c>
      <c r="F330" s="76" t="s">
        <v>888</v>
      </c>
      <c r="G330" s="76">
        <v>5</v>
      </c>
      <c r="O330" s="92"/>
    </row>
    <row r="331" spans="1:15" x14ac:dyDescent="0.25">
      <c r="A331" s="1">
        <v>326</v>
      </c>
      <c r="B331" s="91">
        <v>10940</v>
      </c>
      <c r="C331" s="76" t="s">
        <v>218</v>
      </c>
      <c r="D331" s="76" t="s">
        <v>895</v>
      </c>
      <c r="E331" s="76" t="s">
        <v>885</v>
      </c>
      <c r="F331" s="76" t="s">
        <v>888</v>
      </c>
      <c r="G331" s="76">
        <v>5</v>
      </c>
      <c r="O331" s="92"/>
    </row>
    <row r="332" spans="1:15" x14ac:dyDescent="0.25">
      <c r="A332" s="1">
        <v>327</v>
      </c>
      <c r="B332" s="91">
        <v>10941</v>
      </c>
      <c r="C332" s="76" t="s">
        <v>218</v>
      </c>
      <c r="D332" s="76" t="s">
        <v>895</v>
      </c>
      <c r="E332" s="76" t="s">
        <v>885</v>
      </c>
      <c r="F332" s="76" t="s">
        <v>888</v>
      </c>
      <c r="G332" s="76">
        <v>5</v>
      </c>
      <c r="O332" s="92"/>
    </row>
    <row r="333" spans="1:15" x14ac:dyDescent="0.25">
      <c r="A333" s="1">
        <v>328</v>
      </c>
      <c r="B333" s="91">
        <v>10943</v>
      </c>
      <c r="C333" s="76" t="s">
        <v>218</v>
      </c>
      <c r="D333" s="76" t="s">
        <v>895</v>
      </c>
      <c r="E333" s="76" t="s">
        <v>885</v>
      </c>
      <c r="F333" s="76" t="s">
        <v>888</v>
      </c>
      <c r="G333" s="76">
        <v>5</v>
      </c>
      <c r="O333" s="92"/>
    </row>
    <row r="334" spans="1:15" x14ac:dyDescent="0.25">
      <c r="A334" s="1">
        <v>329</v>
      </c>
      <c r="B334" s="91">
        <v>10949</v>
      </c>
      <c r="C334" s="76" t="s">
        <v>218</v>
      </c>
      <c r="D334" s="76" t="s">
        <v>895</v>
      </c>
      <c r="E334" s="76" t="s">
        <v>885</v>
      </c>
      <c r="F334" s="76" t="s">
        <v>888</v>
      </c>
      <c r="G334" s="76">
        <v>5</v>
      </c>
      <c r="O334" s="92"/>
    </row>
    <row r="335" spans="1:15" x14ac:dyDescent="0.25">
      <c r="A335" s="1">
        <v>330</v>
      </c>
      <c r="B335" s="91">
        <v>10950</v>
      </c>
      <c r="C335" s="76" t="s">
        <v>218</v>
      </c>
      <c r="D335" s="76" t="s">
        <v>895</v>
      </c>
      <c r="E335" s="76" t="s">
        <v>885</v>
      </c>
      <c r="F335" s="76" t="s">
        <v>888</v>
      </c>
      <c r="G335" s="76">
        <v>5</v>
      </c>
      <c r="O335" s="92"/>
    </row>
    <row r="336" spans="1:15" x14ac:dyDescent="0.25">
      <c r="A336" s="1">
        <v>331</v>
      </c>
      <c r="B336" s="91">
        <v>10952</v>
      </c>
      <c r="C336" s="76" t="s">
        <v>216</v>
      </c>
      <c r="D336" s="76" t="s">
        <v>894</v>
      </c>
      <c r="E336" s="76" t="s">
        <v>885</v>
      </c>
      <c r="F336" s="76" t="s">
        <v>888</v>
      </c>
      <c r="G336" s="76">
        <v>5</v>
      </c>
      <c r="O336" s="92"/>
    </row>
    <row r="337" spans="1:15" x14ac:dyDescent="0.25">
      <c r="A337" s="1">
        <v>332</v>
      </c>
      <c r="B337" s="91">
        <v>10953</v>
      </c>
      <c r="C337" s="76" t="s">
        <v>218</v>
      </c>
      <c r="D337" s="76" t="s">
        <v>895</v>
      </c>
      <c r="E337" s="76" t="s">
        <v>885</v>
      </c>
      <c r="F337" s="76" t="s">
        <v>888</v>
      </c>
      <c r="G337" s="76">
        <v>5</v>
      </c>
      <c r="O337" s="92"/>
    </row>
    <row r="338" spans="1:15" x14ac:dyDescent="0.25">
      <c r="A338" s="1">
        <v>333</v>
      </c>
      <c r="B338" s="91">
        <v>10954</v>
      </c>
      <c r="C338" s="76" t="s">
        <v>216</v>
      </c>
      <c r="D338" s="76" t="s">
        <v>894</v>
      </c>
      <c r="E338" s="76" t="s">
        <v>885</v>
      </c>
      <c r="F338" s="76" t="s">
        <v>888</v>
      </c>
      <c r="G338" s="76">
        <v>5</v>
      </c>
      <c r="O338" s="92"/>
    </row>
    <row r="339" spans="1:15" x14ac:dyDescent="0.25">
      <c r="A339" s="1">
        <v>334</v>
      </c>
      <c r="B339" s="91">
        <v>10956</v>
      </c>
      <c r="C339" s="76" t="s">
        <v>216</v>
      </c>
      <c r="D339" s="76" t="s">
        <v>894</v>
      </c>
      <c r="E339" s="76" t="s">
        <v>885</v>
      </c>
      <c r="F339" s="76" t="s">
        <v>888</v>
      </c>
      <c r="G339" s="76">
        <v>5</v>
      </c>
      <c r="O339" s="92"/>
    </row>
    <row r="340" spans="1:15" x14ac:dyDescent="0.25">
      <c r="A340" s="1">
        <v>335</v>
      </c>
      <c r="B340" s="91">
        <v>10958</v>
      </c>
      <c r="C340" s="76" t="s">
        <v>218</v>
      </c>
      <c r="D340" s="76" t="s">
        <v>895</v>
      </c>
      <c r="E340" s="76" t="s">
        <v>885</v>
      </c>
      <c r="F340" s="76" t="s">
        <v>888</v>
      </c>
      <c r="G340" s="76">
        <v>5</v>
      </c>
      <c r="O340" s="92"/>
    </row>
    <row r="341" spans="1:15" x14ac:dyDescent="0.25">
      <c r="A341" s="1">
        <v>336</v>
      </c>
      <c r="B341" s="91">
        <v>10959</v>
      </c>
      <c r="C341" s="76" t="s">
        <v>218</v>
      </c>
      <c r="D341" s="76" t="s">
        <v>895</v>
      </c>
      <c r="E341" s="76" t="s">
        <v>885</v>
      </c>
      <c r="F341" s="76" t="s">
        <v>888</v>
      </c>
      <c r="G341" s="76">
        <v>5</v>
      </c>
      <c r="O341" s="92"/>
    </row>
    <row r="342" spans="1:15" x14ac:dyDescent="0.25">
      <c r="A342" s="1">
        <v>337</v>
      </c>
      <c r="B342" s="91">
        <v>10960</v>
      </c>
      <c r="C342" s="76" t="s">
        <v>216</v>
      </c>
      <c r="D342" s="76" t="s">
        <v>894</v>
      </c>
      <c r="E342" s="76" t="s">
        <v>885</v>
      </c>
      <c r="F342" s="76" t="s">
        <v>888</v>
      </c>
      <c r="G342" s="76">
        <v>5</v>
      </c>
      <c r="O342" s="92"/>
    </row>
    <row r="343" spans="1:15" x14ac:dyDescent="0.25">
      <c r="A343" s="1">
        <v>338</v>
      </c>
      <c r="B343" s="91">
        <v>10962</v>
      </c>
      <c r="C343" s="76" t="s">
        <v>216</v>
      </c>
      <c r="D343" s="76" t="s">
        <v>894</v>
      </c>
      <c r="E343" s="76" t="s">
        <v>885</v>
      </c>
      <c r="F343" s="76" t="s">
        <v>888</v>
      </c>
      <c r="G343" s="76">
        <v>5</v>
      </c>
      <c r="O343" s="92"/>
    </row>
    <row r="344" spans="1:15" x14ac:dyDescent="0.25">
      <c r="A344" s="1">
        <v>339</v>
      </c>
      <c r="B344" s="91">
        <v>10963</v>
      </c>
      <c r="C344" s="76" t="s">
        <v>218</v>
      </c>
      <c r="D344" s="76" t="s">
        <v>895</v>
      </c>
      <c r="E344" s="76" t="s">
        <v>885</v>
      </c>
      <c r="F344" s="76" t="s">
        <v>888</v>
      </c>
      <c r="G344" s="76">
        <v>5</v>
      </c>
      <c r="O344" s="92"/>
    </row>
    <row r="345" spans="1:15" x14ac:dyDescent="0.25">
      <c r="A345" s="1">
        <v>340</v>
      </c>
      <c r="B345" s="91">
        <v>10964</v>
      </c>
      <c r="C345" s="76" t="s">
        <v>216</v>
      </c>
      <c r="D345" s="76" t="s">
        <v>894</v>
      </c>
      <c r="E345" s="76" t="s">
        <v>885</v>
      </c>
      <c r="F345" s="76" t="s">
        <v>888</v>
      </c>
      <c r="G345" s="76">
        <v>5</v>
      </c>
      <c r="O345" s="92"/>
    </row>
    <row r="346" spans="1:15" x14ac:dyDescent="0.25">
      <c r="A346" s="1">
        <v>341</v>
      </c>
      <c r="B346" s="91">
        <v>10965</v>
      </c>
      <c r="C346" s="76" t="s">
        <v>216</v>
      </c>
      <c r="D346" s="76" t="s">
        <v>894</v>
      </c>
      <c r="E346" s="76" t="s">
        <v>885</v>
      </c>
      <c r="F346" s="76" t="s">
        <v>888</v>
      </c>
      <c r="G346" s="76">
        <v>5</v>
      </c>
      <c r="O346" s="92"/>
    </row>
    <row r="347" spans="1:15" x14ac:dyDescent="0.25">
      <c r="A347" s="1">
        <v>342</v>
      </c>
      <c r="B347" s="91">
        <v>10968</v>
      </c>
      <c r="C347" s="76" t="s">
        <v>216</v>
      </c>
      <c r="D347" s="76" t="s">
        <v>894</v>
      </c>
      <c r="E347" s="76" t="s">
        <v>885</v>
      </c>
      <c r="F347" s="76" t="s">
        <v>888</v>
      </c>
      <c r="G347" s="76">
        <v>5</v>
      </c>
      <c r="O347" s="92"/>
    </row>
    <row r="348" spans="1:15" x14ac:dyDescent="0.25">
      <c r="A348" s="1">
        <v>343</v>
      </c>
      <c r="B348" s="91">
        <v>10969</v>
      </c>
      <c r="C348" s="76" t="s">
        <v>218</v>
      </c>
      <c r="D348" s="76" t="s">
        <v>895</v>
      </c>
      <c r="E348" s="76" t="s">
        <v>885</v>
      </c>
      <c r="F348" s="76" t="s">
        <v>888</v>
      </c>
      <c r="G348" s="76">
        <v>5</v>
      </c>
      <c r="O348" s="92"/>
    </row>
    <row r="349" spans="1:15" x14ac:dyDescent="0.25">
      <c r="A349" s="1">
        <v>344</v>
      </c>
      <c r="B349" s="91">
        <v>10970</v>
      </c>
      <c r="C349" s="76" t="s">
        <v>216</v>
      </c>
      <c r="D349" s="76" t="s">
        <v>894</v>
      </c>
      <c r="E349" s="76" t="s">
        <v>885</v>
      </c>
      <c r="F349" s="76" t="s">
        <v>888</v>
      </c>
      <c r="G349" s="76">
        <v>5</v>
      </c>
      <c r="O349" s="92"/>
    </row>
    <row r="350" spans="1:15" x14ac:dyDescent="0.25">
      <c r="A350" s="1">
        <v>345</v>
      </c>
      <c r="B350" s="91">
        <v>10973</v>
      </c>
      <c r="C350" s="76" t="s">
        <v>218</v>
      </c>
      <c r="D350" s="76" t="s">
        <v>895</v>
      </c>
      <c r="E350" s="76" t="s">
        <v>885</v>
      </c>
      <c r="F350" s="76" t="s">
        <v>888</v>
      </c>
      <c r="G350" s="76">
        <v>5</v>
      </c>
      <c r="O350" s="92"/>
    </row>
    <row r="351" spans="1:15" x14ac:dyDescent="0.25">
      <c r="A351" s="1">
        <v>346</v>
      </c>
      <c r="B351" s="91">
        <v>10974</v>
      </c>
      <c r="C351" s="76" t="s">
        <v>216</v>
      </c>
      <c r="D351" s="76" t="s">
        <v>894</v>
      </c>
      <c r="E351" s="76" t="s">
        <v>885</v>
      </c>
      <c r="F351" s="76" t="s">
        <v>888</v>
      </c>
      <c r="G351" s="76">
        <v>5</v>
      </c>
      <c r="O351" s="92"/>
    </row>
    <row r="352" spans="1:15" x14ac:dyDescent="0.25">
      <c r="A352" s="1">
        <v>347</v>
      </c>
      <c r="B352" s="91">
        <v>10975</v>
      </c>
      <c r="C352" s="76" t="s">
        <v>218</v>
      </c>
      <c r="D352" s="76" t="s">
        <v>895</v>
      </c>
      <c r="E352" s="76" t="s">
        <v>885</v>
      </c>
      <c r="F352" s="76" t="s">
        <v>888</v>
      </c>
      <c r="G352" s="76">
        <v>5</v>
      </c>
      <c r="O352" s="92"/>
    </row>
    <row r="353" spans="1:15" x14ac:dyDescent="0.25">
      <c r="A353" s="1">
        <v>348</v>
      </c>
      <c r="B353" s="91">
        <v>10976</v>
      </c>
      <c r="C353" s="76" t="s">
        <v>216</v>
      </c>
      <c r="D353" s="76" t="s">
        <v>894</v>
      </c>
      <c r="E353" s="76" t="s">
        <v>885</v>
      </c>
      <c r="F353" s="76" t="s">
        <v>888</v>
      </c>
      <c r="G353" s="76">
        <v>5</v>
      </c>
      <c r="O353" s="92"/>
    </row>
    <row r="354" spans="1:15" x14ac:dyDescent="0.25">
      <c r="A354" s="1">
        <v>349</v>
      </c>
      <c r="B354" s="91">
        <v>10977</v>
      </c>
      <c r="C354" s="76" t="s">
        <v>216</v>
      </c>
      <c r="D354" s="76" t="s">
        <v>894</v>
      </c>
      <c r="E354" s="76" t="s">
        <v>885</v>
      </c>
      <c r="F354" s="76" t="s">
        <v>888</v>
      </c>
      <c r="G354" s="76">
        <v>5</v>
      </c>
      <c r="O354" s="92"/>
    </row>
    <row r="355" spans="1:15" x14ac:dyDescent="0.25">
      <c r="A355" s="1">
        <v>350</v>
      </c>
      <c r="B355" s="91">
        <v>10979</v>
      </c>
      <c r="C355" s="76" t="s">
        <v>218</v>
      </c>
      <c r="D355" s="76" t="s">
        <v>895</v>
      </c>
      <c r="E355" s="76" t="s">
        <v>885</v>
      </c>
      <c r="F355" s="76" t="s">
        <v>888</v>
      </c>
      <c r="G355" s="76">
        <v>5</v>
      </c>
      <c r="O355" s="92"/>
    </row>
    <row r="356" spans="1:15" x14ac:dyDescent="0.25">
      <c r="A356" s="1">
        <v>351</v>
      </c>
      <c r="B356" s="91">
        <v>10980</v>
      </c>
      <c r="C356" s="76" t="s">
        <v>216</v>
      </c>
      <c r="D356" s="76" t="s">
        <v>894</v>
      </c>
      <c r="E356" s="76" t="s">
        <v>885</v>
      </c>
      <c r="F356" s="76" t="s">
        <v>888</v>
      </c>
      <c r="G356" s="76">
        <v>5</v>
      </c>
      <c r="O356" s="92"/>
    </row>
    <row r="357" spans="1:15" x14ac:dyDescent="0.25">
      <c r="A357" s="1">
        <v>352</v>
      </c>
      <c r="B357" s="91">
        <v>10981</v>
      </c>
      <c r="C357" s="76" t="s">
        <v>218</v>
      </c>
      <c r="D357" s="76" t="s">
        <v>895</v>
      </c>
      <c r="E357" s="76" t="s">
        <v>885</v>
      </c>
      <c r="F357" s="76" t="s">
        <v>888</v>
      </c>
      <c r="G357" s="76">
        <v>5</v>
      </c>
      <c r="O357" s="92"/>
    </row>
    <row r="358" spans="1:15" x14ac:dyDescent="0.25">
      <c r="A358" s="1">
        <v>353</v>
      </c>
      <c r="B358" s="91">
        <v>10982</v>
      </c>
      <c r="C358" s="76" t="s">
        <v>216</v>
      </c>
      <c r="D358" s="76" t="s">
        <v>894</v>
      </c>
      <c r="E358" s="76" t="s">
        <v>885</v>
      </c>
      <c r="F358" s="76" t="s">
        <v>888</v>
      </c>
      <c r="G358" s="76">
        <v>5</v>
      </c>
      <c r="O358" s="92"/>
    </row>
    <row r="359" spans="1:15" x14ac:dyDescent="0.25">
      <c r="A359" s="1">
        <v>354</v>
      </c>
      <c r="B359" s="91">
        <v>10983</v>
      </c>
      <c r="C359" s="76" t="s">
        <v>216</v>
      </c>
      <c r="D359" s="76" t="s">
        <v>894</v>
      </c>
      <c r="E359" s="76" t="s">
        <v>885</v>
      </c>
      <c r="F359" s="76" t="s">
        <v>888</v>
      </c>
      <c r="G359" s="76">
        <v>5</v>
      </c>
      <c r="O359" s="92"/>
    </row>
    <row r="360" spans="1:15" x14ac:dyDescent="0.25">
      <c r="A360" s="1">
        <v>355</v>
      </c>
      <c r="B360" s="91">
        <v>10984</v>
      </c>
      <c r="C360" s="76" t="s">
        <v>216</v>
      </c>
      <c r="D360" s="76" t="s">
        <v>894</v>
      </c>
      <c r="E360" s="76" t="s">
        <v>885</v>
      </c>
      <c r="F360" s="76" t="s">
        <v>888</v>
      </c>
      <c r="G360" s="76">
        <v>5</v>
      </c>
      <c r="O360" s="92"/>
    </row>
    <row r="361" spans="1:15" x14ac:dyDescent="0.25">
      <c r="A361" s="1">
        <v>356</v>
      </c>
      <c r="B361" s="91">
        <v>10985</v>
      </c>
      <c r="C361" s="76" t="s">
        <v>218</v>
      </c>
      <c r="D361" s="76" t="s">
        <v>895</v>
      </c>
      <c r="E361" s="76" t="s">
        <v>885</v>
      </c>
      <c r="F361" s="76" t="s">
        <v>888</v>
      </c>
      <c r="G361" s="76">
        <v>5</v>
      </c>
      <c r="O361" s="92"/>
    </row>
    <row r="362" spans="1:15" x14ac:dyDescent="0.25">
      <c r="A362" s="1">
        <v>357</v>
      </c>
      <c r="B362" s="91">
        <v>10986</v>
      </c>
      <c r="C362" s="76" t="s">
        <v>216</v>
      </c>
      <c r="D362" s="76" t="s">
        <v>894</v>
      </c>
      <c r="E362" s="76" t="s">
        <v>885</v>
      </c>
      <c r="F362" s="76" t="s">
        <v>888</v>
      </c>
      <c r="G362" s="76">
        <v>5</v>
      </c>
      <c r="O362" s="92"/>
    </row>
    <row r="363" spans="1:15" x14ac:dyDescent="0.25">
      <c r="A363" s="1">
        <v>358</v>
      </c>
      <c r="B363" s="91">
        <v>10987</v>
      </c>
      <c r="C363" s="76" t="s">
        <v>218</v>
      </c>
      <c r="D363" s="76" t="s">
        <v>895</v>
      </c>
      <c r="E363" s="76" t="s">
        <v>885</v>
      </c>
      <c r="F363" s="76" t="s">
        <v>888</v>
      </c>
      <c r="G363" s="76">
        <v>5</v>
      </c>
      <c r="O363" s="92"/>
    </row>
    <row r="364" spans="1:15" x14ac:dyDescent="0.25">
      <c r="A364" s="1">
        <v>359</v>
      </c>
      <c r="B364" s="91">
        <v>10988</v>
      </c>
      <c r="C364" s="76" t="s">
        <v>218</v>
      </c>
      <c r="D364" s="76" t="s">
        <v>895</v>
      </c>
      <c r="E364" s="76" t="s">
        <v>885</v>
      </c>
      <c r="F364" s="76" t="s">
        <v>888</v>
      </c>
      <c r="G364" s="76">
        <v>5</v>
      </c>
      <c r="O364" s="92"/>
    </row>
    <row r="365" spans="1:15" x14ac:dyDescent="0.25">
      <c r="A365" s="1">
        <v>360</v>
      </c>
      <c r="B365" s="91">
        <v>10989</v>
      </c>
      <c r="C365" s="76" t="s">
        <v>216</v>
      </c>
      <c r="D365" s="76" t="s">
        <v>894</v>
      </c>
      <c r="E365" s="76" t="s">
        <v>885</v>
      </c>
      <c r="F365" s="76" t="s">
        <v>888</v>
      </c>
      <c r="G365" s="76">
        <v>5</v>
      </c>
      <c r="O365" s="92"/>
    </row>
    <row r="366" spans="1:15" x14ac:dyDescent="0.25">
      <c r="A366" s="1">
        <v>361</v>
      </c>
      <c r="B366" s="91">
        <v>10990</v>
      </c>
      <c r="C366" s="76" t="s">
        <v>218</v>
      </c>
      <c r="D366" s="76" t="s">
        <v>895</v>
      </c>
      <c r="E366" s="76" t="s">
        <v>885</v>
      </c>
      <c r="F366" s="76" t="s">
        <v>888</v>
      </c>
      <c r="G366" s="76">
        <v>5</v>
      </c>
      <c r="O366" s="92"/>
    </row>
    <row r="367" spans="1:15" x14ac:dyDescent="0.25">
      <c r="A367" s="1">
        <v>362</v>
      </c>
      <c r="B367" s="91">
        <v>10992</v>
      </c>
      <c r="C367" s="76" t="s">
        <v>218</v>
      </c>
      <c r="D367" s="76" t="s">
        <v>895</v>
      </c>
      <c r="E367" s="76" t="s">
        <v>885</v>
      </c>
      <c r="F367" s="76" t="s">
        <v>888</v>
      </c>
      <c r="G367" s="76">
        <v>5</v>
      </c>
      <c r="O367" s="92"/>
    </row>
    <row r="368" spans="1:15" x14ac:dyDescent="0.25">
      <c r="A368" s="1">
        <v>363</v>
      </c>
      <c r="B368" s="91">
        <v>10993</v>
      </c>
      <c r="C368" s="76" t="s">
        <v>216</v>
      </c>
      <c r="D368" s="76" t="s">
        <v>894</v>
      </c>
      <c r="E368" s="76" t="s">
        <v>885</v>
      </c>
      <c r="F368" s="76" t="s">
        <v>888</v>
      </c>
      <c r="G368" s="76">
        <v>5</v>
      </c>
      <c r="O368" s="92"/>
    </row>
    <row r="369" spans="1:15" x14ac:dyDescent="0.25">
      <c r="A369" s="1">
        <v>364</v>
      </c>
      <c r="B369" s="91">
        <v>10994</v>
      </c>
      <c r="C369" s="76" t="s">
        <v>216</v>
      </c>
      <c r="D369" s="76" t="s">
        <v>894</v>
      </c>
      <c r="E369" s="76" t="s">
        <v>885</v>
      </c>
      <c r="F369" s="76" t="s">
        <v>888</v>
      </c>
      <c r="G369" s="76">
        <v>5</v>
      </c>
      <c r="O369" s="92"/>
    </row>
    <row r="370" spans="1:15" x14ac:dyDescent="0.25">
      <c r="A370" s="1">
        <v>365</v>
      </c>
      <c r="B370" s="91">
        <v>10996</v>
      </c>
      <c r="C370" s="76" t="s">
        <v>218</v>
      </c>
      <c r="D370" s="76" t="s">
        <v>895</v>
      </c>
      <c r="E370" s="76" t="s">
        <v>885</v>
      </c>
      <c r="F370" s="76" t="s">
        <v>888</v>
      </c>
      <c r="G370" s="76">
        <v>5</v>
      </c>
      <c r="O370" s="92"/>
    </row>
    <row r="371" spans="1:15" x14ac:dyDescent="0.25">
      <c r="A371" s="1">
        <v>366</v>
      </c>
      <c r="B371" s="91">
        <v>10997</v>
      </c>
      <c r="C371" s="76" t="s">
        <v>218</v>
      </c>
      <c r="D371" s="76" t="s">
        <v>895</v>
      </c>
      <c r="E371" s="76" t="s">
        <v>885</v>
      </c>
      <c r="F371" s="76" t="s">
        <v>888</v>
      </c>
      <c r="G371" s="76">
        <v>5</v>
      </c>
      <c r="O371" s="92"/>
    </row>
    <row r="372" spans="1:15" x14ac:dyDescent="0.25">
      <c r="A372" s="1">
        <v>367</v>
      </c>
      <c r="B372" s="91">
        <v>10998</v>
      </c>
      <c r="C372" s="76" t="s">
        <v>218</v>
      </c>
      <c r="D372" s="76" t="s">
        <v>895</v>
      </c>
      <c r="E372" s="76" t="s">
        <v>885</v>
      </c>
      <c r="F372" s="76" t="s">
        <v>888</v>
      </c>
      <c r="G372" s="76">
        <v>5</v>
      </c>
      <c r="O372" s="92"/>
    </row>
    <row r="373" spans="1:15" x14ac:dyDescent="0.25">
      <c r="A373" s="1">
        <v>368</v>
      </c>
      <c r="B373" s="91">
        <v>11001</v>
      </c>
      <c r="C373" s="76" t="s">
        <v>216</v>
      </c>
      <c r="D373" s="76" t="s">
        <v>896</v>
      </c>
      <c r="E373" s="76" t="s">
        <v>885</v>
      </c>
      <c r="F373" s="76" t="s">
        <v>886</v>
      </c>
      <c r="G373" s="76">
        <v>4</v>
      </c>
      <c r="O373" s="92"/>
    </row>
    <row r="374" spans="1:15" x14ac:dyDescent="0.25">
      <c r="A374" s="1">
        <v>369</v>
      </c>
      <c r="B374" s="91">
        <v>11002</v>
      </c>
      <c r="C374" s="76" t="s">
        <v>216</v>
      </c>
      <c r="D374" s="76" t="s">
        <v>896</v>
      </c>
      <c r="E374" s="76" t="s">
        <v>885</v>
      </c>
      <c r="F374" s="76" t="s">
        <v>890</v>
      </c>
      <c r="G374" s="76">
        <v>4</v>
      </c>
      <c r="O374" s="92"/>
    </row>
    <row r="375" spans="1:15" x14ac:dyDescent="0.25">
      <c r="A375" s="1">
        <v>370</v>
      </c>
      <c r="B375" s="91">
        <v>11003</v>
      </c>
      <c r="C375" s="76" t="s">
        <v>216</v>
      </c>
      <c r="D375" s="76" t="s">
        <v>896</v>
      </c>
      <c r="E375" s="76" t="s">
        <v>885</v>
      </c>
      <c r="F375" s="76" t="s">
        <v>886</v>
      </c>
      <c r="G375" s="76">
        <v>4</v>
      </c>
      <c r="O375" s="92"/>
    </row>
    <row r="376" spans="1:15" x14ac:dyDescent="0.25">
      <c r="A376" s="1">
        <v>371</v>
      </c>
      <c r="B376" s="91">
        <v>11004</v>
      </c>
      <c r="C376" s="76" t="s">
        <v>216</v>
      </c>
      <c r="D376" s="76" t="s">
        <v>897</v>
      </c>
      <c r="E376" s="76" t="s">
        <v>885</v>
      </c>
      <c r="F376" s="76" t="s">
        <v>890</v>
      </c>
      <c r="G376" s="76">
        <v>4</v>
      </c>
      <c r="O376" s="92"/>
    </row>
    <row r="377" spans="1:15" x14ac:dyDescent="0.25">
      <c r="A377" s="1">
        <v>372</v>
      </c>
      <c r="B377" s="91">
        <v>11005</v>
      </c>
      <c r="C377" s="76" t="s">
        <v>216</v>
      </c>
      <c r="D377" s="76" t="s">
        <v>897</v>
      </c>
      <c r="E377" s="76" t="s">
        <v>885</v>
      </c>
      <c r="F377" s="76" t="s">
        <v>890</v>
      </c>
      <c r="G377" s="76">
        <v>4</v>
      </c>
      <c r="O377" s="92"/>
    </row>
    <row r="378" spans="1:15" x14ac:dyDescent="0.25">
      <c r="A378" s="1">
        <v>373</v>
      </c>
      <c r="B378" s="91">
        <v>11010</v>
      </c>
      <c r="C378" s="76" t="s">
        <v>216</v>
      </c>
      <c r="D378" s="76" t="s">
        <v>896</v>
      </c>
      <c r="E378" s="76" t="s">
        <v>885</v>
      </c>
      <c r="F378" s="76" t="s">
        <v>886</v>
      </c>
      <c r="G378" s="76">
        <v>4</v>
      </c>
      <c r="O378" s="92"/>
    </row>
    <row r="379" spans="1:15" x14ac:dyDescent="0.25">
      <c r="A379" s="1">
        <v>374</v>
      </c>
      <c r="B379" s="91">
        <v>11020</v>
      </c>
      <c r="C379" s="76" t="s">
        <v>216</v>
      </c>
      <c r="D379" s="76" t="s">
        <v>896</v>
      </c>
      <c r="E379" s="76" t="s">
        <v>885</v>
      </c>
      <c r="F379" s="76" t="s">
        <v>886</v>
      </c>
      <c r="G379" s="76">
        <v>4</v>
      </c>
      <c r="O379" s="92"/>
    </row>
    <row r="380" spans="1:15" x14ac:dyDescent="0.25">
      <c r="A380" s="1">
        <v>375</v>
      </c>
      <c r="B380" s="91">
        <v>11021</v>
      </c>
      <c r="C380" s="76" t="s">
        <v>216</v>
      </c>
      <c r="D380" s="76" t="s">
        <v>896</v>
      </c>
      <c r="E380" s="76" t="s">
        <v>885</v>
      </c>
      <c r="F380" s="76" t="s">
        <v>886</v>
      </c>
      <c r="G380" s="76">
        <v>4</v>
      </c>
      <c r="O380" s="92"/>
    </row>
    <row r="381" spans="1:15" x14ac:dyDescent="0.25">
      <c r="A381" s="1">
        <v>376</v>
      </c>
      <c r="B381" s="91">
        <v>11022</v>
      </c>
      <c r="C381" s="76" t="s">
        <v>216</v>
      </c>
      <c r="D381" s="76" t="s">
        <v>896</v>
      </c>
      <c r="E381" s="76" t="s">
        <v>885</v>
      </c>
      <c r="F381" s="76" t="s">
        <v>886</v>
      </c>
      <c r="G381" s="76">
        <v>4</v>
      </c>
      <c r="O381" s="92"/>
    </row>
    <row r="382" spans="1:15" x14ac:dyDescent="0.25">
      <c r="A382" s="1">
        <v>377</v>
      </c>
      <c r="B382" s="91">
        <v>11023</v>
      </c>
      <c r="C382" s="76" t="s">
        <v>216</v>
      </c>
      <c r="D382" s="76" t="s">
        <v>896</v>
      </c>
      <c r="E382" s="76" t="s">
        <v>885</v>
      </c>
      <c r="F382" s="76" t="s">
        <v>886</v>
      </c>
      <c r="G382" s="76">
        <v>4</v>
      </c>
      <c r="O382" s="92"/>
    </row>
    <row r="383" spans="1:15" x14ac:dyDescent="0.25">
      <c r="A383" s="1">
        <v>378</v>
      </c>
      <c r="B383" s="91">
        <v>11024</v>
      </c>
      <c r="C383" s="76" t="s">
        <v>216</v>
      </c>
      <c r="D383" s="76" t="s">
        <v>896</v>
      </c>
      <c r="E383" s="76" t="s">
        <v>885</v>
      </c>
      <c r="F383" s="76" t="s">
        <v>886</v>
      </c>
      <c r="G383" s="76">
        <v>4</v>
      </c>
      <c r="O383" s="92"/>
    </row>
    <row r="384" spans="1:15" x14ac:dyDescent="0.25">
      <c r="A384" s="1">
        <v>379</v>
      </c>
      <c r="B384" s="91">
        <v>11025</v>
      </c>
      <c r="C384" s="76" t="s">
        <v>216</v>
      </c>
      <c r="D384" s="76" t="s">
        <v>896</v>
      </c>
      <c r="E384" s="76" t="s">
        <v>885</v>
      </c>
      <c r="F384" s="76" t="s">
        <v>886</v>
      </c>
      <c r="G384" s="76">
        <v>4</v>
      </c>
      <c r="O384" s="92"/>
    </row>
    <row r="385" spans="1:15" x14ac:dyDescent="0.25">
      <c r="A385" s="1">
        <v>380</v>
      </c>
      <c r="B385" s="91">
        <v>11026</v>
      </c>
      <c r="C385" s="76" t="s">
        <v>216</v>
      </c>
      <c r="D385" s="76" t="s">
        <v>896</v>
      </c>
      <c r="E385" s="76" t="s">
        <v>885</v>
      </c>
      <c r="F385" s="76" t="s">
        <v>886</v>
      </c>
      <c r="G385" s="76">
        <v>4</v>
      </c>
      <c r="O385" s="92"/>
    </row>
    <row r="386" spans="1:15" x14ac:dyDescent="0.25">
      <c r="A386" s="1">
        <v>381</v>
      </c>
      <c r="B386" s="91">
        <v>11027</v>
      </c>
      <c r="C386" s="76" t="s">
        <v>216</v>
      </c>
      <c r="D386" s="76" t="s">
        <v>896</v>
      </c>
      <c r="E386" s="76" t="s">
        <v>885</v>
      </c>
      <c r="F386" s="76" t="s">
        <v>886</v>
      </c>
      <c r="G386" s="76">
        <v>4</v>
      </c>
      <c r="O386" s="92"/>
    </row>
    <row r="387" spans="1:15" x14ac:dyDescent="0.25">
      <c r="A387" s="1">
        <v>382</v>
      </c>
      <c r="B387" s="91">
        <v>11030</v>
      </c>
      <c r="C387" s="76" t="s">
        <v>216</v>
      </c>
      <c r="D387" s="76" t="s">
        <v>896</v>
      </c>
      <c r="E387" s="76" t="s">
        <v>885</v>
      </c>
      <c r="F387" s="76" t="s">
        <v>886</v>
      </c>
      <c r="G387" s="76">
        <v>4</v>
      </c>
      <c r="O387" s="92"/>
    </row>
    <row r="388" spans="1:15" x14ac:dyDescent="0.25">
      <c r="A388" s="1">
        <v>383</v>
      </c>
      <c r="B388" s="91">
        <v>11040</v>
      </c>
      <c r="C388" s="76" t="s">
        <v>216</v>
      </c>
      <c r="D388" s="76" t="s">
        <v>896</v>
      </c>
      <c r="E388" s="76" t="s">
        <v>885</v>
      </c>
      <c r="F388" s="76" t="s">
        <v>886</v>
      </c>
      <c r="G388" s="76">
        <v>4</v>
      </c>
      <c r="O388" s="92"/>
    </row>
    <row r="389" spans="1:15" x14ac:dyDescent="0.25">
      <c r="A389" s="1">
        <v>384</v>
      </c>
      <c r="B389" s="91">
        <v>11041</v>
      </c>
      <c r="C389" s="76" t="s">
        <v>216</v>
      </c>
      <c r="D389" s="76" t="s">
        <v>896</v>
      </c>
      <c r="E389" s="76" t="s">
        <v>885</v>
      </c>
      <c r="F389" s="76" t="s">
        <v>886</v>
      </c>
      <c r="G389" s="76">
        <v>4</v>
      </c>
      <c r="O389" s="92"/>
    </row>
    <row r="390" spans="1:15" x14ac:dyDescent="0.25">
      <c r="A390" s="1">
        <v>385</v>
      </c>
      <c r="B390" s="91">
        <v>11042</v>
      </c>
      <c r="C390" s="76" t="s">
        <v>216</v>
      </c>
      <c r="D390" s="76" t="s">
        <v>896</v>
      </c>
      <c r="E390" s="76" t="s">
        <v>885</v>
      </c>
      <c r="F390" s="76" t="s">
        <v>886</v>
      </c>
      <c r="G390" s="76">
        <v>4</v>
      </c>
      <c r="O390" s="92"/>
    </row>
    <row r="391" spans="1:15" x14ac:dyDescent="0.25">
      <c r="A391" s="1">
        <v>386</v>
      </c>
      <c r="B391" s="91">
        <v>11043</v>
      </c>
      <c r="C391" s="76" t="s">
        <v>216</v>
      </c>
      <c r="D391" s="76" t="s">
        <v>896</v>
      </c>
      <c r="E391" s="76" t="s">
        <v>885</v>
      </c>
      <c r="F391" s="76" t="s">
        <v>886</v>
      </c>
      <c r="G391" s="76">
        <v>4</v>
      </c>
      <c r="O391" s="92"/>
    </row>
    <row r="392" spans="1:15" x14ac:dyDescent="0.25">
      <c r="A392" s="1">
        <v>387</v>
      </c>
      <c r="B392" s="91">
        <v>11044</v>
      </c>
      <c r="C392" s="76" t="s">
        <v>216</v>
      </c>
      <c r="D392" s="76" t="s">
        <v>896</v>
      </c>
      <c r="E392" s="76" t="s">
        <v>885</v>
      </c>
      <c r="F392" s="76" t="s">
        <v>886</v>
      </c>
      <c r="G392" s="76">
        <v>4</v>
      </c>
      <c r="O392" s="92"/>
    </row>
    <row r="393" spans="1:15" x14ac:dyDescent="0.25">
      <c r="A393" s="1">
        <v>388</v>
      </c>
      <c r="B393" s="91">
        <v>11050</v>
      </c>
      <c r="C393" s="76" t="s">
        <v>216</v>
      </c>
      <c r="D393" s="76" t="s">
        <v>896</v>
      </c>
      <c r="E393" s="76" t="s">
        <v>885</v>
      </c>
      <c r="F393" s="76" t="s">
        <v>886</v>
      </c>
      <c r="G393" s="76">
        <v>4</v>
      </c>
      <c r="O393" s="92"/>
    </row>
    <row r="394" spans="1:15" x14ac:dyDescent="0.25">
      <c r="A394" s="1">
        <v>389</v>
      </c>
      <c r="B394" s="91">
        <v>11051</v>
      </c>
      <c r="C394" s="76" t="s">
        <v>216</v>
      </c>
      <c r="D394" s="76" t="s">
        <v>896</v>
      </c>
      <c r="E394" s="76" t="s">
        <v>885</v>
      </c>
      <c r="F394" s="76" t="s">
        <v>886</v>
      </c>
      <c r="G394" s="76">
        <v>4</v>
      </c>
      <c r="O394" s="92"/>
    </row>
    <row r="395" spans="1:15" x14ac:dyDescent="0.25">
      <c r="A395" s="1">
        <v>390</v>
      </c>
      <c r="B395" s="91">
        <v>11052</v>
      </c>
      <c r="C395" s="76" t="s">
        <v>216</v>
      </c>
      <c r="D395" s="76" t="s">
        <v>896</v>
      </c>
      <c r="E395" s="76" t="s">
        <v>885</v>
      </c>
      <c r="F395" s="76" t="s">
        <v>886</v>
      </c>
      <c r="G395" s="76">
        <v>4</v>
      </c>
      <c r="O395" s="92"/>
    </row>
    <row r="396" spans="1:15" x14ac:dyDescent="0.25">
      <c r="A396" s="1">
        <v>391</v>
      </c>
      <c r="B396" s="91">
        <v>11053</v>
      </c>
      <c r="C396" s="76" t="s">
        <v>216</v>
      </c>
      <c r="D396" s="76" t="s">
        <v>896</v>
      </c>
      <c r="E396" s="76" t="s">
        <v>885</v>
      </c>
      <c r="F396" s="76" t="s">
        <v>886</v>
      </c>
      <c r="G396" s="76">
        <v>4</v>
      </c>
      <c r="O396" s="92"/>
    </row>
    <row r="397" spans="1:15" x14ac:dyDescent="0.25">
      <c r="A397" s="1">
        <v>392</v>
      </c>
      <c r="B397" s="91">
        <v>11054</v>
      </c>
      <c r="C397" s="76" t="s">
        <v>216</v>
      </c>
      <c r="D397" s="76" t="s">
        <v>896</v>
      </c>
      <c r="E397" s="76" t="s">
        <v>885</v>
      </c>
      <c r="F397" s="76" t="s">
        <v>886</v>
      </c>
      <c r="G397" s="76">
        <v>4</v>
      </c>
      <c r="O397" s="92"/>
    </row>
    <row r="398" spans="1:15" x14ac:dyDescent="0.25">
      <c r="A398" s="1">
        <v>393</v>
      </c>
      <c r="B398" s="91">
        <v>11055</v>
      </c>
      <c r="C398" s="76" t="s">
        <v>216</v>
      </c>
      <c r="D398" s="76" t="s">
        <v>896</v>
      </c>
      <c r="E398" s="76" t="s">
        <v>885</v>
      </c>
      <c r="F398" s="76" t="s">
        <v>886</v>
      </c>
      <c r="G398" s="76">
        <v>4</v>
      </c>
      <c r="O398" s="92"/>
    </row>
    <row r="399" spans="1:15" x14ac:dyDescent="0.25">
      <c r="A399" s="1">
        <v>394</v>
      </c>
      <c r="B399" s="91">
        <v>11096</v>
      </c>
      <c r="C399" s="76" t="s">
        <v>216</v>
      </c>
      <c r="D399" s="76" t="s">
        <v>896</v>
      </c>
      <c r="E399" s="76" t="s">
        <v>885</v>
      </c>
      <c r="F399" s="76" t="s">
        <v>886</v>
      </c>
      <c r="G399" s="76">
        <v>4</v>
      </c>
      <c r="O399" s="92"/>
    </row>
    <row r="400" spans="1:15" x14ac:dyDescent="0.25">
      <c r="A400" s="1">
        <v>395</v>
      </c>
      <c r="B400" s="91">
        <v>11099</v>
      </c>
      <c r="C400" s="76" t="s">
        <v>216</v>
      </c>
      <c r="D400" s="76" t="s">
        <v>896</v>
      </c>
      <c r="E400" s="76" t="s">
        <v>885</v>
      </c>
      <c r="F400" s="76" t="s">
        <v>886</v>
      </c>
      <c r="G400" s="76">
        <v>4</v>
      </c>
      <c r="O400" s="92"/>
    </row>
    <row r="401" spans="1:15" x14ac:dyDescent="0.25">
      <c r="A401" s="1">
        <v>396</v>
      </c>
      <c r="B401" s="91">
        <v>11101</v>
      </c>
      <c r="C401" s="76" t="s">
        <v>216</v>
      </c>
      <c r="D401" s="76" t="s">
        <v>897</v>
      </c>
      <c r="E401" s="76" t="s">
        <v>885</v>
      </c>
      <c r="F401" s="76" t="s">
        <v>890</v>
      </c>
      <c r="G401" s="76">
        <v>4</v>
      </c>
      <c r="O401" s="92"/>
    </row>
    <row r="402" spans="1:15" x14ac:dyDescent="0.25">
      <c r="A402" s="1">
        <v>397</v>
      </c>
      <c r="B402" s="91">
        <v>11102</v>
      </c>
      <c r="C402" s="76" t="s">
        <v>216</v>
      </c>
      <c r="D402" s="76" t="s">
        <v>897</v>
      </c>
      <c r="E402" s="76" t="s">
        <v>885</v>
      </c>
      <c r="F402" s="76" t="s">
        <v>890</v>
      </c>
      <c r="G402" s="76">
        <v>4</v>
      </c>
      <c r="O402" s="92"/>
    </row>
    <row r="403" spans="1:15" x14ac:dyDescent="0.25">
      <c r="A403" s="1">
        <v>398</v>
      </c>
      <c r="B403" s="91">
        <v>11103</v>
      </c>
      <c r="C403" s="76" t="s">
        <v>216</v>
      </c>
      <c r="D403" s="76" t="s">
        <v>897</v>
      </c>
      <c r="E403" s="76" t="s">
        <v>885</v>
      </c>
      <c r="F403" s="76" t="s">
        <v>890</v>
      </c>
      <c r="G403" s="76">
        <v>4</v>
      </c>
      <c r="O403" s="92"/>
    </row>
    <row r="404" spans="1:15" x14ac:dyDescent="0.25">
      <c r="A404" s="1">
        <v>399</v>
      </c>
      <c r="B404" s="91">
        <v>11104</v>
      </c>
      <c r="C404" s="76" t="s">
        <v>216</v>
      </c>
      <c r="D404" s="76" t="s">
        <v>897</v>
      </c>
      <c r="E404" s="76" t="s">
        <v>885</v>
      </c>
      <c r="F404" s="76" t="s">
        <v>890</v>
      </c>
      <c r="G404" s="76">
        <v>4</v>
      </c>
      <c r="O404" s="92"/>
    </row>
    <row r="405" spans="1:15" x14ac:dyDescent="0.25">
      <c r="A405" s="1">
        <v>400</v>
      </c>
      <c r="B405" s="91">
        <v>11105</v>
      </c>
      <c r="C405" s="76" t="s">
        <v>216</v>
      </c>
      <c r="D405" s="76" t="s">
        <v>897</v>
      </c>
      <c r="E405" s="76" t="s">
        <v>885</v>
      </c>
      <c r="F405" s="76" t="s">
        <v>890</v>
      </c>
      <c r="G405" s="76">
        <v>4</v>
      </c>
      <c r="O405" s="92"/>
    </row>
    <row r="406" spans="1:15" x14ac:dyDescent="0.25">
      <c r="A406" s="1">
        <v>401</v>
      </c>
      <c r="B406" s="91">
        <v>11106</v>
      </c>
      <c r="C406" s="76" t="s">
        <v>216</v>
      </c>
      <c r="D406" s="76" t="s">
        <v>897</v>
      </c>
      <c r="E406" s="76" t="s">
        <v>885</v>
      </c>
      <c r="F406" s="76" t="s">
        <v>890</v>
      </c>
      <c r="G406" s="76">
        <v>4</v>
      </c>
      <c r="O406" s="92"/>
    </row>
    <row r="407" spans="1:15" x14ac:dyDescent="0.25">
      <c r="A407" s="1">
        <v>402</v>
      </c>
      <c r="B407" s="91">
        <v>11109</v>
      </c>
      <c r="C407" s="76" t="s">
        <v>216</v>
      </c>
      <c r="D407" s="76" t="s">
        <v>897</v>
      </c>
      <c r="E407" s="76" t="s">
        <v>885</v>
      </c>
      <c r="F407" s="76" t="s">
        <v>890</v>
      </c>
      <c r="G407" s="76">
        <v>4</v>
      </c>
      <c r="O407" s="92"/>
    </row>
    <row r="408" spans="1:15" x14ac:dyDescent="0.25">
      <c r="A408" s="1">
        <v>403</v>
      </c>
      <c r="B408" s="91">
        <v>11120</v>
      </c>
      <c r="C408" s="76" t="s">
        <v>216</v>
      </c>
      <c r="D408" s="76" t="s">
        <v>897</v>
      </c>
      <c r="E408" s="76" t="s">
        <v>885</v>
      </c>
      <c r="F408" s="76" t="s">
        <v>890</v>
      </c>
      <c r="G408" s="76">
        <v>4</v>
      </c>
      <c r="O408" s="92"/>
    </row>
    <row r="409" spans="1:15" x14ac:dyDescent="0.25">
      <c r="A409" s="1">
        <v>404</v>
      </c>
      <c r="B409" s="91">
        <v>11201</v>
      </c>
      <c r="C409" s="76" t="s">
        <v>216</v>
      </c>
      <c r="D409" s="76" t="s">
        <v>898</v>
      </c>
      <c r="E409" s="76" t="s">
        <v>885</v>
      </c>
      <c r="F409" s="76" t="s">
        <v>890</v>
      </c>
      <c r="G409" s="76">
        <v>4</v>
      </c>
      <c r="O409" s="92"/>
    </row>
    <row r="410" spans="1:15" x14ac:dyDescent="0.25">
      <c r="A410" s="1">
        <v>405</v>
      </c>
      <c r="B410" s="91">
        <v>11202</v>
      </c>
      <c r="C410" s="76" t="s">
        <v>216</v>
      </c>
      <c r="D410" s="76" t="s">
        <v>898</v>
      </c>
      <c r="E410" s="76" t="s">
        <v>885</v>
      </c>
      <c r="F410" s="76" t="s">
        <v>890</v>
      </c>
      <c r="G410" s="76">
        <v>4</v>
      </c>
      <c r="O410" s="92"/>
    </row>
    <row r="411" spans="1:15" x14ac:dyDescent="0.25">
      <c r="A411" s="1">
        <v>406</v>
      </c>
      <c r="B411" s="91">
        <v>11203</v>
      </c>
      <c r="C411" s="76" t="s">
        <v>216</v>
      </c>
      <c r="D411" s="76" t="s">
        <v>898</v>
      </c>
      <c r="E411" s="76" t="s">
        <v>885</v>
      </c>
      <c r="F411" s="76" t="s">
        <v>890</v>
      </c>
      <c r="G411" s="76">
        <v>4</v>
      </c>
      <c r="O411" s="92"/>
    </row>
    <row r="412" spans="1:15" x14ac:dyDescent="0.25">
      <c r="A412" s="1">
        <v>407</v>
      </c>
      <c r="B412" s="91">
        <v>11204</v>
      </c>
      <c r="C412" s="76" t="s">
        <v>216</v>
      </c>
      <c r="D412" s="76" t="s">
        <v>898</v>
      </c>
      <c r="E412" s="76" t="s">
        <v>885</v>
      </c>
      <c r="F412" s="76" t="s">
        <v>890</v>
      </c>
      <c r="G412" s="76">
        <v>4</v>
      </c>
      <c r="O412" s="92"/>
    </row>
    <row r="413" spans="1:15" x14ac:dyDescent="0.25">
      <c r="A413" s="1">
        <v>408</v>
      </c>
      <c r="B413" s="91">
        <v>11205</v>
      </c>
      <c r="C413" s="76" t="s">
        <v>216</v>
      </c>
      <c r="D413" s="76" t="s">
        <v>898</v>
      </c>
      <c r="E413" s="76" t="s">
        <v>885</v>
      </c>
      <c r="F413" s="76" t="s">
        <v>890</v>
      </c>
      <c r="G413" s="76">
        <v>4</v>
      </c>
      <c r="O413" s="92"/>
    </row>
    <row r="414" spans="1:15" x14ac:dyDescent="0.25">
      <c r="A414" s="1">
        <v>409</v>
      </c>
      <c r="B414" s="91">
        <v>11206</v>
      </c>
      <c r="C414" s="76" t="s">
        <v>216</v>
      </c>
      <c r="D414" s="76" t="s">
        <v>898</v>
      </c>
      <c r="E414" s="76" t="s">
        <v>885</v>
      </c>
      <c r="F414" s="76" t="s">
        <v>890</v>
      </c>
      <c r="G414" s="76">
        <v>4</v>
      </c>
      <c r="O414" s="92"/>
    </row>
    <row r="415" spans="1:15" x14ac:dyDescent="0.25">
      <c r="A415" s="1">
        <v>410</v>
      </c>
      <c r="B415" s="91">
        <v>11207</v>
      </c>
      <c r="C415" s="76" t="s">
        <v>216</v>
      </c>
      <c r="D415" s="76" t="s">
        <v>898</v>
      </c>
      <c r="E415" s="76" t="s">
        <v>885</v>
      </c>
      <c r="F415" s="76" t="s">
        <v>890</v>
      </c>
      <c r="G415" s="76">
        <v>4</v>
      </c>
      <c r="O415" s="92"/>
    </row>
    <row r="416" spans="1:15" x14ac:dyDescent="0.25">
      <c r="A416" s="1">
        <v>411</v>
      </c>
      <c r="B416" s="91">
        <v>11208</v>
      </c>
      <c r="C416" s="76" t="s">
        <v>216</v>
      </c>
      <c r="D416" s="76" t="s">
        <v>898</v>
      </c>
      <c r="E416" s="76" t="s">
        <v>885</v>
      </c>
      <c r="F416" s="76" t="s">
        <v>890</v>
      </c>
      <c r="G416" s="76">
        <v>4</v>
      </c>
      <c r="O416" s="92"/>
    </row>
    <row r="417" spans="1:15" x14ac:dyDescent="0.25">
      <c r="A417" s="1">
        <v>412</v>
      </c>
      <c r="B417" s="91">
        <v>11209</v>
      </c>
      <c r="C417" s="76" t="s">
        <v>216</v>
      </c>
      <c r="D417" s="76" t="s">
        <v>898</v>
      </c>
      <c r="E417" s="76" t="s">
        <v>885</v>
      </c>
      <c r="F417" s="76" t="s">
        <v>890</v>
      </c>
      <c r="G417" s="76">
        <v>4</v>
      </c>
      <c r="O417" s="92"/>
    </row>
    <row r="418" spans="1:15" x14ac:dyDescent="0.25">
      <c r="A418" s="1">
        <v>413</v>
      </c>
      <c r="B418" s="91">
        <v>11210</v>
      </c>
      <c r="C418" s="76" t="s">
        <v>216</v>
      </c>
      <c r="D418" s="76" t="s">
        <v>898</v>
      </c>
      <c r="E418" s="76" t="s">
        <v>885</v>
      </c>
      <c r="F418" s="76" t="s">
        <v>890</v>
      </c>
      <c r="G418" s="76">
        <v>4</v>
      </c>
      <c r="O418" s="92"/>
    </row>
    <row r="419" spans="1:15" x14ac:dyDescent="0.25">
      <c r="A419" s="1">
        <v>414</v>
      </c>
      <c r="B419" s="91">
        <v>11211</v>
      </c>
      <c r="C419" s="76" t="s">
        <v>216</v>
      </c>
      <c r="D419" s="76" t="s">
        <v>898</v>
      </c>
      <c r="E419" s="76" t="s">
        <v>885</v>
      </c>
      <c r="F419" s="76" t="s">
        <v>890</v>
      </c>
      <c r="G419" s="76">
        <v>4</v>
      </c>
      <c r="O419" s="92"/>
    </row>
    <row r="420" spans="1:15" x14ac:dyDescent="0.25">
      <c r="A420" s="1">
        <v>415</v>
      </c>
      <c r="B420" s="91">
        <v>11212</v>
      </c>
      <c r="C420" s="76" t="s">
        <v>216</v>
      </c>
      <c r="D420" s="76" t="s">
        <v>898</v>
      </c>
      <c r="E420" s="76" t="s">
        <v>885</v>
      </c>
      <c r="F420" s="76" t="s">
        <v>890</v>
      </c>
      <c r="G420" s="76">
        <v>4</v>
      </c>
      <c r="O420" s="92"/>
    </row>
    <row r="421" spans="1:15" x14ac:dyDescent="0.25">
      <c r="A421" s="1">
        <v>416</v>
      </c>
      <c r="B421" s="91">
        <v>11213</v>
      </c>
      <c r="C421" s="76" t="s">
        <v>216</v>
      </c>
      <c r="D421" s="76" t="s">
        <v>898</v>
      </c>
      <c r="E421" s="76" t="s">
        <v>885</v>
      </c>
      <c r="F421" s="76" t="s">
        <v>890</v>
      </c>
      <c r="G421" s="76">
        <v>4</v>
      </c>
      <c r="O421" s="92"/>
    </row>
    <row r="422" spans="1:15" x14ac:dyDescent="0.25">
      <c r="A422" s="1">
        <v>417</v>
      </c>
      <c r="B422" s="91">
        <v>11214</v>
      </c>
      <c r="C422" s="76" t="s">
        <v>216</v>
      </c>
      <c r="D422" s="76" t="s">
        <v>898</v>
      </c>
      <c r="E422" s="76" t="s">
        <v>885</v>
      </c>
      <c r="F422" s="76" t="s">
        <v>890</v>
      </c>
      <c r="G422" s="76">
        <v>4</v>
      </c>
      <c r="O422" s="92"/>
    </row>
    <row r="423" spans="1:15" x14ac:dyDescent="0.25">
      <c r="A423" s="1">
        <v>418</v>
      </c>
      <c r="B423" s="91">
        <v>11215</v>
      </c>
      <c r="C423" s="76" t="s">
        <v>216</v>
      </c>
      <c r="D423" s="76" t="s">
        <v>898</v>
      </c>
      <c r="E423" s="76" t="s">
        <v>885</v>
      </c>
      <c r="F423" s="76" t="s">
        <v>890</v>
      </c>
      <c r="G423" s="76">
        <v>4</v>
      </c>
      <c r="O423" s="92"/>
    </row>
    <row r="424" spans="1:15" x14ac:dyDescent="0.25">
      <c r="A424" s="1">
        <v>419</v>
      </c>
      <c r="B424" s="91">
        <v>11216</v>
      </c>
      <c r="C424" s="76" t="s">
        <v>216</v>
      </c>
      <c r="D424" s="76" t="s">
        <v>898</v>
      </c>
      <c r="E424" s="76" t="s">
        <v>885</v>
      </c>
      <c r="F424" s="76" t="s">
        <v>890</v>
      </c>
      <c r="G424" s="76">
        <v>4</v>
      </c>
      <c r="O424" s="92"/>
    </row>
    <row r="425" spans="1:15" x14ac:dyDescent="0.25">
      <c r="A425" s="1">
        <v>420</v>
      </c>
      <c r="B425" s="91">
        <v>11217</v>
      </c>
      <c r="C425" s="76" t="s">
        <v>216</v>
      </c>
      <c r="D425" s="76" t="s">
        <v>898</v>
      </c>
      <c r="E425" s="76" t="s">
        <v>885</v>
      </c>
      <c r="F425" s="76" t="s">
        <v>890</v>
      </c>
      <c r="G425" s="76">
        <v>4</v>
      </c>
      <c r="O425" s="92"/>
    </row>
    <row r="426" spans="1:15" x14ac:dyDescent="0.25">
      <c r="A426" s="1">
        <v>421</v>
      </c>
      <c r="B426" s="91">
        <v>11218</v>
      </c>
      <c r="C426" s="76" t="s">
        <v>216</v>
      </c>
      <c r="D426" s="76" t="s">
        <v>898</v>
      </c>
      <c r="E426" s="76" t="s">
        <v>885</v>
      </c>
      <c r="F426" s="76" t="s">
        <v>890</v>
      </c>
      <c r="G426" s="76">
        <v>4</v>
      </c>
      <c r="O426" s="92"/>
    </row>
    <row r="427" spans="1:15" x14ac:dyDescent="0.25">
      <c r="A427" s="1">
        <v>422</v>
      </c>
      <c r="B427" s="91">
        <v>11219</v>
      </c>
      <c r="C427" s="76" t="s">
        <v>216</v>
      </c>
      <c r="D427" s="76" t="s">
        <v>898</v>
      </c>
      <c r="E427" s="76" t="s">
        <v>885</v>
      </c>
      <c r="F427" s="76" t="s">
        <v>890</v>
      </c>
      <c r="G427" s="76">
        <v>4</v>
      </c>
      <c r="O427" s="92"/>
    </row>
    <row r="428" spans="1:15" x14ac:dyDescent="0.25">
      <c r="A428" s="1">
        <v>423</v>
      </c>
      <c r="B428" s="91">
        <v>11220</v>
      </c>
      <c r="C428" s="76" t="s">
        <v>216</v>
      </c>
      <c r="D428" s="76" t="s">
        <v>898</v>
      </c>
      <c r="E428" s="76" t="s">
        <v>885</v>
      </c>
      <c r="F428" s="76" t="s">
        <v>890</v>
      </c>
      <c r="G428" s="76">
        <v>4</v>
      </c>
      <c r="O428" s="92"/>
    </row>
    <row r="429" spans="1:15" x14ac:dyDescent="0.25">
      <c r="A429" s="1">
        <v>424</v>
      </c>
      <c r="B429" s="91">
        <v>11221</v>
      </c>
      <c r="C429" s="76" t="s">
        <v>216</v>
      </c>
      <c r="D429" s="76" t="s">
        <v>898</v>
      </c>
      <c r="E429" s="76" t="s">
        <v>885</v>
      </c>
      <c r="F429" s="76" t="s">
        <v>890</v>
      </c>
      <c r="G429" s="76">
        <v>4</v>
      </c>
      <c r="O429" s="92"/>
    </row>
    <row r="430" spans="1:15" x14ac:dyDescent="0.25">
      <c r="A430" s="1">
        <v>425</v>
      </c>
      <c r="B430" s="91">
        <v>11222</v>
      </c>
      <c r="C430" s="76" t="s">
        <v>216</v>
      </c>
      <c r="D430" s="76" t="s">
        <v>898</v>
      </c>
      <c r="E430" s="76" t="s">
        <v>885</v>
      </c>
      <c r="F430" s="76" t="s">
        <v>890</v>
      </c>
      <c r="G430" s="76">
        <v>4</v>
      </c>
      <c r="O430" s="92"/>
    </row>
    <row r="431" spans="1:15" x14ac:dyDescent="0.25">
      <c r="A431" s="1">
        <v>426</v>
      </c>
      <c r="B431" s="91">
        <v>11223</v>
      </c>
      <c r="C431" s="76" t="s">
        <v>216</v>
      </c>
      <c r="D431" s="76" t="s">
        <v>898</v>
      </c>
      <c r="E431" s="76" t="s">
        <v>885</v>
      </c>
      <c r="F431" s="76" t="s">
        <v>890</v>
      </c>
      <c r="G431" s="76">
        <v>4</v>
      </c>
      <c r="O431" s="92"/>
    </row>
    <row r="432" spans="1:15" x14ac:dyDescent="0.25">
      <c r="A432" s="1">
        <v>427</v>
      </c>
      <c r="B432" s="91">
        <v>11224</v>
      </c>
      <c r="C432" s="76" t="s">
        <v>216</v>
      </c>
      <c r="D432" s="76" t="s">
        <v>898</v>
      </c>
      <c r="E432" s="76" t="s">
        <v>885</v>
      </c>
      <c r="F432" s="76" t="s">
        <v>890</v>
      </c>
      <c r="G432" s="76">
        <v>4</v>
      </c>
      <c r="O432" s="92"/>
    </row>
    <row r="433" spans="1:15" x14ac:dyDescent="0.25">
      <c r="A433" s="1">
        <v>428</v>
      </c>
      <c r="B433" s="91">
        <v>11225</v>
      </c>
      <c r="C433" s="76" t="s">
        <v>216</v>
      </c>
      <c r="D433" s="76" t="s">
        <v>898</v>
      </c>
      <c r="E433" s="76" t="s">
        <v>885</v>
      </c>
      <c r="F433" s="76" t="s">
        <v>890</v>
      </c>
      <c r="G433" s="76">
        <v>4</v>
      </c>
      <c r="O433" s="92"/>
    </row>
    <row r="434" spans="1:15" x14ac:dyDescent="0.25">
      <c r="A434" s="1">
        <v>429</v>
      </c>
      <c r="B434" s="91">
        <v>11226</v>
      </c>
      <c r="C434" s="76" t="s">
        <v>216</v>
      </c>
      <c r="D434" s="76" t="s">
        <v>898</v>
      </c>
      <c r="E434" s="76" t="s">
        <v>885</v>
      </c>
      <c r="F434" s="76" t="s">
        <v>890</v>
      </c>
      <c r="G434" s="76">
        <v>4</v>
      </c>
      <c r="O434" s="92"/>
    </row>
    <row r="435" spans="1:15" x14ac:dyDescent="0.25">
      <c r="A435" s="1">
        <v>430</v>
      </c>
      <c r="B435" s="91">
        <v>11228</v>
      </c>
      <c r="C435" s="76" t="s">
        <v>216</v>
      </c>
      <c r="D435" s="76" t="s">
        <v>898</v>
      </c>
      <c r="E435" s="76" t="s">
        <v>885</v>
      </c>
      <c r="F435" s="76" t="s">
        <v>890</v>
      </c>
      <c r="G435" s="76">
        <v>4</v>
      </c>
      <c r="O435" s="92"/>
    </row>
    <row r="436" spans="1:15" x14ac:dyDescent="0.25">
      <c r="A436" s="1">
        <v>431</v>
      </c>
      <c r="B436" s="91">
        <v>11229</v>
      </c>
      <c r="C436" s="76" t="s">
        <v>216</v>
      </c>
      <c r="D436" s="76" t="s">
        <v>898</v>
      </c>
      <c r="E436" s="76" t="s">
        <v>885</v>
      </c>
      <c r="F436" s="76" t="s">
        <v>890</v>
      </c>
      <c r="G436" s="76">
        <v>4</v>
      </c>
      <c r="O436" s="92"/>
    </row>
    <row r="437" spans="1:15" x14ac:dyDescent="0.25">
      <c r="A437" s="1">
        <v>432</v>
      </c>
      <c r="B437" s="91">
        <v>11230</v>
      </c>
      <c r="C437" s="76" t="s">
        <v>216</v>
      </c>
      <c r="D437" s="76" t="s">
        <v>898</v>
      </c>
      <c r="E437" s="76" t="s">
        <v>885</v>
      </c>
      <c r="F437" s="76" t="s">
        <v>890</v>
      </c>
      <c r="G437" s="76">
        <v>4</v>
      </c>
      <c r="O437" s="92"/>
    </row>
    <row r="438" spans="1:15" x14ac:dyDescent="0.25">
      <c r="A438" s="1">
        <v>433</v>
      </c>
      <c r="B438" s="91">
        <v>11231</v>
      </c>
      <c r="C438" s="76" t="s">
        <v>216</v>
      </c>
      <c r="D438" s="76" t="s">
        <v>898</v>
      </c>
      <c r="E438" s="76" t="s">
        <v>885</v>
      </c>
      <c r="F438" s="76" t="s">
        <v>890</v>
      </c>
      <c r="G438" s="76">
        <v>4</v>
      </c>
      <c r="O438" s="92"/>
    </row>
    <row r="439" spans="1:15" x14ac:dyDescent="0.25">
      <c r="A439" s="1">
        <v>434</v>
      </c>
      <c r="B439" s="91">
        <v>11232</v>
      </c>
      <c r="C439" s="76" t="s">
        <v>216</v>
      </c>
      <c r="D439" s="76" t="s">
        <v>898</v>
      </c>
      <c r="E439" s="76" t="s">
        <v>885</v>
      </c>
      <c r="F439" s="76" t="s">
        <v>890</v>
      </c>
      <c r="G439" s="76">
        <v>4</v>
      </c>
      <c r="O439" s="92"/>
    </row>
    <row r="440" spans="1:15" x14ac:dyDescent="0.25">
      <c r="A440" s="1">
        <v>435</v>
      </c>
      <c r="B440" s="91">
        <v>11233</v>
      </c>
      <c r="C440" s="76" t="s">
        <v>216</v>
      </c>
      <c r="D440" s="76" t="s">
        <v>898</v>
      </c>
      <c r="E440" s="76" t="s">
        <v>885</v>
      </c>
      <c r="F440" s="76" t="s">
        <v>890</v>
      </c>
      <c r="G440" s="76">
        <v>4</v>
      </c>
      <c r="O440" s="92"/>
    </row>
    <row r="441" spans="1:15" x14ac:dyDescent="0.25">
      <c r="A441" s="1">
        <v>436</v>
      </c>
      <c r="B441" s="91">
        <v>11234</v>
      </c>
      <c r="C441" s="76" t="s">
        <v>216</v>
      </c>
      <c r="D441" s="76" t="s">
        <v>898</v>
      </c>
      <c r="E441" s="76" t="s">
        <v>885</v>
      </c>
      <c r="F441" s="76" t="s">
        <v>890</v>
      </c>
      <c r="G441" s="76">
        <v>4</v>
      </c>
      <c r="O441" s="92"/>
    </row>
    <row r="442" spans="1:15" x14ac:dyDescent="0.25">
      <c r="A442" s="1">
        <v>437</v>
      </c>
      <c r="B442" s="91">
        <v>11235</v>
      </c>
      <c r="C442" s="76" t="s">
        <v>216</v>
      </c>
      <c r="D442" s="76" t="s">
        <v>898</v>
      </c>
      <c r="E442" s="76" t="s">
        <v>885</v>
      </c>
      <c r="F442" s="76" t="s">
        <v>890</v>
      </c>
      <c r="G442" s="76">
        <v>4</v>
      </c>
      <c r="O442" s="92"/>
    </row>
    <row r="443" spans="1:15" x14ac:dyDescent="0.25">
      <c r="A443" s="1">
        <v>438</v>
      </c>
      <c r="B443" s="91">
        <v>11236</v>
      </c>
      <c r="C443" s="76" t="s">
        <v>216</v>
      </c>
      <c r="D443" s="76" t="s">
        <v>898</v>
      </c>
      <c r="E443" s="76" t="s">
        <v>885</v>
      </c>
      <c r="F443" s="76" t="s">
        <v>890</v>
      </c>
      <c r="G443" s="76">
        <v>4</v>
      </c>
      <c r="O443" s="92"/>
    </row>
    <row r="444" spans="1:15" x14ac:dyDescent="0.25">
      <c r="A444" s="1">
        <v>439</v>
      </c>
      <c r="B444" s="91">
        <v>11237</v>
      </c>
      <c r="C444" s="76" t="s">
        <v>216</v>
      </c>
      <c r="D444" s="76" t="s">
        <v>898</v>
      </c>
      <c r="E444" s="76" t="s">
        <v>885</v>
      </c>
      <c r="F444" s="76" t="s">
        <v>890</v>
      </c>
      <c r="G444" s="76">
        <v>4</v>
      </c>
      <c r="O444" s="92"/>
    </row>
    <row r="445" spans="1:15" x14ac:dyDescent="0.25">
      <c r="A445" s="1">
        <v>440</v>
      </c>
      <c r="B445" s="91">
        <v>11238</v>
      </c>
      <c r="C445" s="76" t="s">
        <v>216</v>
      </c>
      <c r="D445" s="76" t="s">
        <v>898</v>
      </c>
      <c r="E445" s="76" t="s">
        <v>885</v>
      </c>
      <c r="F445" s="76" t="s">
        <v>890</v>
      </c>
      <c r="G445" s="76">
        <v>4</v>
      </c>
      <c r="O445" s="92"/>
    </row>
    <row r="446" spans="1:15" x14ac:dyDescent="0.25">
      <c r="A446" s="1">
        <v>441</v>
      </c>
      <c r="B446" s="91">
        <v>11239</v>
      </c>
      <c r="C446" s="76" t="s">
        <v>216</v>
      </c>
      <c r="D446" s="76" t="s">
        <v>898</v>
      </c>
      <c r="E446" s="76" t="s">
        <v>885</v>
      </c>
      <c r="F446" s="76" t="s">
        <v>890</v>
      </c>
      <c r="G446" s="76">
        <v>4</v>
      </c>
      <c r="O446" s="92"/>
    </row>
    <row r="447" spans="1:15" x14ac:dyDescent="0.25">
      <c r="A447" s="1">
        <v>442</v>
      </c>
      <c r="B447" s="91">
        <v>11240</v>
      </c>
      <c r="C447" s="76" t="s">
        <v>216</v>
      </c>
      <c r="D447" s="76" t="s">
        <v>898</v>
      </c>
      <c r="E447" s="76" t="s">
        <v>885</v>
      </c>
      <c r="F447" s="76" t="s">
        <v>890</v>
      </c>
      <c r="G447" s="76">
        <v>4</v>
      </c>
      <c r="O447" s="92"/>
    </row>
    <row r="448" spans="1:15" x14ac:dyDescent="0.25">
      <c r="A448" s="1">
        <v>443</v>
      </c>
      <c r="B448" s="91">
        <v>11241</v>
      </c>
      <c r="C448" s="76" t="s">
        <v>216</v>
      </c>
      <c r="D448" s="76" t="s">
        <v>898</v>
      </c>
      <c r="E448" s="76" t="s">
        <v>885</v>
      </c>
      <c r="F448" s="76" t="s">
        <v>890</v>
      </c>
      <c r="G448" s="76">
        <v>4</v>
      </c>
      <c r="O448" s="92"/>
    </row>
    <row r="449" spans="1:15" x14ac:dyDescent="0.25">
      <c r="A449" s="1">
        <v>444</v>
      </c>
      <c r="B449" s="91">
        <v>11242</v>
      </c>
      <c r="C449" s="76" t="s">
        <v>216</v>
      </c>
      <c r="D449" s="76" t="s">
        <v>898</v>
      </c>
      <c r="E449" s="76" t="s">
        <v>885</v>
      </c>
      <c r="F449" s="76" t="s">
        <v>890</v>
      </c>
      <c r="G449" s="76">
        <v>4</v>
      </c>
      <c r="O449" s="92"/>
    </row>
    <row r="450" spans="1:15" x14ac:dyDescent="0.25">
      <c r="A450" s="1">
        <v>445</v>
      </c>
      <c r="B450" s="91">
        <v>11243</v>
      </c>
      <c r="C450" s="76" t="s">
        <v>216</v>
      </c>
      <c r="D450" s="76" t="s">
        <v>898</v>
      </c>
      <c r="E450" s="76" t="s">
        <v>885</v>
      </c>
      <c r="F450" s="76" t="s">
        <v>890</v>
      </c>
      <c r="G450" s="76">
        <v>4</v>
      </c>
      <c r="O450" s="92"/>
    </row>
    <row r="451" spans="1:15" x14ac:dyDescent="0.25">
      <c r="A451" s="1">
        <v>446</v>
      </c>
      <c r="B451" s="91">
        <v>11244</v>
      </c>
      <c r="C451" s="76" t="s">
        <v>216</v>
      </c>
      <c r="D451" s="76" t="s">
        <v>898</v>
      </c>
      <c r="E451" s="76" t="s">
        <v>885</v>
      </c>
      <c r="F451" s="76" t="s">
        <v>890</v>
      </c>
      <c r="G451" s="76">
        <v>4</v>
      </c>
      <c r="O451" s="92"/>
    </row>
    <row r="452" spans="1:15" x14ac:dyDescent="0.25">
      <c r="A452" s="1">
        <v>447</v>
      </c>
      <c r="B452" s="91">
        <v>11245</v>
      </c>
      <c r="C452" s="76" t="s">
        <v>216</v>
      </c>
      <c r="D452" s="76" t="s">
        <v>898</v>
      </c>
      <c r="E452" s="76" t="s">
        <v>885</v>
      </c>
      <c r="F452" s="76" t="s">
        <v>890</v>
      </c>
      <c r="G452" s="76">
        <v>4</v>
      </c>
      <c r="O452" s="92"/>
    </row>
    <row r="453" spans="1:15" x14ac:dyDescent="0.25">
      <c r="A453" s="1">
        <v>448</v>
      </c>
      <c r="B453" s="91">
        <v>11247</v>
      </c>
      <c r="C453" s="76" t="s">
        <v>216</v>
      </c>
      <c r="D453" s="76" t="s">
        <v>898</v>
      </c>
      <c r="E453" s="76" t="s">
        <v>885</v>
      </c>
      <c r="F453" s="76" t="s">
        <v>890</v>
      </c>
      <c r="G453" s="76">
        <v>4</v>
      </c>
      <c r="O453" s="92"/>
    </row>
    <row r="454" spans="1:15" x14ac:dyDescent="0.25">
      <c r="A454" s="1">
        <v>449</v>
      </c>
      <c r="B454" s="91">
        <v>11248</v>
      </c>
      <c r="C454" s="76" t="s">
        <v>216</v>
      </c>
      <c r="D454" s="76" t="s">
        <v>898</v>
      </c>
      <c r="E454" s="76" t="s">
        <v>885</v>
      </c>
      <c r="F454" s="76" t="s">
        <v>890</v>
      </c>
      <c r="G454" s="76">
        <v>4</v>
      </c>
      <c r="O454" s="92"/>
    </row>
    <row r="455" spans="1:15" x14ac:dyDescent="0.25">
      <c r="A455" s="1">
        <v>450</v>
      </c>
      <c r="B455" s="91">
        <v>11249</v>
      </c>
      <c r="C455" s="76" t="s">
        <v>216</v>
      </c>
      <c r="D455" s="76" t="s">
        <v>898</v>
      </c>
      <c r="E455" s="76" t="s">
        <v>885</v>
      </c>
      <c r="F455" s="76" t="s">
        <v>890</v>
      </c>
      <c r="G455" s="76">
        <v>4</v>
      </c>
      <c r="O455" s="92"/>
    </row>
    <row r="456" spans="1:15" x14ac:dyDescent="0.25">
      <c r="A456" s="1">
        <v>451</v>
      </c>
      <c r="B456" s="91">
        <v>11251</v>
      </c>
      <c r="C456" s="76" t="s">
        <v>216</v>
      </c>
      <c r="D456" s="76" t="s">
        <v>898</v>
      </c>
      <c r="E456" s="76" t="s">
        <v>885</v>
      </c>
      <c r="F456" s="76" t="s">
        <v>890</v>
      </c>
      <c r="G456" s="76">
        <v>4</v>
      </c>
      <c r="O456" s="92"/>
    </row>
    <row r="457" spans="1:15" x14ac:dyDescent="0.25">
      <c r="A457" s="1">
        <v>452</v>
      </c>
      <c r="B457" s="91">
        <v>11252</v>
      </c>
      <c r="C457" s="76" t="s">
        <v>216</v>
      </c>
      <c r="D457" s="76" t="s">
        <v>898</v>
      </c>
      <c r="E457" s="76" t="s">
        <v>885</v>
      </c>
      <c r="F457" s="76" t="s">
        <v>890</v>
      </c>
      <c r="G457" s="76">
        <v>4</v>
      </c>
      <c r="O457" s="92"/>
    </row>
    <row r="458" spans="1:15" x14ac:dyDescent="0.25">
      <c r="A458" s="1">
        <v>453</v>
      </c>
      <c r="B458" s="91">
        <v>11254</v>
      </c>
      <c r="C458" s="76" t="s">
        <v>216</v>
      </c>
      <c r="D458" s="76" t="s">
        <v>898</v>
      </c>
      <c r="E458" s="76" t="s">
        <v>885</v>
      </c>
      <c r="F458" s="76" t="s">
        <v>890</v>
      </c>
      <c r="G458" s="76">
        <v>4</v>
      </c>
      <c r="O458" s="92"/>
    </row>
    <row r="459" spans="1:15" x14ac:dyDescent="0.25">
      <c r="A459" s="1">
        <v>454</v>
      </c>
      <c r="B459" s="91">
        <v>11255</v>
      </c>
      <c r="C459" s="76" t="s">
        <v>216</v>
      </c>
      <c r="D459" s="76" t="s">
        <v>898</v>
      </c>
      <c r="E459" s="76" t="s">
        <v>885</v>
      </c>
      <c r="F459" s="76" t="s">
        <v>890</v>
      </c>
      <c r="G459" s="76">
        <v>4</v>
      </c>
      <c r="O459" s="92"/>
    </row>
    <row r="460" spans="1:15" x14ac:dyDescent="0.25">
      <c r="A460" s="1">
        <v>455</v>
      </c>
      <c r="B460" s="91">
        <v>11256</v>
      </c>
      <c r="C460" s="76" t="s">
        <v>216</v>
      </c>
      <c r="D460" s="76" t="s">
        <v>898</v>
      </c>
      <c r="E460" s="76" t="s">
        <v>885</v>
      </c>
      <c r="F460" s="76" t="s">
        <v>890</v>
      </c>
      <c r="G460" s="76">
        <v>4</v>
      </c>
      <c r="O460" s="92"/>
    </row>
    <row r="461" spans="1:15" x14ac:dyDescent="0.25">
      <c r="A461" s="1">
        <v>456</v>
      </c>
      <c r="B461" s="91">
        <v>11351</v>
      </c>
      <c r="C461" s="76" t="s">
        <v>216</v>
      </c>
      <c r="D461" s="76" t="s">
        <v>897</v>
      </c>
      <c r="E461" s="76" t="s">
        <v>885</v>
      </c>
      <c r="F461" s="76" t="s">
        <v>890</v>
      </c>
      <c r="G461" s="76">
        <v>4</v>
      </c>
      <c r="O461" s="92"/>
    </row>
    <row r="462" spans="1:15" x14ac:dyDescent="0.25">
      <c r="A462" s="1">
        <v>457</v>
      </c>
      <c r="B462" s="91">
        <v>11352</v>
      </c>
      <c r="C462" s="76" t="s">
        <v>216</v>
      </c>
      <c r="D462" s="76" t="s">
        <v>897</v>
      </c>
      <c r="E462" s="76" t="s">
        <v>885</v>
      </c>
      <c r="F462" s="76" t="s">
        <v>890</v>
      </c>
      <c r="G462" s="76">
        <v>4</v>
      </c>
      <c r="O462" s="92"/>
    </row>
    <row r="463" spans="1:15" x14ac:dyDescent="0.25">
      <c r="A463" s="1">
        <v>458</v>
      </c>
      <c r="B463" s="91">
        <v>11354</v>
      </c>
      <c r="C463" s="76" t="s">
        <v>216</v>
      </c>
      <c r="D463" s="76" t="s">
        <v>897</v>
      </c>
      <c r="E463" s="76" t="s">
        <v>885</v>
      </c>
      <c r="F463" s="76" t="s">
        <v>890</v>
      </c>
      <c r="G463" s="76">
        <v>4</v>
      </c>
      <c r="O463" s="92"/>
    </row>
    <row r="464" spans="1:15" x14ac:dyDescent="0.25">
      <c r="A464" s="1">
        <v>459</v>
      </c>
      <c r="B464" s="91">
        <v>11355</v>
      </c>
      <c r="C464" s="76" t="s">
        <v>216</v>
      </c>
      <c r="D464" s="76" t="s">
        <v>897</v>
      </c>
      <c r="E464" s="76" t="s">
        <v>885</v>
      </c>
      <c r="F464" s="76" t="s">
        <v>890</v>
      </c>
      <c r="G464" s="76">
        <v>4</v>
      </c>
      <c r="O464" s="92"/>
    </row>
    <row r="465" spans="1:15" x14ac:dyDescent="0.25">
      <c r="A465" s="1">
        <v>460</v>
      </c>
      <c r="B465" s="91">
        <v>11356</v>
      </c>
      <c r="C465" s="76" t="s">
        <v>216</v>
      </c>
      <c r="D465" s="76" t="s">
        <v>897</v>
      </c>
      <c r="E465" s="76" t="s">
        <v>885</v>
      </c>
      <c r="F465" s="76" t="s">
        <v>890</v>
      </c>
      <c r="G465" s="76">
        <v>4</v>
      </c>
      <c r="O465" s="92"/>
    </row>
    <row r="466" spans="1:15" x14ac:dyDescent="0.25">
      <c r="A466" s="1">
        <v>461</v>
      </c>
      <c r="B466" s="91">
        <v>11357</v>
      </c>
      <c r="C466" s="76" t="s">
        <v>216</v>
      </c>
      <c r="D466" s="76" t="s">
        <v>897</v>
      </c>
      <c r="E466" s="76" t="s">
        <v>885</v>
      </c>
      <c r="F466" s="76" t="s">
        <v>890</v>
      </c>
      <c r="G466" s="76">
        <v>4</v>
      </c>
      <c r="O466" s="92"/>
    </row>
    <row r="467" spans="1:15" x14ac:dyDescent="0.25">
      <c r="A467" s="1">
        <v>462</v>
      </c>
      <c r="B467" s="91">
        <v>11358</v>
      </c>
      <c r="C467" s="76" t="s">
        <v>216</v>
      </c>
      <c r="D467" s="76" t="s">
        <v>897</v>
      </c>
      <c r="E467" s="76" t="s">
        <v>885</v>
      </c>
      <c r="F467" s="76" t="s">
        <v>890</v>
      </c>
      <c r="G467" s="76">
        <v>4</v>
      </c>
      <c r="O467" s="92"/>
    </row>
    <row r="468" spans="1:15" x14ac:dyDescent="0.25">
      <c r="A468" s="1">
        <v>463</v>
      </c>
      <c r="B468" s="91">
        <v>11359</v>
      </c>
      <c r="C468" s="76" t="s">
        <v>216</v>
      </c>
      <c r="D468" s="76" t="s">
        <v>897</v>
      </c>
      <c r="E468" s="76" t="s">
        <v>885</v>
      </c>
      <c r="F468" s="76" t="s">
        <v>890</v>
      </c>
      <c r="G468" s="76">
        <v>4</v>
      </c>
      <c r="O468" s="92"/>
    </row>
    <row r="469" spans="1:15" x14ac:dyDescent="0.25">
      <c r="A469" s="1">
        <v>464</v>
      </c>
      <c r="B469" s="91">
        <v>11360</v>
      </c>
      <c r="C469" s="76" t="s">
        <v>216</v>
      </c>
      <c r="D469" s="76" t="s">
        <v>897</v>
      </c>
      <c r="E469" s="76" t="s">
        <v>885</v>
      </c>
      <c r="F469" s="76" t="s">
        <v>890</v>
      </c>
      <c r="G469" s="76">
        <v>4</v>
      </c>
      <c r="O469" s="92"/>
    </row>
    <row r="470" spans="1:15" x14ac:dyDescent="0.25">
      <c r="A470" s="1">
        <v>465</v>
      </c>
      <c r="B470" s="91">
        <v>11361</v>
      </c>
      <c r="C470" s="76" t="s">
        <v>216</v>
      </c>
      <c r="D470" s="76" t="s">
        <v>897</v>
      </c>
      <c r="E470" s="76" t="s">
        <v>885</v>
      </c>
      <c r="F470" s="76" t="s">
        <v>890</v>
      </c>
      <c r="G470" s="76">
        <v>4</v>
      </c>
      <c r="O470" s="92"/>
    </row>
    <row r="471" spans="1:15" x14ac:dyDescent="0.25">
      <c r="A471" s="1">
        <v>466</v>
      </c>
      <c r="B471" s="91">
        <v>11362</v>
      </c>
      <c r="C471" s="76" t="s">
        <v>216</v>
      </c>
      <c r="D471" s="76" t="s">
        <v>897</v>
      </c>
      <c r="E471" s="76" t="s">
        <v>885</v>
      </c>
      <c r="F471" s="76" t="s">
        <v>890</v>
      </c>
      <c r="G471" s="76">
        <v>4</v>
      </c>
      <c r="O471" s="92"/>
    </row>
    <row r="472" spans="1:15" x14ac:dyDescent="0.25">
      <c r="A472" s="1">
        <v>467</v>
      </c>
      <c r="B472" s="91">
        <v>11363</v>
      </c>
      <c r="C472" s="76" t="s">
        <v>216</v>
      </c>
      <c r="D472" s="76" t="s">
        <v>897</v>
      </c>
      <c r="E472" s="76" t="s">
        <v>885</v>
      </c>
      <c r="F472" s="76" t="s">
        <v>890</v>
      </c>
      <c r="G472" s="76">
        <v>4</v>
      </c>
      <c r="O472" s="92"/>
    </row>
    <row r="473" spans="1:15" x14ac:dyDescent="0.25">
      <c r="A473" s="1">
        <v>468</v>
      </c>
      <c r="B473" s="91">
        <v>11364</v>
      </c>
      <c r="C473" s="76" t="s">
        <v>216</v>
      </c>
      <c r="D473" s="76" t="s">
        <v>897</v>
      </c>
      <c r="E473" s="76" t="s">
        <v>885</v>
      </c>
      <c r="F473" s="76" t="s">
        <v>890</v>
      </c>
      <c r="G473" s="76">
        <v>4</v>
      </c>
      <c r="O473" s="92"/>
    </row>
    <row r="474" spans="1:15" x14ac:dyDescent="0.25">
      <c r="A474" s="1">
        <v>469</v>
      </c>
      <c r="B474" s="91">
        <v>11365</v>
      </c>
      <c r="C474" s="76" t="s">
        <v>216</v>
      </c>
      <c r="D474" s="76" t="s">
        <v>897</v>
      </c>
      <c r="E474" s="76" t="s">
        <v>885</v>
      </c>
      <c r="F474" s="76" t="s">
        <v>890</v>
      </c>
      <c r="G474" s="76">
        <v>4</v>
      </c>
      <c r="O474" s="92"/>
    </row>
    <row r="475" spans="1:15" x14ac:dyDescent="0.25">
      <c r="A475" s="1">
        <v>470</v>
      </c>
      <c r="B475" s="91">
        <v>11366</v>
      </c>
      <c r="C475" s="76" t="s">
        <v>216</v>
      </c>
      <c r="D475" s="76" t="s">
        <v>897</v>
      </c>
      <c r="E475" s="76" t="s">
        <v>885</v>
      </c>
      <c r="F475" s="76" t="s">
        <v>890</v>
      </c>
      <c r="G475" s="76">
        <v>4</v>
      </c>
      <c r="O475" s="92"/>
    </row>
    <row r="476" spans="1:15" x14ac:dyDescent="0.25">
      <c r="A476" s="1">
        <v>471</v>
      </c>
      <c r="B476" s="91">
        <v>11367</v>
      </c>
      <c r="C476" s="76" t="s">
        <v>216</v>
      </c>
      <c r="D476" s="76" t="s">
        <v>897</v>
      </c>
      <c r="E476" s="76" t="s">
        <v>885</v>
      </c>
      <c r="F476" s="76" t="s">
        <v>890</v>
      </c>
      <c r="G476" s="76">
        <v>4</v>
      </c>
      <c r="O476" s="92"/>
    </row>
    <row r="477" spans="1:15" x14ac:dyDescent="0.25">
      <c r="A477" s="1">
        <v>472</v>
      </c>
      <c r="B477" s="91">
        <v>11368</v>
      </c>
      <c r="C477" s="76" t="s">
        <v>216</v>
      </c>
      <c r="D477" s="76" t="s">
        <v>897</v>
      </c>
      <c r="E477" s="76" t="s">
        <v>885</v>
      </c>
      <c r="F477" s="76" t="s">
        <v>890</v>
      </c>
      <c r="G477" s="76">
        <v>4</v>
      </c>
      <c r="O477" s="92"/>
    </row>
    <row r="478" spans="1:15" x14ac:dyDescent="0.25">
      <c r="A478" s="1">
        <v>473</v>
      </c>
      <c r="B478" s="91">
        <v>11369</v>
      </c>
      <c r="C478" s="76" t="s">
        <v>216</v>
      </c>
      <c r="D478" s="76" t="s">
        <v>897</v>
      </c>
      <c r="E478" s="76" t="s">
        <v>885</v>
      </c>
      <c r="F478" s="76" t="s">
        <v>890</v>
      </c>
      <c r="G478" s="76">
        <v>4</v>
      </c>
      <c r="O478" s="92"/>
    </row>
    <row r="479" spans="1:15" x14ac:dyDescent="0.25">
      <c r="A479" s="1">
        <v>474</v>
      </c>
      <c r="B479" s="91">
        <v>11370</v>
      </c>
      <c r="C479" s="76" t="s">
        <v>216</v>
      </c>
      <c r="D479" s="76" t="s">
        <v>897</v>
      </c>
      <c r="E479" s="76" t="s">
        <v>885</v>
      </c>
      <c r="F479" s="76" t="s">
        <v>890</v>
      </c>
      <c r="G479" s="76">
        <v>4</v>
      </c>
      <c r="O479" s="92"/>
    </row>
    <row r="480" spans="1:15" x14ac:dyDescent="0.25">
      <c r="A480" s="1">
        <v>475</v>
      </c>
      <c r="B480" s="91">
        <v>11371</v>
      </c>
      <c r="C480" s="76" t="s">
        <v>216</v>
      </c>
      <c r="D480" s="76" t="s">
        <v>897</v>
      </c>
      <c r="E480" s="76" t="s">
        <v>885</v>
      </c>
      <c r="F480" s="76" t="s">
        <v>890</v>
      </c>
      <c r="G480" s="76">
        <v>4</v>
      </c>
      <c r="O480" s="92"/>
    </row>
    <row r="481" spans="1:15" x14ac:dyDescent="0.25">
      <c r="A481" s="1">
        <v>476</v>
      </c>
      <c r="B481" s="91">
        <v>11372</v>
      </c>
      <c r="C481" s="76" t="s">
        <v>216</v>
      </c>
      <c r="D481" s="76" t="s">
        <v>897</v>
      </c>
      <c r="E481" s="76" t="s">
        <v>885</v>
      </c>
      <c r="F481" s="76" t="s">
        <v>890</v>
      </c>
      <c r="G481" s="76">
        <v>4</v>
      </c>
      <c r="O481" s="92"/>
    </row>
    <row r="482" spans="1:15" x14ac:dyDescent="0.25">
      <c r="A482" s="1">
        <v>477</v>
      </c>
      <c r="B482" s="91">
        <v>11373</v>
      </c>
      <c r="C482" s="76" t="s">
        <v>216</v>
      </c>
      <c r="D482" s="76" t="s">
        <v>897</v>
      </c>
      <c r="E482" s="76" t="s">
        <v>885</v>
      </c>
      <c r="F482" s="76" t="s">
        <v>890</v>
      </c>
      <c r="G482" s="76">
        <v>4</v>
      </c>
      <c r="O482" s="92"/>
    </row>
    <row r="483" spans="1:15" x14ac:dyDescent="0.25">
      <c r="A483" s="1">
        <v>478</v>
      </c>
      <c r="B483" s="91">
        <v>11374</v>
      </c>
      <c r="C483" s="76" t="s">
        <v>216</v>
      </c>
      <c r="D483" s="76" t="s">
        <v>897</v>
      </c>
      <c r="E483" s="76" t="s">
        <v>885</v>
      </c>
      <c r="F483" s="76" t="s">
        <v>890</v>
      </c>
      <c r="G483" s="76">
        <v>4</v>
      </c>
      <c r="O483" s="92"/>
    </row>
    <row r="484" spans="1:15" x14ac:dyDescent="0.25">
      <c r="A484" s="1">
        <v>479</v>
      </c>
      <c r="B484" s="91">
        <v>11375</v>
      </c>
      <c r="C484" s="76" t="s">
        <v>216</v>
      </c>
      <c r="D484" s="76" t="s">
        <v>897</v>
      </c>
      <c r="E484" s="76" t="s">
        <v>885</v>
      </c>
      <c r="F484" s="76" t="s">
        <v>890</v>
      </c>
      <c r="G484" s="76">
        <v>4</v>
      </c>
      <c r="O484" s="92"/>
    </row>
    <row r="485" spans="1:15" x14ac:dyDescent="0.25">
      <c r="A485" s="1">
        <v>480</v>
      </c>
      <c r="B485" s="91">
        <v>11377</v>
      </c>
      <c r="C485" s="76" t="s">
        <v>216</v>
      </c>
      <c r="D485" s="76" t="s">
        <v>897</v>
      </c>
      <c r="E485" s="76" t="s">
        <v>885</v>
      </c>
      <c r="F485" s="76" t="s">
        <v>890</v>
      </c>
      <c r="G485" s="76">
        <v>4</v>
      </c>
      <c r="O485" s="92"/>
    </row>
    <row r="486" spans="1:15" x14ac:dyDescent="0.25">
      <c r="A486" s="1">
        <v>481</v>
      </c>
      <c r="B486" s="91">
        <v>11378</v>
      </c>
      <c r="C486" s="76" t="s">
        <v>216</v>
      </c>
      <c r="D486" s="76" t="s">
        <v>897</v>
      </c>
      <c r="E486" s="76" t="s">
        <v>885</v>
      </c>
      <c r="F486" s="76" t="s">
        <v>890</v>
      </c>
      <c r="G486" s="76">
        <v>4</v>
      </c>
      <c r="O486" s="92"/>
    </row>
    <row r="487" spans="1:15" x14ac:dyDescent="0.25">
      <c r="A487" s="1">
        <v>482</v>
      </c>
      <c r="B487" s="91">
        <v>11379</v>
      </c>
      <c r="C487" s="76" t="s">
        <v>216</v>
      </c>
      <c r="D487" s="76" t="s">
        <v>897</v>
      </c>
      <c r="E487" s="76" t="s">
        <v>885</v>
      </c>
      <c r="F487" s="76" t="s">
        <v>890</v>
      </c>
      <c r="G487" s="76">
        <v>4</v>
      </c>
      <c r="O487" s="92"/>
    </row>
    <row r="488" spans="1:15" x14ac:dyDescent="0.25">
      <c r="A488" s="1">
        <v>483</v>
      </c>
      <c r="B488" s="91">
        <v>11380</v>
      </c>
      <c r="C488" s="76" t="s">
        <v>216</v>
      </c>
      <c r="D488" s="76" t="s">
        <v>897</v>
      </c>
      <c r="E488" s="76" t="s">
        <v>885</v>
      </c>
      <c r="F488" s="76" t="s">
        <v>890</v>
      </c>
      <c r="G488" s="76">
        <v>4</v>
      </c>
      <c r="O488" s="92"/>
    </row>
    <row r="489" spans="1:15" x14ac:dyDescent="0.25">
      <c r="A489" s="1">
        <v>484</v>
      </c>
      <c r="B489" s="91">
        <v>11381</v>
      </c>
      <c r="C489" s="76" t="s">
        <v>216</v>
      </c>
      <c r="D489" s="76" t="s">
        <v>897</v>
      </c>
      <c r="E489" s="76" t="s">
        <v>885</v>
      </c>
      <c r="F489" s="76" t="s">
        <v>890</v>
      </c>
      <c r="G489" s="76">
        <v>4</v>
      </c>
      <c r="O489" s="92"/>
    </row>
    <row r="490" spans="1:15" x14ac:dyDescent="0.25">
      <c r="A490" s="1">
        <v>485</v>
      </c>
      <c r="B490" s="91">
        <v>11385</v>
      </c>
      <c r="C490" s="76" t="s">
        <v>216</v>
      </c>
      <c r="D490" s="76" t="s">
        <v>897</v>
      </c>
      <c r="E490" s="76" t="s">
        <v>885</v>
      </c>
      <c r="F490" s="76" t="s">
        <v>890</v>
      </c>
      <c r="G490" s="76">
        <v>4</v>
      </c>
      <c r="O490" s="92"/>
    </row>
    <row r="491" spans="1:15" x14ac:dyDescent="0.25">
      <c r="A491" s="1">
        <v>486</v>
      </c>
      <c r="B491" s="91">
        <v>11386</v>
      </c>
      <c r="C491" s="76" t="s">
        <v>216</v>
      </c>
      <c r="D491" s="76" t="s">
        <v>897</v>
      </c>
      <c r="E491" s="76" t="s">
        <v>885</v>
      </c>
      <c r="F491" s="76" t="s">
        <v>890</v>
      </c>
      <c r="G491" s="76">
        <v>4</v>
      </c>
      <c r="O491" s="92"/>
    </row>
    <row r="492" spans="1:15" x14ac:dyDescent="0.25">
      <c r="A492" s="1">
        <v>487</v>
      </c>
      <c r="B492" s="91">
        <v>11390</v>
      </c>
      <c r="C492" s="76" t="s">
        <v>216</v>
      </c>
      <c r="D492" s="76" t="s">
        <v>897</v>
      </c>
      <c r="E492" s="76" t="s">
        <v>885</v>
      </c>
      <c r="F492" s="76" t="s">
        <v>890</v>
      </c>
      <c r="G492" s="76">
        <v>4</v>
      </c>
      <c r="O492" s="92"/>
    </row>
    <row r="493" spans="1:15" x14ac:dyDescent="0.25">
      <c r="A493" s="1">
        <v>488</v>
      </c>
      <c r="B493" s="91">
        <v>11405</v>
      </c>
      <c r="C493" s="76" t="s">
        <v>216</v>
      </c>
      <c r="D493" s="76" t="s">
        <v>897</v>
      </c>
      <c r="E493" s="76" t="s">
        <v>885</v>
      </c>
      <c r="F493" s="76" t="s">
        <v>890</v>
      </c>
      <c r="G493" s="76">
        <v>4</v>
      </c>
      <c r="O493" s="92"/>
    </row>
    <row r="494" spans="1:15" x14ac:dyDescent="0.25">
      <c r="A494" s="1">
        <v>489</v>
      </c>
      <c r="B494" s="91">
        <v>11411</v>
      </c>
      <c r="C494" s="76" t="s">
        <v>216</v>
      </c>
      <c r="D494" s="76" t="s">
        <v>897</v>
      </c>
      <c r="E494" s="76" t="s">
        <v>885</v>
      </c>
      <c r="F494" s="76" t="s">
        <v>890</v>
      </c>
      <c r="G494" s="76">
        <v>4</v>
      </c>
      <c r="O494" s="92"/>
    </row>
    <row r="495" spans="1:15" x14ac:dyDescent="0.25">
      <c r="A495" s="1">
        <v>490</v>
      </c>
      <c r="B495" s="91">
        <v>11412</v>
      </c>
      <c r="C495" s="76" t="s">
        <v>216</v>
      </c>
      <c r="D495" s="76" t="s">
        <v>897</v>
      </c>
      <c r="E495" s="76" t="s">
        <v>885</v>
      </c>
      <c r="F495" s="76" t="s">
        <v>890</v>
      </c>
      <c r="G495" s="76">
        <v>4</v>
      </c>
      <c r="O495" s="92"/>
    </row>
    <row r="496" spans="1:15" x14ac:dyDescent="0.25">
      <c r="A496" s="1">
        <v>491</v>
      </c>
      <c r="B496" s="91">
        <v>11413</v>
      </c>
      <c r="C496" s="76" t="s">
        <v>216</v>
      </c>
      <c r="D496" s="76" t="s">
        <v>897</v>
      </c>
      <c r="E496" s="76" t="s">
        <v>885</v>
      </c>
      <c r="F496" s="76" t="s">
        <v>890</v>
      </c>
      <c r="G496" s="76">
        <v>4</v>
      </c>
      <c r="O496" s="92"/>
    </row>
    <row r="497" spans="1:15" x14ac:dyDescent="0.25">
      <c r="A497" s="1">
        <v>492</v>
      </c>
      <c r="B497" s="91">
        <v>11414</v>
      </c>
      <c r="C497" s="76" t="s">
        <v>216</v>
      </c>
      <c r="D497" s="76" t="s">
        <v>897</v>
      </c>
      <c r="E497" s="76" t="s">
        <v>885</v>
      </c>
      <c r="F497" s="76" t="s">
        <v>890</v>
      </c>
      <c r="G497" s="76">
        <v>4</v>
      </c>
      <c r="O497" s="92"/>
    </row>
    <row r="498" spans="1:15" x14ac:dyDescent="0.25">
      <c r="A498" s="1">
        <v>493</v>
      </c>
      <c r="B498" s="91">
        <v>11415</v>
      </c>
      <c r="C498" s="76" t="s">
        <v>216</v>
      </c>
      <c r="D498" s="76" t="s">
        <v>897</v>
      </c>
      <c r="E498" s="76" t="s">
        <v>885</v>
      </c>
      <c r="F498" s="76" t="s">
        <v>890</v>
      </c>
      <c r="G498" s="76">
        <v>4</v>
      </c>
      <c r="O498" s="92"/>
    </row>
    <row r="499" spans="1:15" x14ac:dyDescent="0.25">
      <c r="A499" s="1">
        <v>494</v>
      </c>
      <c r="B499" s="91">
        <v>11416</v>
      </c>
      <c r="C499" s="76" t="s">
        <v>216</v>
      </c>
      <c r="D499" s="76" t="s">
        <v>897</v>
      </c>
      <c r="E499" s="76" t="s">
        <v>885</v>
      </c>
      <c r="F499" s="76" t="s">
        <v>890</v>
      </c>
      <c r="G499" s="76">
        <v>4</v>
      </c>
      <c r="O499" s="92"/>
    </row>
    <row r="500" spans="1:15" x14ac:dyDescent="0.25">
      <c r="A500" s="1">
        <v>495</v>
      </c>
      <c r="B500" s="91">
        <v>11417</v>
      </c>
      <c r="C500" s="76" t="s">
        <v>216</v>
      </c>
      <c r="D500" s="76" t="s">
        <v>897</v>
      </c>
      <c r="E500" s="76" t="s">
        <v>885</v>
      </c>
      <c r="F500" s="76" t="s">
        <v>890</v>
      </c>
      <c r="G500" s="76">
        <v>4</v>
      </c>
      <c r="O500" s="92"/>
    </row>
    <row r="501" spans="1:15" x14ac:dyDescent="0.25">
      <c r="A501" s="1">
        <v>496</v>
      </c>
      <c r="B501" s="91">
        <v>11418</v>
      </c>
      <c r="C501" s="76" t="s">
        <v>216</v>
      </c>
      <c r="D501" s="76" t="s">
        <v>897</v>
      </c>
      <c r="E501" s="76" t="s">
        <v>885</v>
      </c>
      <c r="F501" s="76" t="s">
        <v>890</v>
      </c>
      <c r="G501" s="76">
        <v>4</v>
      </c>
      <c r="O501" s="92"/>
    </row>
    <row r="502" spans="1:15" x14ac:dyDescent="0.25">
      <c r="A502" s="1">
        <v>497</v>
      </c>
      <c r="B502" s="91">
        <v>11419</v>
      </c>
      <c r="C502" s="76" t="s">
        <v>216</v>
      </c>
      <c r="D502" s="76" t="s">
        <v>897</v>
      </c>
      <c r="E502" s="76" t="s">
        <v>885</v>
      </c>
      <c r="F502" s="76" t="s">
        <v>890</v>
      </c>
      <c r="G502" s="76">
        <v>4</v>
      </c>
      <c r="O502" s="92"/>
    </row>
    <row r="503" spans="1:15" x14ac:dyDescent="0.25">
      <c r="A503" s="1">
        <v>498</v>
      </c>
      <c r="B503" s="91">
        <v>11420</v>
      </c>
      <c r="C503" s="76" t="s">
        <v>216</v>
      </c>
      <c r="D503" s="76" t="s">
        <v>897</v>
      </c>
      <c r="E503" s="76" t="s">
        <v>885</v>
      </c>
      <c r="F503" s="76" t="s">
        <v>890</v>
      </c>
      <c r="G503" s="76">
        <v>4</v>
      </c>
      <c r="O503" s="92"/>
    </row>
    <row r="504" spans="1:15" x14ac:dyDescent="0.25">
      <c r="A504" s="1">
        <v>499</v>
      </c>
      <c r="B504" s="91">
        <v>11421</v>
      </c>
      <c r="C504" s="76" t="s">
        <v>216</v>
      </c>
      <c r="D504" s="76" t="s">
        <v>897</v>
      </c>
      <c r="E504" s="76" t="s">
        <v>885</v>
      </c>
      <c r="F504" s="76" t="s">
        <v>890</v>
      </c>
      <c r="G504" s="76">
        <v>4</v>
      </c>
      <c r="O504" s="92"/>
    </row>
    <row r="505" spans="1:15" x14ac:dyDescent="0.25">
      <c r="A505" s="1">
        <v>500</v>
      </c>
      <c r="B505" s="91">
        <v>11422</v>
      </c>
      <c r="C505" s="76" t="s">
        <v>216</v>
      </c>
      <c r="D505" s="76" t="s">
        <v>897</v>
      </c>
      <c r="E505" s="76" t="s">
        <v>885</v>
      </c>
      <c r="F505" s="76" t="s">
        <v>890</v>
      </c>
      <c r="G505" s="76">
        <v>4</v>
      </c>
      <c r="O505" s="92"/>
    </row>
    <row r="506" spans="1:15" x14ac:dyDescent="0.25">
      <c r="A506" s="1">
        <v>501</v>
      </c>
      <c r="B506" s="91">
        <v>11423</v>
      </c>
      <c r="C506" s="76" t="s">
        <v>216</v>
      </c>
      <c r="D506" s="76" t="s">
        <v>897</v>
      </c>
      <c r="E506" s="76" t="s">
        <v>885</v>
      </c>
      <c r="F506" s="76" t="s">
        <v>890</v>
      </c>
      <c r="G506" s="76">
        <v>4</v>
      </c>
      <c r="O506" s="92"/>
    </row>
    <row r="507" spans="1:15" x14ac:dyDescent="0.25">
      <c r="A507" s="1">
        <v>502</v>
      </c>
      <c r="B507" s="91">
        <v>11424</v>
      </c>
      <c r="C507" s="76" t="s">
        <v>216</v>
      </c>
      <c r="D507" s="76" t="s">
        <v>897</v>
      </c>
      <c r="E507" s="76" t="s">
        <v>885</v>
      </c>
      <c r="F507" s="76" t="s">
        <v>890</v>
      </c>
      <c r="G507" s="76">
        <v>4</v>
      </c>
      <c r="O507" s="92"/>
    </row>
    <row r="508" spans="1:15" x14ac:dyDescent="0.25">
      <c r="A508" s="1">
        <v>503</v>
      </c>
      <c r="B508" s="91">
        <v>11425</v>
      </c>
      <c r="C508" s="76" t="s">
        <v>216</v>
      </c>
      <c r="D508" s="76" t="s">
        <v>897</v>
      </c>
      <c r="E508" s="76" t="s">
        <v>885</v>
      </c>
      <c r="F508" s="76" t="s">
        <v>890</v>
      </c>
      <c r="G508" s="76">
        <v>4</v>
      </c>
      <c r="O508" s="92"/>
    </row>
    <row r="509" spans="1:15" x14ac:dyDescent="0.25">
      <c r="A509" s="1">
        <v>504</v>
      </c>
      <c r="B509" s="91">
        <v>11426</v>
      </c>
      <c r="C509" s="76" t="s">
        <v>216</v>
      </c>
      <c r="D509" s="76" t="s">
        <v>897</v>
      </c>
      <c r="E509" s="76" t="s">
        <v>885</v>
      </c>
      <c r="F509" s="76" t="s">
        <v>890</v>
      </c>
      <c r="G509" s="76">
        <v>4</v>
      </c>
      <c r="O509" s="92"/>
    </row>
    <row r="510" spans="1:15" x14ac:dyDescent="0.25">
      <c r="A510" s="1">
        <v>505</v>
      </c>
      <c r="B510" s="91">
        <v>11427</v>
      </c>
      <c r="C510" s="76" t="s">
        <v>216</v>
      </c>
      <c r="D510" s="76" t="s">
        <v>897</v>
      </c>
      <c r="E510" s="76" t="s">
        <v>885</v>
      </c>
      <c r="F510" s="76" t="s">
        <v>890</v>
      </c>
      <c r="G510" s="76">
        <v>4</v>
      </c>
      <c r="O510" s="92"/>
    </row>
    <row r="511" spans="1:15" x14ac:dyDescent="0.25">
      <c r="A511" s="1">
        <v>506</v>
      </c>
      <c r="B511" s="91">
        <v>11428</v>
      </c>
      <c r="C511" s="76" t="s">
        <v>216</v>
      </c>
      <c r="D511" s="76" t="s">
        <v>897</v>
      </c>
      <c r="E511" s="76" t="s">
        <v>885</v>
      </c>
      <c r="F511" s="76" t="s">
        <v>890</v>
      </c>
      <c r="G511" s="76">
        <v>4</v>
      </c>
      <c r="O511" s="92"/>
    </row>
    <row r="512" spans="1:15" x14ac:dyDescent="0.25">
      <c r="A512" s="1">
        <v>507</v>
      </c>
      <c r="B512" s="91">
        <v>11429</v>
      </c>
      <c r="C512" s="76" t="s">
        <v>216</v>
      </c>
      <c r="D512" s="76" t="s">
        <v>897</v>
      </c>
      <c r="E512" s="76" t="s">
        <v>885</v>
      </c>
      <c r="F512" s="76" t="s">
        <v>890</v>
      </c>
      <c r="G512" s="76">
        <v>4</v>
      </c>
      <c r="O512" s="92"/>
    </row>
    <row r="513" spans="1:15" x14ac:dyDescent="0.25">
      <c r="A513" s="1">
        <v>508</v>
      </c>
      <c r="B513" s="91">
        <v>11430</v>
      </c>
      <c r="C513" s="76" t="s">
        <v>216</v>
      </c>
      <c r="D513" s="76" t="s">
        <v>897</v>
      </c>
      <c r="E513" s="76" t="s">
        <v>885</v>
      </c>
      <c r="F513" s="76" t="s">
        <v>890</v>
      </c>
      <c r="G513" s="76">
        <v>4</v>
      </c>
      <c r="O513" s="92"/>
    </row>
    <row r="514" spans="1:15" x14ac:dyDescent="0.25">
      <c r="A514" s="1">
        <v>509</v>
      </c>
      <c r="B514" s="91">
        <v>11431</v>
      </c>
      <c r="C514" s="76" t="s">
        <v>216</v>
      </c>
      <c r="D514" s="76" t="s">
        <v>897</v>
      </c>
      <c r="E514" s="76" t="s">
        <v>885</v>
      </c>
      <c r="F514" s="76" t="s">
        <v>890</v>
      </c>
      <c r="G514" s="76">
        <v>4</v>
      </c>
      <c r="O514" s="92"/>
    </row>
    <row r="515" spans="1:15" x14ac:dyDescent="0.25">
      <c r="A515" s="1">
        <v>510</v>
      </c>
      <c r="B515" s="91">
        <v>11432</v>
      </c>
      <c r="C515" s="76" t="s">
        <v>216</v>
      </c>
      <c r="D515" s="76" t="s">
        <v>897</v>
      </c>
      <c r="E515" s="76" t="s">
        <v>885</v>
      </c>
      <c r="F515" s="76" t="s">
        <v>890</v>
      </c>
      <c r="G515" s="76">
        <v>4</v>
      </c>
      <c r="O515" s="92"/>
    </row>
    <row r="516" spans="1:15" x14ac:dyDescent="0.25">
      <c r="A516" s="1">
        <v>511</v>
      </c>
      <c r="B516" s="91">
        <v>11433</v>
      </c>
      <c r="C516" s="76" t="s">
        <v>216</v>
      </c>
      <c r="D516" s="76" t="s">
        <v>897</v>
      </c>
      <c r="E516" s="76" t="s">
        <v>885</v>
      </c>
      <c r="F516" s="76" t="s">
        <v>890</v>
      </c>
      <c r="G516" s="76">
        <v>4</v>
      </c>
      <c r="O516" s="92"/>
    </row>
    <row r="517" spans="1:15" x14ac:dyDescent="0.25">
      <c r="A517" s="1">
        <v>512</v>
      </c>
      <c r="B517" s="91">
        <v>11434</v>
      </c>
      <c r="C517" s="76" t="s">
        <v>216</v>
      </c>
      <c r="D517" s="76" t="s">
        <v>897</v>
      </c>
      <c r="E517" s="76" t="s">
        <v>885</v>
      </c>
      <c r="F517" s="76" t="s">
        <v>890</v>
      </c>
      <c r="G517" s="76">
        <v>4</v>
      </c>
      <c r="O517" s="92"/>
    </row>
    <row r="518" spans="1:15" x14ac:dyDescent="0.25">
      <c r="A518" s="1">
        <v>513</v>
      </c>
      <c r="B518" s="91">
        <v>11435</v>
      </c>
      <c r="C518" s="76" t="s">
        <v>216</v>
      </c>
      <c r="D518" s="76" t="s">
        <v>897</v>
      </c>
      <c r="E518" s="76" t="s">
        <v>885</v>
      </c>
      <c r="F518" s="76" t="s">
        <v>890</v>
      </c>
      <c r="G518" s="76">
        <v>4</v>
      </c>
      <c r="O518" s="92"/>
    </row>
    <row r="519" spans="1:15" x14ac:dyDescent="0.25">
      <c r="A519" s="1">
        <v>514</v>
      </c>
      <c r="B519" s="91">
        <v>11436</v>
      </c>
      <c r="C519" s="76" t="s">
        <v>216</v>
      </c>
      <c r="D519" s="76" t="s">
        <v>897</v>
      </c>
      <c r="E519" s="76" t="s">
        <v>885</v>
      </c>
      <c r="F519" s="76" t="s">
        <v>890</v>
      </c>
      <c r="G519" s="76">
        <v>4</v>
      </c>
      <c r="O519" s="92"/>
    </row>
    <row r="520" spans="1:15" x14ac:dyDescent="0.25">
      <c r="A520" s="1">
        <v>515</v>
      </c>
      <c r="B520" s="91">
        <v>11437</v>
      </c>
      <c r="C520" s="76" t="s">
        <v>216</v>
      </c>
      <c r="D520" s="76" t="s">
        <v>897</v>
      </c>
      <c r="E520" s="76" t="s">
        <v>885</v>
      </c>
      <c r="F520" s="76" t="s">
        <v>890</v>
      </c>
      <c r="G520" s="76">
        <v>4</v>
      </c>
      <c r="O520" s="92"/>
    </row>
    <row r="521" spans="1:15" x14ac:dyDescent="0.25">
      <c r="A521" s="1">
        <v>516</v>
      </c>
      <c r="B521" s="91">
        <v>11439</v>
      </c>
      <c r="C521" s="76" t="s">
        <v>216</v>
      </c>
      <c r="D521" s="76" t="s">
        <v>897</v>
      </c>
      <c r="E521" s="76" t="s">
        <v>885</v>
      </c>
      <c r="F521" s="76" t="s">
        <v>890</v>
      </c>
      <c r="G521" s="76">
        <v>4</v>
      </c>
      <c r="O521" s="92"/>
    </row>
    <row r="522" spans="1:15" x14ac:dyDescent="0.25">
      <c r="A522" s="1">
        <v>517</v>
      </c>
      <c r="B522" s="91">
        <v>11451</v>
      </c>
      <c r="C522" s="76" t="s">
        <v>216</v>
      </c>
      <c r="D522" s="76" t="s">
        <v>897</v>
      </c>
      <c r="E522" s="76" t="s">
        <v>885</v>
      </c>
      <c r="F522" s="76" t="s">
        <v>890</v>
      </c>
      <c r="G522" s="76">
        <v>4</v>
      </c>
      <c r="O522" s="92"/>
    </row>
    <row r="523" spans="1:15" x14ac:dyDescent="0.25">
      <c r="A523" s="1">
        <v>518</v>
      </c>
      <c r="B523" s="91">
        <v>11499</v>
      </c>
      <c r="C523" s="76" t="s">
        <v>216</v>
      </c>
      <c r="D523" s="76" t="s">
        <v>897</v>
      </c>
      <c r="E523" s="76" t="s">
        <v>885</v>
      </c>
      <c r="F523" s="76" t="s">
        <v>890</v>
      </c>
      <c r="G523" s="76">
        <v>4</v>
      </c>
      <c r="O523" s="92"/>
    </row>
    <row r="524" spans="1:15" x14ac:dyDescent="0.25">
      <c r="A524" s="1">
        <v>519</v>
      </c>
      <c r="B524" s="91">
        <v>11501</v>
      </c>
      <c r="C524" s="76" t="s">
        <v>216</v>
      </c>
      <c r="D524" s="76" t="s">
        <v>896</v>
      </c>
      <c r="E524" s="76" t="s">
        <v>885</v>
      </c>
      <c r="F524" s="76" t="s">
        <v>886</v>
      </c>
      <c r="G524" s="76">
        <v>4</v>
      </c>
      <c r="O524" s="92"/>
    </row>
    <row r="525" spans="1:15" x14ac:dyDescent="0.25">
      <c r="A525" s="1">
        <v>520</v>
      </c>
      <c r="B525" s="91">
        <v>11507</v>
      </c>
      <c r="C525" s="76" t="s">
        <v>216</v>
      </c>
      <c r="D525" s="76" t="s">
        <v>896</v>
      </c>
      <c r="E525" s="76" t="s">
        <v>885</v>
      </c>
      <c r="F525" s="76" t="s">
        <v>886</v>
      </c>
      <c r="G525" s="76">
        <v>4</v>
      </c>
      <c r="O525" s="92"/>
    </row>
    <row r="526" spans="1:15" x14ac:dyDescent="0.25">
      <c r="A526" s="1">
        <v>521</v>
      </c>
      <c r="B526" s="91">
        <v>11509</v>
      </c>
      <c r="C526" s="76" t="s">
        <v>216</v>
      </c>
      <c r="D526" s="76" t="s">
        <v>896</v>
      </c>
      <c r="E526" s="76" t="s">
        <v>885</v>
      </c>
      <c r="F526" s="76" t="s">
        <v>886</v>
      </c>
      <c r="G526" s="76">
        <v>4</v>
      </c>
      <c r="O526" s="92"/>
    </row>
    <row r="527" spans="1:15" x14ac:dyDescent="0.25">
      <c r="A527" s="1">
        <v>522</v>
      </c>
      <c r="B527" s="91">
        <v>11510</v>
      </c>
      <c r="C527" s="76" t="s">
        <v>216</v>
      </c>
      <c r="D527" s="76" t="s">
        <v>896</v>
      </c>
      <c r="E527" s="76" t="s">
        <v>885</v>
      </c>
      <c r="F527" s="76" t="s">
        <v>886</v>
      </c>
      <c r="G527" s="76">
        <v>4</v>
      </c>
      <c r="O527" s="92"/>
    </row>
    <row r="528" spans="1:15" x14ac:dyDescent="0.25">
      <c r="A528" s="1">
        <v>523</v>
      </c>
      <c r="B528" s="91">
        <v>11514</v>
      </c>
      <c r="C528" s="76" t="s">
        <v>216</v>
      </c>
      <c r="D528" s="76" t="s">
        <v>896</v>
      </c>
      <c r="E528" s="76" t="s">
        <v>885</v>
      </c>
      <c r="F528" s="76" t="s">
        <v>886</v>
      </c>
      <c r="G528" s="76">
        <v>4</v>
      </c>
      <c r="O528" s="92"/>
    </row>
    <row r="529" spans="1:15" x14ac:dyDescent="0.25">
      <c r="A529" s="1">
        <v>524</v>
      </c>
      <c r="B529" s="91">
        <v>11516</v>
      </c>
      <c r="C529" s="76" t="s">
        <v>216</v>
      </c>
      <c r="D529" s="76" t="s">
        <v>896</v>
      </c>
      <c r="E529" s="76" t="s">
        <v>885</v>
      </c>
      <c r="F529" s="76" t="s">
        <v>886</v>
      </c>
      <c r="G529" s="76">
        <v>4</v>
      </c>
      <c r="O529" s="92"/>
    </row>
    <row r="530" spans="1:15" x14ac:dyDescent="0.25">
      <c r="A530" s="1">
        <v>525</v>
      </c>
      <c r="B530" s="91">
        <v>11518</v>
      </c>
      <c r="C530" s="76" t="s">
        <v>216</v>
      </c>
      <c r="D530" s="76" t="s">
        <v>896</v>
      </c>
      <c r="E530" s="76" t="s">
        <v>885</v>
      </c>
      <c r="F530" s="76" t="s">
        <v>886</v>
      </c>
      <c r="G530" s="76">
        <v>4</v>
      </c>
      <c r="O530" s="92"/>
    </row>
    <row r="531" spans="1:15" x14ac:dyDescent="0.25">
      <c r="A531" s="1">
        <v>526</v>
      </c>
      <c r="B531" s="91">
        <v>11520</v>
      </c>
      <c r="C531" s="76" t="s">
        <v>216</v>
      </c>
      <c r="D531" s="76" t="s">
        <v>896</v>
      </c>
      <c r="E531" s="76" t="s">
        <v>885</v>
      </c>
      <c r="F531" s="76" t="s">
        <v>886</v>
      </c>
      <c r="G531" s="76">
        <v>4</v>
      </c>
      <c r="O531" s="92"/>
    </row>
    <row r="532" spans="1:15" x14ac:dyDescent="0.25">
      <c r="A532" s="1">
        <v>527</v>
      </c>
      <c r="B532" s="91">
        <v>11530</v>
      </c>
      <c r="C532" s="76" t="s">
        <v>216</v>
      </c>
      <c r="D532" s="76" t="s">
        <v>896</v>
      </c>
      <c r="E532" s="76" t="s">
        <v>885</v>
      </c>
      <c r="F532" s="76" t="s">
        <v>886</v>
      </c>
      <c r="G532" s="76">
        <v>4</v>
      </c>
      <c r="O532" s="92"/>
    </row>
    <row r="533" spans="1:15" x14ac:dyDescent="0.25">
      <c r="A533" s="1">
        <v>528</v>
      </c>
      <c r="B533" s="91">
        <v>11531</v>
      </c>
      <c r="C533" s="76" t="s">
        <v>216</v>
      </c>
      <c r="D533" s="76" t="s">
        <v>896</v>
      </c>
      <c r="E533" s="76" t="s">
        <v>885</v>
      </c>
      <c r="F533" s="76" t="s">
        <v>886</v>
      </c>
      <c r="G533" s="76">
        <v>4</v>
      </c>
      <c r="O533" s="92"/>
    </row>
    <row r="534" spans="1:15" x14ac:dyDescent="0.25">
      <c r="A534" s="1">
        <v>529</v>
      </c>
      <c r="B534" s="91">
        <v>11535</v>
      </c>
      <c r="C534" s="76" t="s">
        <v>216</v>
      </c>
      <c r="D534" s="76" t="s">
        <v>896</v>
      </c>
      <c r="E534" s="76" t="s">
        <v>885</v>
      </c>
      <c r="F534" s="76" t="s">
        <v>886</v>
      </c>
      <c r="G534" s="76">
        <v>4</v>
      </c>
      <c r="O534" s="92"/>
    </row>
    <row r="535" spans="1:15" x14ac:dyDescent="0.25">
      <c r="A535" s="1">
        <v>530</v>
      </c>
      <c r="B535" s="91">
        <v>11536</v>
      </c>
      <c r="C535" s="76" t="s">
        <v>216</v>
      </c>
      <c r="D535" s="76" t="s">
        <v>896</v>
      </c>
      <c r="E535" s="76" t="s">
        <v>885</v>
      </c>
      <c r="F535" s="76" t="s">
        <v>886</v>
      </c>
      <c r="G535" s="76">
        <v>4</v>
      </c>
      <c r="O535" s="92"/>
    </row>
    <row r="536" spans="1:15" x14ac:dyDescent="0.25">
      <c r="A536" s="1">
        <v>531</v>
      </c>
      <c r="B536" s="91">
        <v>11542</v>
      </c>
      <c r="C536" s="76" t="s">
        <v>216</v>
      </c>
      <c r="D536" s="76" t="s">
        <v>896</v>
      </c>
      <c r="E536" s="76" t="s">
        <v>885</v>
      </c>
      <c r="F536" s="76" t="s">
        <v>886</v>
      </c>
      <c r="G536" s="76">
        <v>4</v>
      </c>
      <c r="O536" s="92"/>
    </row>
    <row r="537" spans="1:15" x14ac:dyDescent="0.25">
      <c r="A537" s="1">
        <v>532</v>
      </c>
      <c r="B537" s="91">
        <v>11545</v>
      </c>
      <c r="C537" s="76" t="s">
        <v>216</v>
      </c>
      <c r="D537" s="76" t="s">
        <v>896</v>
      </c>
      <c r="E537" s="76" t="s">
        <v>885</v>
      </c>
      <c r="F537" s="76" t="s">
        <v>886</v>
      </c>
      <c r="G537" s="76">
        <v>4</v>
      </c>
      <c r="O537" s="92"/>
    </row>
    <row r="538" spans="1:15" x14ac:dyDescent="0.25">
      <c r="A538" s="1">
        <v>533</v>
      </c>
      <c r="B538" s="91">
        <v>11547</v>
      </c>
      <c r="C538" s="76" t="s">
        <v>216</v>
      </c>
      <c r="D538" s="76" t="s">
        <v>896</v>
      </c>
      <c r="E538" s="76" t="s">
        <v>885</v>
      </c>
      <c r="F538" s="76" t="s">
        <v>886</v>
      </c>
      <c r="G538" s="76">
        <v>4</v>
      </c>
      <c r="O538" s="92"/>
    </row>
    <row r="539" spans="1:15" x14ac:dyDescent="0.25">
      <c r="A539" s="1">
        <v>534</v>
      </c>
      <c r="B539" s="91">
        <v>11548</v>
      </c>
      <c r="C539" s="76" t="s">
        <v>216</v>
      </c>
      <c r="D539" s="76" t="s">
        <v>896</v>
      </c>
      <c r="E539" s="76" t="s">
        <v>885</v>
      </c>
      <c r="F539" s="76" t="s">
        <v>886</v>
      </c>
      <c r="G539" s="76">
        <v>4</v>
      </c>
      <c r="O539" s="92"/>
    </row>
    <row r="540" spans="1:15" x14ac:dyDescent="0.25">
      <c r="A540" s="1">
        <v>535</v>
      </c>
      <c r="B540" s="91">
        <v>11549</v>
      </c>
      <c r="C540" s="76" t="s">
        <v>216</v>
      </c>
      <c r="D540" s="76" t="s">
        <v>896</v>
      </c>
      <c r="E540" s="76" t="s">
        <v>885</v>
      </c>
      <c r="F540" s="76" t="s">
        <v>886</v>
      </c>
      <c r="G540" s="76">
        <v>4</v>
      </c>
      <c r="O540" s="92"/>
    </row>
    <row r="541" spans="1:15" x14ac:dyDescent="0.25">
      <c r="A541" s="1">
        <v>536</v>
      </c>
      <c r="B541" s="91">
        <v>11550</v>
      </c>
      <c r="C541" s="76" t="s">
        <v>216</v>
      </c>
      <c r="D541" s="76" t="s">
        <v>896</v>
      </c>
      <c r="E541" s="76" t="s">
        <v>885</v>
      </c>
      <c r="F541" s="76" t="s">
        <v>886</v>
      </c>
      <c r="G541" s="76">
        <v>4</v>
      </c>
      <c r="O541" s="92"/>
    </row>
    <row r="542" spans="1:15" x14ac:dyDescent="0.25">
      <c r="A542" s="1">
        <v>537</v>
      </c>
      <c r="B542" s="91">
        <v>11551</v>
      </c>
      <c r="C542" s="76" t="s">
        <v>216</v>
      </c>
      <c r="D542" s="76" t="s">
        <v>896</v>
      </c>
      <c r="E542" s="76" t="s">
        <v>885</v>
      </c>
      <c r="F542" s="76" t="s">
        <v>886</v>
      </c>
      <c r="G542" s="76">
        <v>4</v>
      </c>
      <c r="O542" s="92"/>
    </row>
    <row r="543" spans="1:15" x14ac:dyDescent="0.25">
      <c r="A543" s="1">
        <v>538</v>
      </c>
      <c r="B543" s="91">
        <v>11552</v>
      </c>
      <c r="C543" s="76" t="s">
        <v>216</v>
      </c>
      <c r="D543" s="76" t="s">
        <v>896</v>
      </c>
      <c r="E543" s="76" t="s">
        <v>885</v>
      </c>
      <c r="F543" s="76" t="s">
        <v>886</v>
      </c>
      <c r="G543" s="76">
        <v>4</v>
      </c>
      <c r="O543" s="92"/>
    </row>
    <row r="544" spans="1:15" x14ac:dyDescent="0.25">
      <c r="A544" s="1">
        <v>539</v>
      </c>
      <c r="B544" s="91">
        <v>11553</v>
      </c>
      <c r="C544" s="76" t="s">
        <v>216</v>
      </c>
      <c r="D544" s="76" t="s">
        <v>896</v>
      </c>
      <c r="E544" s="76" t="s">
        <v>885</v>
      </c>
      <c r="F544" s="76" t="s">
        <v>886</v>
      </c>
      <c r="G544" s="76">
        <v>4</v>
      </c>
      <c r="O544" s="92"/>
    </row>
    <row r="545" spans="1:15" x14ac:dyDescent="0.25">
      <c r="A545" s="1">
        <v>540</v>
      </c>
      <c r="B545" s="91">
        <v>11554</v>
      </c>
      <c r="C545" s="76" t="s">
        <v>216</v>
      </c>
      <c r="D545" s="76" t="s">
        <v>896</v>
      </c>
      <c r="E545" s="76" t="s">
        <v>885</v>
      </c>
      <c r="F545" s="76" t="s">
        <v>886</v>
      </c>
      <c r="G545" s="76">
        <v>4</v>
      </c>
      <c r="O545" s="92"/>
    </row>
    <row r="546" spans="1:15" x14ac:dyDescent="0.25">
      <c r="A546" s="1">
        <v>541</v>
      </c>
      <c r="B546" s="91">
        <v>11555</v>
      </c>
      <c r="C546" s="76" t="s">
        <v>216</v>
      </c>
      <c r="D546" s="76" t="s">
        <v>896</v>
      </c>
      <c r="E546" s="76" t="s">
        <v>885</v>
      </c>
      <c r="F546" s="76" t="s">
        <v>886</v>
      </c>
      <c r="G546" s="76">
        <v>4</v>
      </c>
      <c r="O546" s="92"/>
    </row>
    <row r="547" spans="1:15" x14ac:dyDescent="0.25">
      <c r="A547" s="1">
        <v>542</v>
      </c>
      <c r="B547" s="91">
        <v>11556</v>
      </c>
      <c r="C547" s="76" t="s">
        <v>216</v>
      </c>
      <c r="D547" s="76" t="s">
        <v>896</v>
      </c>
      <c r="E547" s="76" t="s">
        <v>885</v>
      </c>
      <c r="F547" s="76" t="s">
        <v>886</v>
      </c>
      <c r="G547" s="76">
        <v>4</v>
      </c>
      <c r="O547" s="92"/>
    </row>
    <row r="548" spans="1:15" x14ac:dyDescent="0.25">
      <c r="A548" s="1">
        <v>543</v>
      </c>
      <c r="B548" s="91">
        <v>11557</v>
      </c>
      <c r="C548" s="76" t="s">
        <v>216</v>
      </c>
      <c r="D548" s="76" t="s">
        <v>896</v>
      </c>
      <c r="E548" s="76" t="s">
        <v>885</v>
      </c>
      <c r="F548" s="76" t="s">
        <v>886</v>
      </c>
      <c r="G548" s="76">
        <v>4</v>
      </c>
      <c r="O548" s="92"/>
    </row>
    <row r="549" spans="1:15" x14ac:dyDescent="0.25">
      <c r="A549" s="1">
        <v>544</v>
      </c>
      <c r="B549" s="91">
        <v>11558</v>
      </c>
      <c r="C549" s="76" t="s">
        <v>216</v>
      </c>
      <c r="D549" s="76" t="s">
        <v>896</v>
      </c>
      <c r="E549" s="76" t="s">
        <v>885</v>
      </c>
      <c r="F549" s="76" t="s">
        <v>886</v>
      </c>
      <c r="G549" s="76">
        <v>4</v>
      </c>
      <c r="O549" s="92"/>
    </row>
    <row r="550" spans="1:15" x14ac:dyDescent="0.25">
      <c r="A550" s="1">
        <v>545</v>
      </c>
      <c r="B550" s="91">
        <v>11559</v>
      </c>
      <c r="C550" s="76" t="s">
        <v>216</v>
      </c>
      <c r="D550" s="76" t="s">
        <v>896</v>
      </c>
      <c r="E550" s="76" t="s">
        <v>885</v>
      </c>
      <c r="F550" s="76" t="s">
        <v>886</v>
      </c>
      <c r="G550" s="76">
        <v>4</v>
      </c>
      <c r="O550" s="92"/>
    </row>
    <row r="551" spans="1:15" x14ac:dyDescent="0.25">
      <c r="A551" s="1">
        <v>546</v>
      </c>
      <c r="B551" s="91">
        <v>11560</v>
      </c>
      <c r="C551" s="76" t="s">
        <v>216</v>
      </c>
      <c r="D551" s="76" t="s">
        <v>896</v>
      </c>
      <c r="E551" s="76" t="s">
        <v>885</v>
      </c>
      <c r="F551" s="76" t="s">
        <v>886</v>
      </c>
      <c r="G551" s="76">
        <v>4</v>
      </c>
      <c r="O551" s="92"/>
    </row>
    <row r="552" spans="1:15" x14ac:dyDescent="0.25">
      <c r="A552" s="1">
        <v>547</v>
      </c>
      <c r="B552" s="91">
        <v>11561</v>
      </c>
      <c r="C552" s="76" t="s">
        <v>216</v>
      </c>
      <c r="D552" s="76" t="s">
        <v>896</v>
      </c>
      <c r="E552" s="76" t="s">
        <v>885</v>
      </c>
      <c r="F552" s="76" t="s">
        <v>886</v>
      </c>
      <c r="G552" s="76">
        <v>4</v>
      </c>
      <c r="O552" s="92"/>
    </row>
    <row r="553" spans="1:15" x14ac:dyDescent="0.25">
      <c r="A553" s="1">
        <v>548</v>
      </c>
      <c r="B553" s="91">
        <v>11563</v>
      </c>
      <c r="C553" s="76" t="s">
        <v>216</v>
      </c>
      <c r="D553" s="76" t="s">
        <v>896</v>
      </c>
      <c r="E553" s="76" t="s">
        <v>885</v>
      </c>
      <c r="F553" s="76" t="s">
        <v>886</v>
      </c>
      <c r="G553" s="76">
        <v>4</v>
      </c>
      <c r="O553" s="92"/>
    </row>
    <row r="554" spans="1:15" x14ac:dyDescent="0.25">
      <c r="A554" s="1">
        <v>549</v>
      </c>
      <c r="B554" s="91">
        <v>11565</v>
      </c>
      <c r="C554" s="76" t="s">
        <v>216</v>
      </c>
      <c r="D554" s="76" t="s">
        <v>896</v>
      </c>
      <c r="E554" s="76" t="s">
        <v>885</v>
      </c>
      <c r="F554" s="76" t="s">
        <v>886</v>
      </c>
      <c r="G554" s="76">
        <v>4</v>
      </c>
      <c r="O554" s="92"/>
    </row>
    <row r="555" spans="1:15" x14ac:dyDescent="0.25">
      <c r="A555" s="1">
        <v>550</v>
      </c>
      <c r="B555" s="91">
        <v>11566</v>
      </c>
      <c r="C555" s="76" t="s">
        <v>216</v>
      </c>
      <c r="D555" s="76" t="s">
        <v>896</v>
      </c>
      <c r="E555" s="76" t="s">
        <v>885</v>
      </c>
      <c r="F555" s="76" t="s">
        <v>886</v>
      </c>
      <c r="G555" s="76">
        <v>4</v>
      </c>
      <c r="O555" s="92"/>
    </row>
    <row r="556" spans="1:15" x14ac:dyDescent="0.25">
      <c r="A556" s="1">
        <v>551</v>
      </c>
      <c r="B556" s="91">
        <v>11568</v>
      </c>
      <c r="C556" s="76" t="s">
        <v>216</v>
      </c>
      <c r="D556" s="76" t="s">
        <v>896</v>
      </c>
      <c r="E556" s="76" t="s">
        <v>885</v>
      </c>
      <c r="F556" s="76" t="s">
        <v>886</v>
      </c>
      <c r="G556" s="76">
        <v>4</v>
      </c>
      <c r="O556" s="92"/>
    </row>
    <row r="557" spans="1:15" x14ac:dyDescent="0.25">
      <c r="A557" s="1">
        <v>552</v>
      </c>
      <c r="B557" s="91">
        <v>11569</v>
      </c>
      <c r="C557" s="76" t="s">
        <v>216</v>
      </c>
      <c r="D557" s="76" t="s">
        <v>896</v>
      </c>
      <c r="E557" s="76" t="s">
        <v>885</v>
      </c>
      <c r="F557" s="76" t="s">
        <v>886</v>
      </c>
      <c r="G557" s="76">
        <v>4</v>
      </c>
      <c r="O557" s="92"/>
    </row>
    <row r="558" spans="1:15" x14ac:dyDescent="0.25">
      <c r="A558" s="1">
        <v>553</v>
      </c>
      <c r="B558" s="91">
        <v>11570</v>
      </c>
      <c r="C558" s="76" t="s">
        <v>216</v>
      </c>
      <c r="D558" s="76" t="s">
        <v>896</v>
      </c>
      <c r="E558" s="76" t="s">
        <v>885</v>
      </c>
      <c r="F558" s="76" t="s">
        <v>886</v>
      </c>
      <c r="G558" s="76">
        <v>4</v>
      </c>
      <c r="O558" s="92"/>
    </row>
    <row r="559" spans="1:15" x14ac:dyDescent="0.25">
      <c r="A559" s="1">
        <v>554</v>
      </c>
      <c r="B559" s="91">
        <v>11571</v>
      </c>
      <c r="C559" s="76" t="s">
        <v>216</v>
      </c>
      <c r="D559" s="76" t="s">
        <v>896</v>
      </c>
      <c r="E559" s="76" t="s">
        <v>885</v>
      </c>
      <c r="F559" s="76" t="s">
        <v>886</v>
      </c>
      <c r="G559" s="76">
        <v>4</v>
      </c>
      <c r="O559" s="92"/>
    </row>
    <row r="560" spans="1:15" x14ac:dyDescent="0.25">
      <c r="A560" s="1">
        <v>555</v>
      </c>
      <c r="B560" s="91">
        <v>11572</v>
      </c>
      <c r="C560" s="76" t="s">
        <v>216</v>
      </c>
      <c r="D560" s="76" t="s">
        <v>896</v>
      </c>
      <c r="E560" s="76" t="s">
        <v>885</v>
      </c>
      <c r="F560" s="76" t="s">
        <v>886</v>
      </c>
      <c r="G560" s="76">
        <v>4</v>
      </c>
      <c r="O560" s="92"/>
    </row>
    <row r="561" spans="1:15" x14ac:dyDescent="0.25">
      <c r="A561" s="1">
        <v>556</v>
      </c>
      <c r="B561" s="91">
        <v>11575</v>
      </c>
      <c r="C561" s="76" t="s">
        <v>216</v>
      </c>
      <c r="D561" s="76" t="s">
        <v>896</v>
      </c>
      <c r="E561" s="76" t="s">
        <v>885</v>
      </c>
      <c r="F561" s="76" t="s">
        <v>886</v>
      </c>
      <c r="G561" s="76">
        <v>4</v>
      </c>
      <c r="O561" s="92"/>
    </row>
    <row r="562" spans="1:15" x14ac:dyDescent="0.25">
      <c r="A562" s="1">
        <v>557</v>
      </c>
      <c r="B562" s="91">
        <v>11576</v>
      </c>
      <c r="C562" s="76" t="s">
        <v>216</v>
      </c>
      <c r="D562" s="76" t="s">
        <v>896</v>
      </c>
      <c r="E562" s="76" t="s">
        <v>885</v>
      </c>
      <c r="F562" s="76" t="s">
        <v>886</v>
      </c>
      <c r="G562" s="76">
        <v>4</v>
      </c>
      <c r="O562" s="92"/>
    </row>
    <row r="563" spans="1:15" x14ac:dyDescent="0.25">
      <c r="A563" s="1">
        <v>558</v>
      </c>
      <c r="B563" s="91">
        <v>11577</v>
      </c>
      <c r="C563" s="76" t="s">
        <v>216</v>
      </c>
      <c r="D563" s="76" t="s">
        <v>896</v>
      </c>
      <c r="E563" s="76" t="s">
        <v>885</v>
      </c>
      <c r="F563" s="76" t="s">
        <v>886</v>
      </c>
      <c r="G563" s="76">
        <v>4</v>
      </c>
      <c r="O563" s="92"/>
    </row>
    <row r="564" spans="1:15" x14ac:dyDescent="0.25">
      <c r="A564" s="1">
        <v>559</v>
      </c>
      <c r="B564" s="91">
        <v>11579</v>
      </c>
      <c r="C564" s="76" t="s">
        <v>216</v>
      </c>
      <c r="D564" s="76" t="s">
        <v>896</v>
      </c>
      <c r="E564" s="76" t="s">
        <v>885</v>
      </c>
      <c r="F564" s="76" t="s">
        <v>886</v>
      </c>
      <c r="G564" s="76">
        <v>4</v>
      </c>
      <c r="O564" s="92"/>
    </row>
    <row r="565" spans="1:15" x14ac:dyDescent="0.25">
      <c r="A565" s="1">
        <v>560</v>
      </c>
      <c r="B565" s="91">
        <v>11580</v>
      </c>
      <c r="C565" s="76" t="s">
        <v>216</v>
      </c>
      <c r="D565" s="76" t="s">
        <v>896</v>
      </c>
      <c r="E565" s="76" t="s">
        <v>885</v>
      </c>
      <c r="F565" s="76" t="s">
        <v>886</v>
      </c>
      <c r="G565" s="76">
        <v>4</v>
      </c>
      <c r="O565" s="92"/>
    </row>
    <row r="566" spans="1:15" x14ac:dyDescent="0.25">
      <c r="A566" s="1">
        <v>561</v>
      </c>
      <c r="B566" s="91">
        <v>11581</v>
      </c>
      <c r="C566" s="76" t="s">
        <v>216</v>
      </c>
      <c r="D566" s="76" t="s">
        <v>896</v>
      </c>
      <c r="E566" s="76" t="s">
        <v>885</v>
      </c>
      <c r="F566" s="76" t="s">
        <v>886</v>
      </c>
      <c r="G566" s="76">
        <v>4</v>
      </c>
      <c r="O566" s="92"/>
    </row>
    <row r="567" spans="1:15" x14ac:dyDescent="0.25">
      <c r="A567" s="1">
        <v>562</v>
      </c>
      <c r="B567" s="91">
        <v>11582</v>
      </c>
      <c r="C567" s="76" t="s">
        <v>216</v>
      </c>
      <c r="D567" s="76" t="s">
        <v>896</v>
      </c>
      <c r="E567" s="76" t="s">
        <v>885</v>
      </c>
      <c r="F567" s="76" t="s">
        <v>886</v>
      </c>
      <c r="G567" s="76">
        <v>4</v>
      </c>
      <c r="O567" s="92"/>
    </row>
    <row r="568" spans="1:15" x14ac:dyDescent="0.25">
      <c r="A568" s="1">
        <v>563</v>
      </c>
      <c r="B568" s="91">
        <v>11590</v>
      </c>
      <c r="C568" s="76" t="s">
        <v>216</v>
      </c>
      <c r="D568" s="76" t="s">
        <v>896</v>
      </c>
      <c r="E568" s="76" t="s">
        <v>885</v>
      </c>
      <c r="F568" s="76" t="s">
        <v>886</v>
      </c>
      <c r="G568" s="76">
        <v>4</v>
      </c>
      <c r="O568" s="92"/>
    </row>
    <row r="569" spans="1:15" x14ac:dyDescent="0.25">
      <c r="A569" s="1">
        <v>564</v>
      </c>
      <c r="B569" s="91">
        <v>11592</v>
      </c>
      <c r="C569" s="76" t="s">
        <v>216</v>
      </c>
      <c r="D569" s="76" t="s">
        <v>896</v>
      </c>
      <c r="E569" s="76" t="s">
        <v>885</v>
      </c>
      <c r="F569" s="76" t="s">
        <v>886</v>
      </c>
      <c r="G569" s="76">
        <v>4</v>
      </c>
      <c r="O569" s="92"/>
    </row>
    <row r="570" spans="1:15" x14ac:dyDescent="0.25">
      <c r="A570" s="1">
        <v>565</v>
      </c>
      <c r="B570" s="91">
        <v>11594</v>
      </c>
      <c r="C570" s="76" t="s">
        <v>216</v>
      </c>
      <c r="D570" s="76" t="s">
        <v>896</v>
      </c>
      <c r="E570" s="76" t="s">
        <v>885</v>
      </c>
      <c r="F570" s="76" t="s">
        <v>886</v>
      </c>
      <c r="G570" s="76">
        <v>4</v>
      </c>
      <c r="O570" s="92"/>
    </row>
    <row r="571" spans="1:15" x14ac:dyDescent="0.25">
      <c r="A571" s="1">
        <v>566</v>
      </c>
      <c r="B571" s="91">
        <v>11595</v>
      </c>
      <c r="C571" s="76" t="s">
        <v>216</v>
      </c>
      <c r="D571" s="76" t="s">
        <v>896</v>
      </c>
      <c r="E571" s="76" t="s">
        <v>885</v>
      </c>
      <c r="F571" s="76" t="s">
        <v>886</v>
      </c>
      <c r="G571" s="76">
        <v>4</v>
      </c>
      <c r="O571" s="92"/>
    </row>
    <row r="572" spans="1:15" x14ac:dyDescent="0.25">
      <c r="A572" s="1">
        <v>567</v>
      </c>
      <c r="B572" s="91">
        <v>11596</v>
      </c>
      <c r="C572" s="76" t="s">
        <v>216</v>
      </c>
      <c r="D572" s="76" t="s">
        <v>896</v>
      </c>
      <c r="E572" s="76" t="s">
        <v>885</v>
      </c>
      <c r="F572" s="76" t="s">
        <v>886</v>
      </c>
      <c r="G572" s="76">
        <v>4</v>
      </c>
      <c r="O572" s="92"/>
    </row>
    <row r="573" spans="1:15" x14ac:dyDescent="0.25">
      <c r="A573" s="1">
        <v>568</v>
      </c>
      <c r="B573" s="91">
        <v>11597</v>
      </c>
      <c r="C573" s="76" t="s">
        <v>216</v>
      </c>
      <c r="D573" s="76" t="s">
        <v>896</v>
      </c>
      <c r="E573" s="76" t="s">
        <v>885</v>
      </c>
      <c r="F573" s="76" t="s">
        <v>886</v>
      </c>
      <c r="G573" s="76">
        <v>4</v>
      </c>
      <c r="O573" s="92"/>
    </row>
    <row r="574" spans="1:15" x14ac:dyDescent="0.25">
      <c r="A574" s="1">
        <v>569</v>
      </c>
      <c r="B574" s="91">
        <v>11598</v>
      </c>
      <c r="C574" s="76" t="s">
        <v>216</v>
      </c>
      <c r="D574" s="76" t="s">
        <v>896</v>
      </c>
      <c r="E574" s="76" t="s">
        <v>885</v>
      </c>
      <c r="F574" s="76" t="s">
        <v>886</v>
      </c>
      <c r="G574" s="76">
        <v>4</v>
      </c>
      <c r="O574" s="92"/>
    </row>
    <row r="575" spans="1:15" x14ac:dyDescent="0.25">
      <c r="A575" s="1">
        <v>570</v>
      </c>
      <c r="B575" s="91">
        <v>11599</v>
      </c>
      <c r="C575" s="76" t="s">
        <v>216</v>
      </c>
      <c r="D575" s="76" t="s">
        <v>896</v>
      </c>
      <c r="E575" s="76" t="s">
        <v>885</v>
      </c>
      <c r="F575" s="76" t="s">
        <v>886</v>
      </c>
      <c r="G575" s="76">
        <v>4</v>
      </c>
      <c r="O575" s="92"/>
    </row>
    <row r="576" spans="1:15" x14ac:dyDescent="0.25">
      <c r="A576" s="1">
        <v>571</v>
      </c>
      <c r="B576" s="91">
        <v>11690</v>
      </c>
      <c r="C576" s="76" t="s">
        <v>216</v>
      </c>
      <c r="D576" s="76" t="s">
        <v>897</v>
      </c>
      <c r="E576" s="76" t="s">
        <v>885</v>
      </c>
      <c r="F576" s="76" t="s">
        <v>886</v>
      </c>
      <c r="G576" s="76">
        <v>4</v>
      </c>
      <c r="O576" s="92"/>
    </row>
    <row r="577" spans="1:15" x14ac:dyDescent="0.25">
      <c r="A577" s="1">
        <v>572</v>
      </c>
      <c r="B577" s="91">
        <v>11691</v>
      </c>
      <c r="C577" s="76" t="s">
        <v>216</v>
      </c>
      <c r="D577" s="76" t="s">
        <v>897</v>
      </c>
      <c r="E577" s="76" t="s">
        <v>885</v>
      </c>
      <c r="F577" s="76" t="s">
        <v>886</v>
      </c>
      <c r="G577" s="76">
        <v>4</v>
      </c>
      <c r="O577" s="92"/>
    </row>
    <row r="578" spans="1:15" x14ac:dyDescent="0.25">
      <c r="A578" s="1">
        <v>573</v>
      </c>
      <c r="B578" s="91">
        <v>11692</v>
      </c>
      <c r="C578" s="76" t="s">
        <v>216</v>
      </c>
      <c r="D578" s="76" t="s">
        <v>897</v>
      </c>
      <c r="E578" s="76" t="s">
        <v>885</v>
      </c>
      <c r="F578" s="76" t="s">
        <v>886</v>
      </c>
      <c r="G578" s="76">
        <v>4</v>
      </c>
      <c r="O578" s="92"/>
    </row>
    <row r="579" spans="1:15" x14ac:dyDescent="0.25">
      <c r="A579" s="1">
        <v>574</v>
      </c>
      <c r="B579" s="91">
        <v>11693</v>
      </c>
      <c r="C579" s="76" t="s">
        <v>216</v>
      </c>
      <c r="D579" s="76" t="s">
        <v>897</v>
      </c>
      <c r="E579" s="76" t="s">
        <v>885</v>
      </c>
      <c r="F579" s="76" t="s">
        <v>886</v>
      </c>
      <c r="G579" s="76">
        <v>4</v>
      </c>
      <c r="O579" s="92"/>
    </row>
    <row r="580" spans="1:15" x14ac:dyDescent="0.25">
      <c r="A580" s="1">
        <v>575</v>
      </c>
      <c r="B580" s="91">
        <v>11694</v>
      </c>
      <c r="C580" s="76" t="s">
        <v>216</v>
      </c>
      <c r="D580" s="76" t="s">
        <v>897</v>
      </c>
      <c r="E580" s="76" t="s">
        <v>885</v>
      </c>
      <c r="F580" s="76" t="s">
        <v>886</v>
      </c>
      <c r="G580" s="76">
        <v>4</v>
      </c>
      <c r="O580" s="92"/>
    </row>
    <row r="581" spans="1:15" x14ac:dyDescent="0.25">
      <c r="A581" s="1">
        <v>576</v>
      </c>
      <c r="B581" s="91">
        <v>11695</v>
      </c>
      <c r="C581" s="76" t="s">
        <v>216</v>
      </c>
      <c r="D581" s="76" t="s">
        <v>897</v>
      </c>
      <c r="E581" s="76" t="s">
        <v>885</v>
      </c>
      <c r="F581" s="76" t="s">
        <v>886</v>
      </c>
      <c r="G581" s="76">
        <v>4</v>
      </c>
      <c r="O581" s="92"/>
    </row>
    <row r="582" spans="1:15" x14ac:dyDescent="0.25">
      <c r="A582" s="1">
        <v>577</v>
      </c>
      <c r="B582" s="91">
        <v>11697</v>
      </c>
      <c r="C582" s="76" t="s">
        <v>216</v>
      </c>
      <c r="D582" s="76" t="s">
        <v>897</v>
      </c>
      <c r="E582" s="76" t="s">
        <v>885</v>
      </c>
      <c r="F582" s="76" t="s">
        <v>886</v>
      </c>
      <c r="G582" s="76">
        <v>4</v>
      </c>
      <c r="O582" s="92"/>
    </row>
    <row r="583" spans="1:15" x14ac:dyDescent="0.25">
      <c r="A583" s="1">
        <v>578</v>
      </c>
      <c r="B583" s="91">
        <v>11701</v>
      </c>
      <c r="C583" s="76" t="s">
        <v>216</v>
      </c>
      <c r="D583" s="76" t="s">
        <v>884</v>
      </c>
      <c r="E583" s="76" t="s">
        <v>885</v>
      </c>
      <c r="F583" s="76" t="s">
        <v>886</v>
      </c>
      <c r="G583" s="76">
        <v>4</v>
      </c>
      <c r="O583" s="92"/>
    </row>
    <row r="584" spans="1:15" x14ac:dyDescent="0.25">
      <c r="A584" s="1">
        <v>579</v>
      </c>
      <c r="B584" s="91">
        <v>11702</v>
      </c>
      <c r="C584" s="76" t="s">
        <v>216</v>
      </c>
      <c r="D584" s="76" t="s">
        <v>884</v>
      </c>
      <c r="E584" s="76" t="s">
        <v>885</v>
      </c>
      <c r="F584" s="76" t="s">
        <v>886</v>
      </c>
      <c r="G584" s="76">
        <v>4</v>
      </c>
      <c r="O584" s="92"/>
    </row>
    <row r="585" spans="1:15" x14ac:dyDescent="0.25">
      <c r="A585" s="1">
        <v>580</v>
      </c>
      <c r="B585" s="91">
        <v>11703</v>
      </c>
      <c r="C585" s="76" t="s">
        <v>216</v>
      </c>
      <c r="D585" s="76" t="s">
        <v>884</v>
      </c>
      <c r="E585" s="76" t="s">
        <v>885</v>
      </c>
      <c r="F585" s="76" t="s">
        <v>886</v>
      </c>
      <c r="G585" s="76">
        <v>4</v>
      </c>
      <c r="O585" s="92"/>
    </row>
    <row r="586" spans="1:15" x14ac:dyDescent="0.25">
      <c r="A586" s="1">
        <v>581</v>
      </c>
      <c r="B586" s="91">
        <v>11704</v>
      </c>
      <c r="C586" s="76" t="s">
        <v>216</v>
      </c>
      <c r="D586" s="76" t="s">
        <v>884</v>
      </c>
      <c r="E586" s="76" t="s">
        <v>885</v>
      </c>
      <c r="F586" s="76" t="s">
        <v>886</v>
      </c>
      <c r="G586" s="76">
        <v>4</v>
      </c>
      <c r="O586" s="92"/>
    </row>
    <row r="587" spans="1:15" x14ac:dyDescent="0.25">
      <c r="A587" s="1">
        <v>582</v>
      </c>
      <c r="B587" s="91">
        <v>11705</v>
      </c>
      <c r="C587" s="76" t="s">
        <v>216</v>
      </c>
      <c r="D587" s="76" t="s">
        <v>884</v>
      </c>
      <c r="E587" s="76" t="s">
        <v>885</v>
      </c>
      <c r="F587" s="76" t="s">
        <v>886</v>
      </c>
      <c r="G587" s="76">
        <v>4</v>
      </c>
      <c r="O587" s="92"/>
    </row>
    <row r="588" spans="1:15" x14ac:dyDescent="0.25">
      <c r="A588" s="1">
        <v>583</v>
      </c>
      <c r="B588" s="91">
        <v>11706</v>
      </c>
      <c r="C588" s="76" t="s">
        <v>216</v>
      </c>
      <c r="D588" s="76" t="s">
        <v>884</v>
      </c>
      <c r="E588" s="76" t="s">
        <v>885</v>
      </c>
      <c r="F588" s="76" t="s">
        <v>886</v>
      </c>
      <c r="G588" s="76">
        <v>4</v>
      </c>
      <c r="O588" s="92"/>
    </row>
    <row r="589" spans="1:15" x14ac:dyDescent="0.25">
      <c r="A589" s="1">
        <v>584</v>
      </c>
      <c r="B589" s="91">
        <v>11707</v>
      </c>
      <c r="C589" s="76" t="s">
        <v>216</v>
      </c>
      <c r="D589" s="76" t="s">
        <v>884</v>
      </c>
      <c r="E589" s="76" t="s">
        <v>885</v>
      </c>
      <c r="F589" s="76" t="s">
        <v>886</v>
      </c>
      <c r="G589" s="76">
        <v>4</v>
      </c>
      <c r="O589" s="92"/>
    </row>
    <row r="590" spans="1:15" x14ac:dyDescent="0.25">
      <c r="A590" s="1">
        <v>585</v>
      </c>
      <c r="B590" s="91">
        <v>11708</v>
      </c>
      <c r="C590" s="76" t="s">
        <v>216</v>
      </c>
      <c r="D590" s="76" t="s">
        <v>884</v>
      </c>
      <c r="E590" s="76" t="s">
        <v>885</v>
      </c>
      <c r="F590" s="76" t="s">
        <v>886</v>
      </c>
      <c r="G590" s="76">
        <v>4</v>
      </c>
      <c r="O590" s="92"/>
    </row>
    <row r="591" spans="1:15" x14ac:dyDescent="0.25">
      <c r="A591" s="1">
        <v>586</v>
      </c>
      <c r="B591" s="91">
        <v>11709</v>
      </c>
      <c r="C591" s="76" t="s">
        <v>216</v>
      </c>
      <c r="D591" s="76" t="s">
        <v>896</v>
      </c>
      <c r="E591" s="76" t="s">
        <v>885</v>
      </c>
      <c r="F591" s="76" t="s">
        <v>886</v>
      </c>
      <c r="G591" s="76">
        <v>4</v>
      </c>
      <c r="O591" s="92"/>
    </row>
    <row r="592" spans="1:15" x14ac:dyDescent="0.25">
      <c r="A592" s="1">
        <v>587</v>
      </c>
      <c r="B592" s="91">
        <v>11710</v>
      </c>
      <c r="C592" s="76" t="s">
        <v>216</v>
      </c>
      <c r="D592" s="76" t="s">
        <v>896</v>
      </c>
      <c r="E592" s="76" t="s">
        <v>885</v>
      </c>
      <c r="F592" s="76" t="s">
        <v>886</v>
      </c>
      <c r="G592" s="76">
        <v>4</v>
      </c>
      <c r="O592" s="92"/>
    </row>
    <row r="593" spans="1:15" x14ac:dyDescent="0.25">
      <c r="A593" s="1">
        <v>588</v>
      </c>
      <c r="B593" s="91">
        <v>11713</v>
      </c>
      <c r="C593" s="76" t="s">
        <v>216</v>
      </c>
      <c r="D593" s="76" t="s">
        <v>884</v>
      </c>
      <c r="E593" s="76" t="s">
        <v>885</v>
      </c>
      <c r="F593" s="76" t="s">
        <v>886</v>
      </c>
      <c r="G593" s="76">
        <v>4</v>
      </c>
      <c r="O593" s="92"/>
    </row>
    <row r="594" spans="1:15" x14ac:dyDescent="0.25">
      <c r="A594" s="1">
        <v>589</v>
      </c>
      <c r="B594" s="91">
        <v>11714</v>
      </c>
      <c r="C594" s="76" t="s">
        <v>216</v>
      </c>
      <c r="D594" s="76" t="s">
        <v>896</v>
      </c>
      <c r="E594" s="76" t="s">
        <v>885</v>
      </c>
      <c r="F594" s="76" t="s">
        <v>886</v>
      </c>
      <c r="G594" s="76">
        <v>4</v>
      </c>
      <c r="O594" s="92"/>
    </row>
    <row r="595" spans="1:15" x14ac:dyDescent="0.25">
      <c r="A595" s="1">
        <v>590</v>
      </c>
      <c r="B595" s="91">
        <v>11715</v>
      </c>
      <c r="C595" s="76" t="s">
        <v>216</v>
      </c>
      <c r="D595" s="76" t="s">
        <v>884</v>
      </c>
      <c r="E595" s="76" t="s">
        <v>885</v>
      </c>
      <c r="F595" s="76" t="s">
        <v>886</v>
      </c>
      <c r="G595" s="76">
        <v>4</v>
      </c>
      <c r="O595" s="92"/>
    </row>
    <row r="596" spans="1:15" x14ac:dyDescent="0.25">
      <c r="A596" s="1">
        <v>591</v>
      </c>
      <c r="B596" s="91">
        <v>11716</v>
      </c>
      <c r="C596" s="76" t="s">
        <v>216</v>
      </c>
      <c r="D596" s="76" t="s">
        <v>884</v>
      </c>
      <c r="E596" s="76" t="s">
        <v>885</v>
      </c>
      <c r="F596" s="76" t="s">
        <v>886</v>
      </c>
      <c r="G596" s="76">
        <v>4</v>
      </c>
      <c r="O596" s="92"/>
    </row>
    <row r="597" spans="1:15" x14ac:dyDescent="0.25">
      <c r="A597" s="1">
        <v>592</v>
      </c>
      <c r="B597" s="91">
        <v>11717</v>
      </c>
      <c r="C597" s="76" t="s">
        <v>216</v>
      </c>
      <c r="D597" s="76" t="s">
        <v>884</v>
      </c>
      <c r="E597" s="76" t="s">
        <v>885</v>
      </c>
      <c r="F597" s="76" t="s">
        <v>886</v>
      </c>
      <c r="G597" s="76">
        <v>4</v>
      </c>
      <c r="O597" s="92"/>
    </row>
    <row r="598" spans="1:15" x14ac:dyDescent="0.25">
      <c r="A598" s="1">
        <v>593</v>
      </c>
      <c r="B598" s="91">
        <v>11718</v>
      </c>
      <c r="C598" s="76" t="s">
        <v>216</v>
      </c>
      <c r="D598" s="76" t="s">
        <v>884</v>
      </c>
      <c r="E598" s="76" t="s">
        <v>885</v>
      </c>
      <c r="F598" s="76" t="s">
        <v>886</v>
      </c>
      <c r="G598" s="76">
        <v>4</v>
      </c>
      <c r="O598" s="92"/>
    </row>
    <row r="599" spans="1:15" x14ac:dyDescent="0.25">
      <c r="A599" s="1">
        <v>594</v>
      </c>
      <c r="B599" s="91">
        <v>11719</v>
      </c>
      <c r="C599" s="76" t="s">
        <v>216</v>
      </c>
      <c r="D599" s="76" t="s">
        <v>884</v>
      </c>
      <c r="E599" s="76" t="s">
        <v>885</v>
      </c>
      <c r="F599" s="76" t="s">
        <v>886</v>
      </c>
      <c r="G599" s="76">
        <v>4</v>
      </c>
      <c r="O599" s="92"/>
    </row>
    <row r="600" spans="1:15" x14ac:dyDescent="0.25">
      <c r="A600" s="1">
        <v>595</v>
      </c>
      <c r="B600" s="91">
        <v>11720</v>
      </c>
      <c r="C600" s="76" t="s">
        <v>216</v>
      </c>
      <c r="D600" s="76" t="s">
        <v>884</v>
      </c>
      <c r="E600" s="76" t="s">
        <v>885</v>
      </c>
      <c r="F600" s="76" t="s">
        <v>886</v>
      </c>
      <c r="G600" s="76">
        <v>4</v>
      </c>
      <c r="O600" s="92"/>
    </row>
    <row r="601" spans="1:15" x14ac:dyDescent="0.25">
      <c r="A601" s="1">
        <v>596</v>
      </c>
      <c r="B601" s="91">
        <v>11721</v>
      </c>
      <c r="C601" s="76" t="s">
        <v>216</v>
      </c>
      <c r="D601" s="76" t="s">
        <v>884</v>
      </c>
      <c r="E601" s="76" t="s">
        <v>885</v>
      </c>
      <c r="F601" s="76" t="s">
        <v>886</v>
      </c>
      <c r="G601" s="76">
        <v>4</v>
      </c>
      <c r="O601" s="92"/>
    </row>
    <row r="602" spans="1:15" x14ac:dyDescent="0.25">
      <c r="A602" s="1">
        <v>597</v>
      </c>
      <c r="B602" s="91">
        <v>11722</v>
      </c>
      <c r="C602" s="76" t="s">
        <v>216</v>
      </c>
      <c r="D602" s="76" t="s">
        <v>884</v>
      </c>
      <c r="E602" s="76" t="s">
        <v>885</v>
      </c>
      <c r="F602" s="76" t="s">
        <v>886</v>
      </c>
      <c r="G602" s="76">
        <v>4</v>
      </c>
      <c r="O602" s="92"/>
    </row>
    <row r="603" spans="1:15" x14ac:dyDescent="0.25">
      <c r="A603" s="1">
        <v>598</v>
      </c>
      <c r="B603" s="91">
        <v>11724</v>
      </c>
      <c r="C603" s="76" t="s">
        <v>216</v>
      </c>
      <c r="D603" s="76" t="s">
        <v>884</v>
      </c>
      <c r="E603" s="76" t="s">
        <v>885</v>
      </c>
      <c r="F603" s="76" t="s">
        <v>886</v>
      </c>
      <c r="G603" s="76">
        <v>4</v>
      </c>
      <c r="O603" s="92"/>
    </row>
    <row r="604" spans="1:15" x14ac:dyDescent="0.25">
      <c r="A604" s="1">
        <v>599</v>
      </c>
      <c r="B604" s="91">
        <v>11725</v>
      </c>
      <c r="C604" s="76" t="s">
        <v>216</v>
      </c>
      <c r="D604" s="76" t="s">
        <v>884</v>
      </c>
      <c r="E604" s="76" t="s">
        <v>885</v>
      </c>
      <c r="F604" s="76" t="s">
        <v>886</v>
      </c>
      <c r="G604" s="76">
        <v>4</v>
      </c>
      <c r="O604" s="92"/>
    </row>
    <row r="605" spans="1:15" x14ac:dyDescent="0.25">
      <c r="A605" s="1">
        <v>600</v>
      </c>
      <c r="B605" s="91">
        <v>11726</v>
      </c>
      <c r="C605" s="76" t="s">
        <v>216</v>
      </c>
      <c r="D605" s="76" t="s">
        <v>884</v>
      </c>
      <c r="E605" s="76" t="s">
        <v>885</v>
      </c>
      <c r="F605" s="76" t="s">
        <v>886</v>
      </c>
      <c r="G605" s="76">
        <v>4</v>
      </c>
      <c r="O605" s="92"/>
    </row>
    <row r="606" spans="1:15" x14ac:dyDescent="0.25">
      <c r="A606" s="1">
        <v>601</v>
      </c>
      <c r="B606" s="91">
        <v>11727</v>
      </c>
      <c r="C606" s="76" t="s">
        <v>216</v>
      </c>
      <c r="D606" s="76" t="s">
        <v>884</v>
      </c>
      <c r="E606" s="76" t="s">
        <v>885</v>
      </c>
      <c r="F606" s="76" t="s">
        <v>886</v>
      </c>
      <c r="G606" s="76">
        <v>4</v>
      </c>
      <c r="O606" s="92"/>
    </row>
    <row r="607" spans="1:15" x14ac:dyDescent="0.25">
      <c r="A607" s="1">
        <v>602</v>
      </c>
      <c r="B607" s="91">
        <v>11729</v>
      </c>
      <c r="C607" s="76" t="s">
        <v>216</v>
      </c>
      <c r="D607" s="76" t="s">
        <v>884</v>
      </c>
      <c r="E607" s="76" t="s">
        <v>885</v>
      </c>
      <c r="F607" s="76" t="s">
        <v>886</v>
      </c>
      <c r="G607" s="76">
        <v>4</v>
      </c>
      <c r="O607" s="92"/>
    </row>
    <row r="608" spans="1:15" x14ac:dyDescent="0.25">
      <c r="A608" s="1">
        <v>603</v>
      </c>
      <c r="B608" s="91">
        <v>11730</v>
      </c>
      <c r="C608" s="76" t="s">
        <v>216</v>
      </c>
      <c r="D608" s="76" t="s">
        <v>884</v>
      </c>
      <c r="E608" s="76" t="s">
        <v>885</v>
      </c>
      <c r="F608" s="76" t="s">
        <v>886</v>
      </c>
      <c r="G608" s="76">
        <v>4</v>
      </c>
      <c r="O608" s="92"/>
    </row>
    <row r="609" spans="1:15" x14ac:dyDescent="0.25">
      <c r="A609" s="1">
        <v>604</v>
      </c>
      <c r="B609" s="91">
        <v>11731</v>
      </c>
      <c r="C609" s="76" t="s">
        <v>216</v>
      </c>
      <c r="D609" s="76" t="s">
        <v>884</v>
      </c>
      <c r="E609" s="76" t="s">
        <v>885</v>
      </c>
      <c r="F609" s="76" t="s">
        <v>886</v>
      </c>
      <c r="G609" s="76">
        <v>4</v>
      </c>
      <c r="O609" s="92"/>
    </row>
    <row r="610" spans="1:15" x14ac:dyDescent="0.25">
      <c r="A610" s="1">
        <v>605</v>
      </c>
      <c r="B610" s="91">
        <v>11732</v>
      </c>
      <c r="C610" s="76" t="s">
        <v>216</v>
      </c>
      <c r="D610" s="76" t="s">
        <v>896</v>
      </c>
      <c r="E610" s="76" t="s">
        <v>885</v>
      </c>
      <c r="F610" s="76" t="s">
        <v>886</v>
      </c>
      <c r="G610" s="76">
        <v>4</v>
      </c>
      <c r="O610" s="92"/>
    </row>
    <row r="611" spans="1:15" x14ac:dyDescent="0.25">
      <c r="A611" s="1">
        <v>606</v>
      </c>
      <c r="B611" s="91">
        <v>11733</v>
      </c>
      <c r="C611" s="76" t="s">
        <v>216</v>
      </c>
      <c r="D611" s="76" t="s">
        <v>884</v>
      </c>
      <c r="E611" s="76" t="s">
        <v>885</v>
      </c>
      <c r="F611" s="76" t="s">
        <v>886</v>
      </c>
      <c r="G611" s="76">
        <v>4</v>
      </c>
      <c r="O611" s="92"/>
    </row>
    <row r="612" spans="1:15" x14ac:dyDescent="0.25">
      <c r="A612" s="1">
        <v>607</v>
      </c>
      <c r="B612" s="91">
        <v>11735</v>
      </c>
      <c r="C612" s="76" t="s">
        <v>216</v>
      </c>
      <c r="D612" s="76" t="s">
        <v>896</v>
      </c>
      <c r="E612" s="76" t="s">
        <v>885</v>
      </c>
      <c r="F612" s="76" t="s">
        <v>886</v>
      </c>
      <c r="G612" s="76">
        <v>4</v>
      </c>
      <c r="O612" s="92"/>
    </row>
    <row r="613" spans="1:15" x14ac:dyDescent="0.25">
      <c r="A613" s="1">
        <v>608</v>
      </c>
      <c r="B613" s="91">
        <v>11736</v>
      </c>
      <c r="C613" s="76" t="s">
        <v>216</v>
      </c>
      <c r="D613" s="76" t="s">
        <v>896</v>
      </c>
      <c r="E613" s="76" t="s">
        <v>885</v>
      </c>
      <c r="F613" s="76" t="s">
        <v>886</v>
      </c>
      <c r="G613" s="76">
        <v>4</v>
      </c>
      <c r="O613" s="92"/>
    </row>
    <row r="614" spans="1:15" x14ac:dyDescent="0.25">
      <c r="A614" s="1">
        <v>609</v>
      </c>
      <c r="B614" s="91">
        <v>11737</v>
      </c>
      <c r="C614" s="76" t="s">
        <v>216</v>
      </c>
      <c r="D614" s="76" t="s">
        <v>896</v>
      </c>
      <c r="E614" s="76" t="s">
        <v>885</v>
      </c>
      <c r="F614" s="76" t="s">
        <v>886</v>
      </c>
      <c r="G614" s="76">
        <v>4</v>
      </c>
      <c r="O614" s="92"/>
    </row>
    <row r="615" spans="1:15" x14ac:dyDescent="0.25">
      <c r="A615" s="1">
        <v>610</v>
      </c>
      <c r="B615" s="91">
        <v>11738</v>
      </c>
      <c r="C615" s="76" t="s">
        <v>216</v>
      </c>
      <c r="D615" s="76" t="s">
        <v>884</v>
      </c>
      <c r="E615" s="76" t="s">
        <v>885</v>
      </c>
      <c r="F615" s="76" t="s">
        <v>886</v>
      </c>
      <c r="G615" s="76">
        <v>4</v>
      </c>
      <c r="O615" s="92"/>
    </row>
    <row r="616" spans="1:15" x14ac:dyDescent="0.25">
      <c r="A616" s="1">
        <v>611</v>
      </c>
      <c r="B616" s="91">
        <v>11739</v>
      </c>
      <c r="C616" s="76" t="s">
        <v>216</v>
      </c>
      <c r="D616" s="76" t="s">
        <v>884</v>
      </c>
      <c r="E616" s="76" t="s">
        <v>885</v>
      </c>
      <c r="F616" s="76" t="s">
        <v>886</v>
      </c>
      <c r="G616" s="76">
        <v>4</v>
      </c>
      <c r="O616" s="92"/>
    </row>
    <row r="617" spans="1:15" x14ac:dyDescent="0.25">
      <c r="A617" s="1">
        <v>612</v>
      </c>
      <c r="B617" s="91">
        <v>11740</v>
      </c>
      <c r="C617" s="76" t="s">
        <v>216</v>
      </c>
      <c r="D617" s="76" t="s">
        <v>884</v>
      </c>
      <c r="E617" s="76" t="s">
        <v>885</v>
      </c>
      <c r="F617" s="76" t="s">
        <v>886</v>
      </c>
      <c r="G617" s="76">
        <v>4</v>
      </c>
      <c r="O617" s="92"/>
    </row>
    <row r="618" spans="1:15" x14ac:dyDescent="0.25">
      <c r="A618" s="1">
        <v>613</v>
      </c>
      <c r="B618" s="91">
        <v>11741</v>
      </c>
      <c r="C618" s="76" t="s">
        <v>216</v>
      </c>
      <c r="D618" s="76" t="s">
        <v>884</v>
      </c>
      <c r="E618" s="76" t="s">
        <v>885</v>
      </c>
      <c r="F618" s="76" t="s">
        <v>886</v>
      </c>
      <c r="G618" s="76">
        <v>4</v>
      </c>
      <c r="O618" s="92"/>
    </row>
    <row r="619" spans="1:15" x14ac:dyDescent="0.25">
      <c r="A619" s="1">
        <v>614</v>
      </c>
      <c r="B619" s="91">
        <v>11742</v>
      </c>
      <c r="C619" s="76" t="s">
        <v>216</v>
      </c>
      <c r="D619" s="76" t="s">
        <v>884</v>
      </c>
      <c r="E619" s="76" t="s">
        <v>885</v>
      </c>
      <c r="F619" s="76" t="s">
        <v>886</v>
      </c>
      <c r="G619" s="76">
        <v>4</v>
      </c>
      <c r="O619" s="92"/>
    </row>
    <row r="620" spans="1:15" x14ac:dyDescent="0.25">
      <c r="A620" s="1">
        <v>615</v>
      </c>
      <c r="B620" s="91">
        <v>11743</v>
      </c>
      <c r="C620" s="76" t="s">
        <v>216</v>
      </c>
      <c r="D620" s="76" t="s">
        <v>884</v>
      </c>
      <c r="E620" s="76" t="s">
        <v>885</v>
      </c>
      <c r="F620" s="76" t="s">
        <v>886</v>
      </c>
      <c r="G620" s="76">
        <v>4</v>
      </c>
      <c r="O620" s="92"/>
    </row>
    <row r="621" spans="1:15" x14ac:dyDescent="0.25">
      <c r="A621" s="1">
        <v>616</v>
      </c>
      <c r="B621" s="91">
        <v>11746</v>
      </c>
      <c r="C621" s="76" t="s">
        <v>216</v>
      </c>
      <c r="D621" s="76" t="s">
        <v>884</v>
      </c>
      <c r="E621" s="76" t="s">
        <v>885</v>
      </c>
      <c r="F621" s="76" t="s">
        <v>886</v>
      </c>
      <c r="G621" s="76">
        <v>4</v>
      </c>
      <c r="O621" s="92"/>
    </row>
    <row r="622" spans="1:15" x14ac:dyDescent="0.25">
      <c r="A622" s="1">
        <v>617</v>
      </c>
      <c r="B622" s="91">
        <v>11747</v>
      </c>
      <c r="C622" s="76" t="s">
        <v>216</v>
      </c>
      <c r="D622" s="76" t="s">
        <v>884</v>
      </c>
      <c r="E622" s="76" t="s">
        <v>885</v>
      </c>
      <c r="F622" s="76" t="s">
        <v>886</v>
      </c>
      <c r="G622" s="76">
        <v>4</v>
      </c>
      <c r="O622" s="92"/>
    </row>
    <row r="623" spans="1:15" x14ac:dyDescent="0.25">
      <c r="A623" s="1">
        <v>618</v>
      </c>
      <c r="B623" s="91">
        <v>11749</v>
      </c>
      <c r="C623" s="76" t="s">
        <v>216</v>
      </c>
      <c r="D623" s="76" t="s">
        <v>884</v>
      </c>
      <c r="E623" s="76" t="s">
        <v>885</v>
      </c>
      <c r="F623" s="76" t="s">
        <v>886</v>
      </c>
      <c r="G623" s="76">
        <v>4</v>
      </c>
      <c r="O623" s="92"/>
    </row>
    <row r="624" spans="1:15" x14ac:dyDescent="0.25">
      <c r="A624" s="1">
        <v>619</v>
      </c>
      <c r="B624" s="91">
        <v>11750</v>
      </c>
      <c r="C624" s="76" t="s">
        <v>216</v>
      </c>
      <c r="D624" s="76" t="s">
        <v>884</v>
      </c>
      <c r="E624" s="76" t="s">
        <v>885</v>
      </c>
      <c r="F624" s="76" t="s">
        <v>886</v>
      </c>
      <c r="G624" s="76">
        <v>4</v>
      </c>
      <c r="O624" s="92"/>
    </row>
    <row r="625" spans="1:15" x14ac:dyDescent="0.25">
      <c r="A625" s="1">
        <v>620</v>
      </c>
      <c r="B625" s="91">
        <v>11751</v>
      </c>
      <c r="C625" s="76" t="s">
        <v>216</v>
      </c>
      <c r="D625" s="76" t="s">
        <v>884</v>
      </c>
      <c r="E625" s="76" t="s">
        <v>885</v>
      </c>
      <c r="F625" s="76" t="s">
        <v>886</v>
      </c>
      <c r="G625" s="76">
        <v>4</v>
      </c>
      <c r="O625" s="92"/>
    </row>
    <row r="626" spans="1:15" x14ac:dyDescent="0.25">
      <c r="A626" s="1">
        <v>621</v>
      </c>
      <c r="B626" s="91">
        <v>11752</v>
      </c>
      <c r="C626" s="76" t="s">
        <v>216</v>
      </c>
      <c r="D626" s="76" t="s">
        <v>884</v>
      </c>
      <c r="E626" s="76" t="s">
        <v>885</v>
      </c>
      <c r="F626" s="76" t="s">
        <v>886</v>
      </c>
      <c r="G626" s="76">
        <v>4</v>
      </c>
      <c r="O626" s="92"/>
    </row>
    <row r="627" spans="1:15" x14ac:dyDescent="0.25">
      <c r="A627" s="1">
        <v>622</v>
      </c>
      <c r="B627" s="91">
        <v>11753</v>
      </c>
      <c r="C627" s="76" t="s">
        <v>216</v>
      </c>
      <c r="D627" s="76" t="s">
        <v>896</v>
      </c>
      <c r="E627" s="76" t="s">
        <v>885</v>
      </c>
      <c r="F627" s="76" t="s">
        <v>886</v>
      </c>
      <c r="G627" s="76">
        <v>4</v>
      </c>
      <c r="O627" s="92"/>
    </row>
    <row r="628" spans="1:15" x14ac:dyDescent="0.25">
      <c r="A628" s="1">
        <v>623</v>
      </c>
      <c r="B628" s="91">
        <v>11754</v>
      </c>
      <c r="C628" s="76" t="s">
        <v>216</v>
      </c>
      <c r="D628" s="76" t="s">
        <v>884</v>
      </c>
      <c r="E628" s="76" t="s">
        <v>885</v>
      </c>
      <c r="F628" s="76" t="s">
        <v>886</v>
      </c>
      <c r="G628" s="76">
        <v>4</v>
      </c>
      <c r="O628" s="92"/>
    </row>
    <row r="629" spans="1:15" x14ac:dyDescent="0.25">
      <c r="A629" s="1">
        <v>624</v>
      </c>
      <c r="B629" s="91">
        <v>11755</v>
      </c>
      <c r="C629" s="76" t="s">
        <v>216</v>
      </c>
      <c r="D629" s="76" t="s">
        <v>884</v>
      </c>
      <c r="E629" s="76" t="s">
        <v>885</v>
      </c>
      <c r="F629" s="76" t="s">
        <v>886</v>
      </c>
      <c r="G629" s="76">
        <v>4</v>
      </c>
      <c r="O629" s="92"/>
    </row>
    <row r="630" spans="1:15" x14ac:dyDescent="0.25">
      <c r="A630" s="1">
        <v>625</v>
      </c>
      <c r="B630" s="91">
        <v>11756</v>
      </c>
      <c r="C630" s="76" t="s">
        <v>216</v>
      </c>
      <c r="D630" s="76" t="s">
        <v>896</v>
      </c>
      <c r="E630" s="76" t="s">
        <v>885</v>
      </c>
      <c r="F630" s="76" t="s">
        <v>886</v>
      </c>
      <c r="G630" s="76">
        <v>4</v>
      </c>
      <c r="O630" s="92"/>
    </row>
    <row r="631" spans="1:15" x14ac:dyDescent="0.25">
      <c r="A631" s="1">
        <v>626</v>
      </c>
      <c r="B631" s="91">
        <v>11757</v>
      </c>
      <c r="C631" s="76" t="s">
        <v>216</v>
      </c>
      <c r="D631" s="76" t="s">
        <v>884</v>
      </c>
      <c r="E631" s="76" t="s">
        <v>885</v>
      </c>
      <c r="F631" s="76" t="s">
        <v>886</v>
      </c>
      <c r="G631" s="76">
        <v>4</v>
      </c>
      <c r="O631" s="92"/>
    </row>
    <row r="632" spans="1:15" x14ac:dyDescent="0.25">
      <c r="A632" s="1">
        <v>627</v>
      </c>
      <c r="B632" s="91">
        <v>11758</v>
      </c>
      <c r="C632" s="76" t="s">
        <v>216</v>
      </c>
      <c r="D632" s="76" t="s">
        <v>896</v>
      </c>
      <c r="E632" s="76" t="s">
        <v>885</v>
      </c>
      <c r="F632" s="76" t="s">
        <v>886</v>
      </c>
      <c r="G632" s="76">
        <v>4</v>
      </c>
      <c r="O632" s="92"/>
    </row>
    <row r="633" spans="1:15" x14ac:dyDescent="0.25">
      <c r="A633" s="1">
        <v>628</v>
      </c>
      <c r="B633" s="91">
        <v>11760</v>
      </c>
      <c r="C633" s="76" t="s">
        <v>216</v>
      </c>
      <c r="D633" s="76" t="s">
        <v>884</v>
      </c>
      <c r="E633" s="76" t="s">
        <v>885</v>
      </c>
      <c r="F633" s="76" t="s">
        <v>886</v>
      </c>
      <c r="G633" s="76">
        <v>4</v>
      </c>
      <c r="O633" s="92"/>
    </row>
    <row r="634" spans="1:15" x14ac:dyDescent="0.25">
      <c r="A634" s="1">
        <v>629</v>
      </c>
      <c r="B634" s="91">
        <v>11762</v>
      </c>
      <c r="C634" s="76" t="s">
        <v>216</v>
      </c>
      <c r="D634" s="76" t="s">
        <v>896</v>
      </c>
      <c r="E634" s="76" t="s">
        <v>885</v>
      </c>
      <c r="F634" s="76" t="s">
        <v>886</v>
      </c>
      <c r="G634" s="76">
        <v>4</v>
      </c>
      <c r="O634" s="92"/>
    </row>
    <row r="635" spans="1:15" x14ac:dyDescent="0.25">
      <c r="A635" s="1">
        <v>630</v>
      </c>
      <c r="B635" s="91">
        <v>11763</v>
      </c>
      <c r="C635" s="76" t="s">
        <v>216</v>
      </c>
      <c r="D635" s="76" t="s">
        <v>884</v>
      </c>
      <c r="E635" s="76" t="s">
        <v>885</v>
      </c>
      <c r="F635" s="76" t="s">
        <v>886</v>
      </c>
      <c r="G635" s="76">
        <v>4</v>
      </c>
      <c r="O635" s="92"/>
    </row>
    <row r="636" spans="1:15" x14ac:dyDescent="0.25">
      <c r="A636" s="1">
        <v>631</v>
      </c>
      <c r="B636" s="91">
        <v>11764</v>
      </c>
      <c r="C636" s="76" t="s">
        <v>216</v>
      </c>
      <c r="D636" s="76" t="s">
        <v>884</v>
      </c>
      <c r="E636" s="76" t="s">
        <v>885</v>
      </c>
      <c r="F636" s="76" t="s">
        <v>886</v>
      </c>
      <c r="G636" s="76">
        <v>4</v>
      </c>
      <c r="O636" s="92"/>
    </row>
    <row r="637" spans="1:15" x14ac:dyDescent="0.25">
      <c r="A637" s="1">
        <v>632</v>
      </c>
      <c r="B637" s="91">
        <v>11765</v>
      </c>
      <c r="C637" s="76" t="s">
        <v>216</v>
      </c>
      <c r="D637" s="76" t="s">
        <v>896</v>
      </c>
      <c r="E637" s="76" t="s">
        <v>885</v>
      </c>
      <c r="F637" s="76" t="s">
        <v>886</v>
      </c>
      <c r="G637" s="76">
        <v>4</v>
      </c>
      <c r="O637" s="92"/>
    </row>
    <row r="638" spans="1:15" x14ac:dyDescent="0.25">
      <c r="A638" s="1">
        <v>633</v>
      </c>
      <c r="B638" s="91">
        <v>11766</v>
      </c>
      <c r="C638" s="76" t="s">
        <v>216</v>
      </c>
      <c r="D638" s="76" t="s">
        <v>884</v>
      </c>
      <c r="E638" s="76" t="s">
        <v>885</v>
      </c>
      <c r="F638" s="76" t="s">
        <v>886</v>
      </c>
      <c r="G638" s="76">
        <v>4</v>
      </c>
      <c r="O638" s="92"/>
    </row>
    <row r="639" spans="1:15" x14ac:dyDescent="0.25">
      <c r="A639" s="1">
        <v>634</v>
      </c>
      <c r="B639" s="91">
        <v>11767</v>
      </c>
      <c r="C639" s="76" t="s">
        <v>216</v>
      </c>
      <c r="D639" s="76" t="s">
        <v>884</v>
      </c>
      <c r="E639" s="76" t="s">
        <v>885</v>
      </c>
      <c r="F639" s="76" t="s">
        <v>886</v>
      </c>
      <c r="G639" s="76">
        <v>4</v>
      </c>
      <c r="O639" s="92"/>
    </row>
    <row r="640" spans="1:15" x14ac:dyDescent="0.25">
      <c r="A640" s="1">
        <v>635</v>
      </c>
      <c r="B640" s="91">
        <v>11768</v>
      </c>
      <c r="C640" s="76" t="s">
        <v>216</v>
      </c>
      <c r="D640" s="76" t="s">
        <v>884</v>
      </c>
      <c r="E640" s="76" t="s">
        <v>885</v>
      </c>
      <c r="F640" s="76" t="s">
        <v>886</v>
      </c>
      <c r="G640" s="76">
        <v>4</v>
      </c>
      <c r="O640" s="92"/>
    </row>
    <row r="641" spans="1:15" x14ac:dyDescent="0.25">
      <c r="A641" s="1">
        <v>636</v>
      </c>
      <c r="B641" s="91">
        <v>11769</v>
      </c>
      <c r="C641" s="76" t="s">
        <v>216</v>
      </c>
      <c r="D641" s="76" t="s">
        <v>884</v>
      </c>
      <c r="E641" s="76" t="s">
        <v>885</v>
      </c>
      <c r="F641" s="76" t="s">
        <v>886</v>
      </c>
      <c r="G641" s="76">
        <v>4</v>
      </c>
      <c r="O641" s="92"/>
    </row>
    <row r="642" spans="1:15" x14ac:dyDescent="0.25">
      <c r="A642" s="1">
        <v>637</v>
      </c>
      <c r="B642" s="91">
        <v>11770</v>
      </c>
      <c r="C642" s="76" t="s">
        <v>216</v>
      </c>
      <c r="D642" s="76" t="s">
        <v>884</v>
      </c>
      <c r="E642" s="76" t="s">
        <v>885</v>
      </c>
      <c r="F642" s="76" t="s">
        <v>886</v>
      </c>
      <c r="G642" s="76">
        <v>4</v>
      </c>
      <c r="O642" s="92"/>
    </row>
    <row r="643" spans="1:15" x14ac:dyDescent="0.25">
      <c r="A643" s="1">
        <v>638</v>
      </c>
      <c r="B643" s="91">
        <v>11771</v>
      </c>
      <c r="C643" s="76" t="s">
        <v>216</v>
      </c>
      <c r="D643" s="76" t="s">
        <v>896</v>
      </c>
      <c r="E643" s="76" t="s">
        <v>885</v>
      </c>
      <c r="F643" s="76" t="s">
        <v>886</v>
      </c>
      <c r="G643" s="76">
        <v>4</v>
      </c>
      <c r="O643" s="92"/>
    </row>
    <row r="644" spans="1:15" x14ac:dyDescent="0.25">
      <c r="A644" s="1">
        <v>639</v>
      </c>
      <c r="B644" s="91">
        <v>11772</v>
      </c>
      <c r="C644" s="76" t="s">
        <v>216</v>
      </c>
      <c r="D644" s="76" t="s">
        <v>884</v>
      </c>
      <c r="E644" s="76" t="s">
        <v>885</v>
      </c>
      <c r="F644" s="76" t="s">
        <v>886</v>
      </c>
      <c r="G644" s="76">
        <v>4</v>
      </c>
      <c r="O644" s="92"/>
    </row>
    <row r="645" spans="1:15" x14ac:dyDescent="0.25">
      <c r="A645" s="1">
        <v>640</v>
      </c>
      <c r="B645" s="91">
        <v>11773</v>
      </c>
      <c r="C645" s="76" t="s">
        <v>216</v>
      </c>
      <c r="D645" s="76" t="s">
        <v>896</v>
      </c>
      <c r="E645" s="76" t="s">
        <v>885</v>
      </c>
      <c r="F645" s="76" t="s">
        <v>886</v>
      </c>
      <c r="G645" s="76">
        <v>4</v>
      </c>
      <c r="O645" s="92"/>
    </row>
    <row r="646" spans="1:15" x14ac:dyDescent="0.25">
      <c r="A646" s="1">
        <v>641</v>
      </c>
      <c r="B646" s="91">
        <v>11774</v>
      </c>
      <c r="C646" s="76" t="s">
        <v>216</v>
      </c>
      <c r="D646" s="76" t="s">
        <v>896</v>
      </c>
      <c r="E646" s="76" t="s">
        <v>885</v>
      </c>
      <c r="F646" s="76" t="s">
        <v>886</v>
      </c>
      <c r="G646" s="76">
        <v>4</v>
      </c>
      <c r="O646" s="92"/>
    </row>
    <row r="647" spans="1:15" x14ac:dyDescent="0.25">
      <c r="A647" s="1">
        <v>642</v>
      </c>
      <c r="B647" s="91">
        <v>11775</v>
      </c>
      <c r="C647" s="76" t="s">
        <v>216</v>
      </c>
      <c r="D647" s="76" t="s">
        <v>896</v>
      </c>
      <c r="E647" s="76" t="s">
        <v>885</v>
      </c>
      <c r="F647" s="76" t="s">
        <v>886</v>
      </c>
      <c r="G647" s="76">
        <v>4</v>
      </c>
      <c r="O647" s="92"/>
    </row>
    <row r="648" spans="1:15" x14ac:dyDescent="0.25">
      <c r="A648" s="1">
        <v>643</v>
      </c>
      <c r="B648" s="91">
        <v>11776</v>
      </c>
      <c r="C648" s="76" t="s">
        <v>216</v>
      </c>
      <c r="D648" s="76" t="s">
        <v>884</v>
      </c>
      <c r="E648" s="76" t="s">
        <v>885</v>
      </c>
      <c r="F648" s="76" t="s">
        <v>886</v>
      </c>
      <c r="G648" s="76">
        <v>4</v>
      </c>
      <c r="O648" s="92"/>
    </row>
    <row r="649" spans="1:15" x14ac:dyDescent="0.25">
      <c r="A649" s="1">
        <v>644</v>
      </c>
      <c r="B649" s="91">
        <v>11777</v>
      </c>
      <c r="C649" s="76" t="s">
        <v>216</v>
      </c>
      <c r="D649" s="76" t="s">
        <v>884</v>
      </c>
      <c r="E649" s="76" t="s">
        <v>885</v>
      </c>
      <c r="F649" s="76" t="s">
        <v>886</v>
      </c>
      <c r="G649" s="76">
        <v>4</v>
      </c>
      <c r="O649" s="92"/>
    </row>
    <row r="650" spans="1:15" x14ac:dyDescent="0.25">
      <c r="A650" s="1">
        <v>645</v>
      </c>
      <c r="B650" s="91">
        <v>11778</v>
      </c>
      <c r="C650" s="76" t="s">
        <v>216</v>
      </c>
      <c r="D650" s="76" t="s">
        <v>884</v>
      </c>
      <c r="E650" s="76" t="s">
        <v>885</v>
      </c>
      <c r="F650" s="76" t="s">
        <v>886</v>
      </c>
      <c r="G650" s="76">
        <v>4</v>
      </c>
      <c r="O650" s="92"/>
    </row>
    <row r="651" spans="1:15" x14ac:dyDescent="0.25">
      <c r="A651" s="1">
        <v>646</v>
      </c>
      <c r="B651" s="91">
        <v>11779</v>
      </c>
      <c r="C651" s="76" t="s">
        <v>216</v>
      </c>
      <c r="D651" s="76" t="s">
        <v>884</v>
      </c>
      <c r="E651" s="76" t="s">
        <v>885</v>
      </c>
      <c r="F651" s="76" t="s">
        <v>886</v>
      </c>
      <c r="G651" s="76">
        <v>4</v>
      </c>
      <c r="O651" s="92"/>
    </row>
    <row r="652" spans="1:15" x14ac:dyDescent="0.25">
      <c r="A652" s="1">
        <v>647</v>
      </c>
      <c r="B652" s="91">
        <v>11780</v>
      </c>
      <c r="C652" s="76" t="s">
        <v>216</v>
      </c>
      <c r="D652" s="76" t="s">
        <v>884</v>
      </c>
      <c r="E652" s="76" t="s">
        <v>885</v>
      </c>
      <c r="F652" s="76" t="s">
        <v>886</v>
      </c>
      <c r="G652" s="76">
        <v>4</v>
      </c>
      <c r="O652" s="92"/>
    </row>
    <row r="653" spans="1:15" x14ac:dyDescent="0.25">
      <c r="A653" s="1">
        <v>648</v>
      </c>
      <c r="B653" s="91">
        <v>11782</v>
      </c>
      <c r="C653" s="76" t="s">
        <v>216</v>
      </c>
      <c r="D653" s="76" t="s">
        <v>884</v>
      </c>
      <c r="E653" s="76" t="s">
        <v>885</v>
      </c>
      <c r="F653" s="76" t="s">
        <v>886</v>
      </c>
      <c r="G653" s="76">
        <v>4</v>
      </c>
      <c r="O653" s="92"/>
    </row>
    <row r="654" spans="1:15" x14ac:dyDescent="0.25">
      <c r="A654" s="1">
        <v>649</v>
      </c>
      <c r="B654" s="91">
        <v>11783</v>
      </c>
      <c r="C654" s="76" t="s">
        <v>216</v>
      </c>
      <c r="D654" s="76" t="s">
        <v>896</v>
      </c>
      <c r="E654" s="76" t="s">
        <v>885</v>
      </c>
      <c r="F654" s="76" t="s">
        <v>886</v>
      </c>
      <c r="G654" s="76">
        <v>4</v>
      </c>
      <c r="O654" s="92"/>
    </row>
    <row r="655" spans="1:15" x14ac:dyDescent="0.25">
      <c r="A655" s="1">
        <v>650</v>
      </c>
      <c r="B655" s="91">
        <v>11784</v>
      </c>
      <c r="C655" s="76" t="s">
        <v>216</v>
      </c>
      <c r="D655" s="76" t="s">
        <v>884</v>
      </c>
      <c r="E655" s="76" t="s">
        <v>885</v>
      </c>
      <c r="F655" s="76" t="s">
        <v>886</v>
      </c>
      <c r="G655" s="76">
        <v>4</v>
      </c>
      <c r="O655" s="92"/>
    </row>
    <row r="656" spans="1:15" x14ac:dyDescent="0.25">
      <c r="A656" s="1">
        <v>651</v>
      </c>
      <c r="B656" s="91">
        <v>11786</v>
      </c>
      <c r="C656" s="76" t="s">
        <v>216</v>
      </c>
      <c r="D656" s="76" t="s">
        <v>884</v>
      </c>
      <c r="E656" s="76" t="s">
        <v>885</v>
      </c>
      <c r="F656" s="76" t="s">
        <v>886</v>
      </c>
      <c r="G656" s="76">
        <v>4</v>
      </c>
      <c r="O656" s="92"/>
    </row>
    <row r="657" spans="1:15" x14ac:dyDescent="0.25">
      <c r="A657" s="1">
        <v>652</v>
      </c>
      <c r="B657" s="91">
        <v>11787</v>
      </c>
      <c r="C657" s="76" t="s">
        <v>216</v>
      </c>
      <c r="D657" s="76" t="s">
        <v>884</v>
      </c>
      <c r="E657" s="76" t="s">
        <v>885</v>
      </c>
      <c r="F657" s="76" t="s">
        <v>886</v>
      </c>
      <c r="G657" s="76">
        <v>4</v>
      </c>
      <c r="O657" s="92"/>
    </row>
    <row r="658" spans="1:15" x14ac:dyDescent="0.25">
      <c r="A658" s="1">
        <v>653</v>
      </c>
      <c r="B658" s="91">
        <v>11788</v>
      </c>
      <c r="C658" s="76" t="s">
        <v>216</v>
      </c>
      <c r="D658" s="76" t="s">
        <v>884</v>
      </c>
      <c r="E658" s="76" t="s">
        <v>885</v>
      </c>
      <c r="F658" s="76" t="s">
        <v>886</v>
      </c>
      <c r="G658" s="76">
        <v>4</v>
      </c>
      <c r="O658" s="92"/>
    </row>
    <row r="659" spans="1:15" x14ac:dyDescent="0.25">
      <c r="A659" s="1">
        <v>654</v>
      </c>
      <c r="B659" s="91">
        <v>11789</v>
      </c>
      <c r="C659" s="76" t="s">
        <v>216</v>
      </c>
      <c r="D659" s="76" t="s">
        <v>884</v>
      </c>
      <c r="E659" s="76" t="s">
        <v>885</v>
      </c>
      <c r="F659" s="76" t="s">
        <v>886</v>
      </c>
      <c r="G659" s="76">
        <v>4</v>
      </c>
      <c r="O659" s="92"/>
    </row>
    <row r="660" spans="1:15" x14ac:dyDescent="0.25">
      <c r="A660" s="1">
        <v>655</v>
      </c>
      <c r="B660" s="91">
        <v>11790</v>
      </c>
      <c r="C660" s="76" t="s">
        <v>216</v>
      </c>
      <c r="D660" s="76" t="s">
        <v>884</v>
      </c>
      <c r="E660" s="76" t="s">
        <v>885</v>
      </c>
      <c r="F660" s="76" t="s">
        <v>886</v>
      </c>
      <c r="G660" s="76">
        <v>4</v>
      </c>
      <c r="O660" s="92"/>
    </row>
    <row r="661" spans="1:15" x14ac:dyDescent="0.25">
      <c r="A661" s="1">
        <v>656</v>
      </c>
      <c r="B661" s="91">
        <v>11791</v>
      </c>
      <c r="C661" s="76" t="s">
        <v>216</v>
      </c>
      <c r="D661" s="76" t="s">
        <v>896</v>
      </c>
      <c r="E661" s="76" t="s">
        <v>885</v>
      </c>
      <c r="F661" s="76" t="s">
        <v>886</v>
      </c>
      <c r="G661" s="76">
        <v>4</v>
      </c>
      <c r="O661" s="92"/>
    </row>
    <row r="662" spans="1:15" x14ac:dyDescent="0.25">
      <c r="A662" s="1">
        <v>657</v>
      </c>
      <c r="B662" s="91">
        <v>11792</v>
      </c>
      <c r="C662" s="76" t="s">
        <v>216</v>
      </c>
      <c r="D662" s="76" t="s">
        <v>884</v>
      </c>
      <c r="E662" s="76" t="s">
        <v>885</v>
      </c>
      <c r="F662" s="76" t="s">
        <v>886</v>
      </c>
      <c r="G662" s="76">
        <v>4</v>
      </c>
      <c r="O662" s="92"/>
    </row>
    <row r="663" spans="1:15" x14ac:dyDescent="0.25">
      <c r="A663" s="1">
        <v>658</v>
      </c>
      <c r="B663" s="91">
        <v>11793</v>
      </c>
      <c r="C663" s="76" t="s">
        <v>216</v>
      </c>
      <c r="D663" s="76" t="s">
        <v>896</v>
      </c>
      <c r="E663" s="76" t="s">
        <v>885</v>
      </c>
      <c r="F663" s="76" t="s">
        <v>886</v>
      </c>
      <c r="G663" s="76">
        <v>4</v>
      </c>
      <c r="O663" s="92"/>
    </row>
    <row r="664" spans="1:15" x14ac:dyDescent="0.25">
      <c r="A664" s="1">
        <v>659</v>
      </c>
      <c r="B664" s="91">
        <v>11794</v>
      </c>
      <c r="C664" s="76" t="s">
        <v>216</v>
      </c>
      <c r="D664" s="76" t="s">
        <v>884</v>
      </c>
      <c r="E664" s="76" t="s">
        <v>885</v>
      </c>
      <c r="F664" s="76" t="s">
        <v>886</v>
      </c>
      <c r="G664" s="76">
        <v>4</v>
      </c>
      <c r="O664" s="92"/>
    </row>
    <row r="665" spans="1:15" x14ac:dyDescent="0.25">
      <c r="A665" s="1">
        <v>660</v>
      </c>
      <c r="B665" s="91">
        <v>11795</v>
      </c>
      <c r="C665" s="76" t="s">
        <v>216</v>
      </c>
      <c r="D665" s="76" t="s">
        <v>884</v>
      </c>
      <c r="E665" s="76" t="s">
        <v>885</v>
      </c>
      <c r="F665" s="76" t="s">
        <v>886</v>
      </c>
      <c r="G665" s="76">
        <v>4</v>
      </c>
      <c r="O665" s="92"/>
    </row>
    <row r="666" spans="1:15" x14ac:dyDescent="0.25">
      <c r="A666" s="1">
        <v>661</v>
      </c>
      <c r="B666" s="91">
        <v>11796</v>
      </c>
      <c r="C666" s="76" t="s">
        <v>216</v>
      </c>
      <c r="D666" s="76" t="s">
        <v>884</v>
      </c>
      <c r="E666" s="76" t="s">
        <v>885</v>
      </c>
      <c r="F666" s="76" t="s">
        <v>886</v>
      </c>
      <c r="G666" s="76">
        <v>4</v>
      </c>
      <c r="O666" s="92"/>
    </row>
    <row r="667" spans="1:15" x14ac:dyDescent="0.25">
      <c r="A667" s="1">
        <v>662</v>
      </c>
      <c r="B667" s="91">
        <v>11797</v>
      </c>
      <c r="C667" s="76" t="s">
        <v>216</v>
      </c>
      <c r="D667" s="76" t="s">
        <v>896</v>
      </c>
      <c r="E667" s="76" t="s">
        <v>885</v>
      </c>
      <c r="F667" s="76" t="s">
        <v>886</v>
      </c>
      <c r="G667" s="76">
        <v>4</v>
      </c>
      <c r="O667" s="92"/>
    </row>
    <row r="668" spans="1:15" x14ac:dyDescent="0.25">
      <c r="A668" s="1">
        <v>663</v>
      </c>
      <c r="B668" s="91">
        <v>11798</v>
      </c>
      <c r="C668" s="76" t="s">
        <v>216</v>
      </c>
      <c r="D668" s="76" t="s">
        <v>884</v>
      </c>
      <c r="E668" s="76" t="s">
        <v>885</v>
      </c>
      <c r="F668" s="76" t="s">
        <v>886</v>
      </c>
      <c r="G668" s="76">
        <v>4</v>
      </c>
      <c r="O668" s="92"/>
    </row>
    <row r="669" spans="1:15" x14ac:dyDescent="0.25">
      <c r="A669" s="1">
        <v>664</v>
      </c>
      <c r="B669" s="91">
        <v>11801</v>
      </c>
      <c r="C669" s="76" t="s">
        <v>216</v>
      </c>
      <c r="D669" s="76" t="s">
        <v>896</v>
      </c>
      <c r="E669" s="76" t="s">
        <v>885</v>
      </c>
      <c r="F669" s="76" t="s">
        <v>886</v>
      </c>
      <c r="G669" s="76">
        <v>4</v>
      </c>
      <c r="O669" s="92"/>
    </row>
    <row r="670" spans="1:15" x14ac:dyDescent="0.25">
      <c r="A670" s="1">
        <v>665</v>
      </c>
      <c r="B670" s="91">
        <v>11802</v>
      </c>
      <c r="C670" s="76" t="s">
        <v>216</v>
      </c>
      <c r="D670" s="76" t="s">
        <v>896</v>
      </c>
      <c r="E670" s="76" t="s">
        <v>885</v>
      </c>
      <c r="F670" s="76" t="s">
        <v>886</v>
      </c>
      <c r="G670" s="76">
        <v>4</v>
      </c>
      <c r="O670" s="92"/>
    </row>
    <row r="671" spans="1:15" x14ac:dyDescent="0.25">
      <c r="A671" s="1">
        <v>666</v>
      </c>
      <c r="B671" s="91">
        <v>11803</v>
      </c>
      <c r="C671" s="76" t="s">
        <v>216</v>
      </c>
      <c r="D671" s="76" t="s">
        <v>896</v>
      </c>
      <c r="E671" s="76" t="s">
        <v>885</v>
      </c>
      <c r="F671" s="76" t="s">
        <v>886</v>
      </c>
      <c r="G671" s="76">
        <v>4</v>
      </c>
      <c r="O671" s="92"/>
    </row>
    <row r="672" spans="1:15" x14ac:dyDescent="0.25">
      <c r="A672" s="1">
        <v>667</v>
      </c>
      <c r="B672" s="91">
        <v>11804</v>
      </c>
      <c r="C672" s="76" t="s">
        <v>216</v>
      </c>
      <c r="D672" s="76" t="s">
        <v>896</v>
      </c>
      <c r="E672" s="76" t="s">
        <v>885</v>
      </c>
      <c r="F672" s="76" t="s">
        <v>886</v>
      </c>
      <c r="G672" s="76">
        <v>4</v>
      </c>
      <c r="O672" s="92"/>
    </row>
    <row r="673" spans="1:15" x14ac:dyDescent="0.25">
      <c r="A673" s="1">
        <v>668</v>
      </c>
      <c r="B673" s="91">
        <v>11815</v>
      </c>
      <c r="C673" s="76" t="s">
        <v>216</v>
      </c>
      <c r="D673" s="76" t="s">
        <v>896</v>
      </c>
      <c r="E673" s="76" t="s">
        <v>885</v>
      </c>
      <c r="F673" s="76" t="s">
        <v>886</v>
      </c>
      <c r="G673" s="76">
        <v>4</v>
      </c>
      <c r="O673" s="92"/>
    </row>
    <row r="674" spans="1:15" x14ac:dyDescent="0.25">
      <c r="A674" s="1">
        <v>669</v>
      </c>
      <c r="B674" s="91">
        <v>11819</v>
      </c>
      <c r="C674" s="76" t="s">
        <v>216</v>
      </c>
      <c r="D674" s="76" t="s">
        <v>896</v>
      </c>
      <c r="E674" s="76" t="s">
        <v>885</v>
      </c>
      <c r="F674" s="76" t="s">
        <v>886</v>
      </c>
      <c r="G674" s="76">
        <v>4</v>
      </c>
      <c r="O674" s="92"/>
    </row>
    <row r="675" spans="1:15" x14ac:dyDescent="0.25">
      <c r="A675" s="1">
        <v>670</v>
      </c>
      <c r="B675" s="91">
        <v>11853</v>
      </c>
      <c r="C675" s="76" t="s">
        <v>216</v>
      </c>
      <c r="D675" s="76" t="s">
        <v>896</v>
      </c>
      <c r="E675" s="76" t="s">
        <v>885</v>
      </c>
      <c r="F675" s="76" t="s">
        <v>886</v>
      </c>
      <c r="G675" s="76">
        <v>4</v>
      </c>
      <c r="O675" s="92"/>
    </row>
    <row r="676" spans="1:15" x14ac:dyDescent="0.25">
      <c r="A676" s="1">
        <v>671</v>
      </c>
      <c r="B676" s="91">
        <v>11854</v>
      </c>
      <c r="C676" s="76" t="s">
        <v>216</v>
      </c>
      <c r="D676" s="76" t="s">
        <v>896</v>
      </c>
      <c r="E676" s="76" t="s">
        <v>885</v>
      </c>
      <c r="F676" s="76" t="s">
        <v>886</v>
      </c>
      <c r="G676" s="76">
        <v>4</v>
      </c>
      <c r="O676" s="92"/>
    </row>
    <row r="677" spans="1:15" x14ac:dyDescent="0.25">
      <c r="A677" s="1">
        <v>672</v>
      </c>
      <c r="B677" s="91">
        <v>11855</v>
      </c>
      <c r="C677" s="76" t="s">
        <v>216</v>
      </c>
      <c r="D677" s="76" t="s">
        <v>896</v>
      </c>
      <c r="E677" s="76" t="s">
        <v>885</v>
      </c>
      <c r="F677" s="76" t="s">
        <v>886</v>
      </c>
      <c r="G677" s="76">
        <v>4</v>
      </c>
      <c r="O677" s="92"/>
    </row>
    <row r="678" spans="1:15" x14ac:dyDescent="0.25">
      <c r="A678" s="1">
        <v>673</v>
      </c>
      <c r="B678" s="91">
        <v>11901</v>
      </c>
      <c r="C678" s="76" t="s">
        <v>216</v>
      </c>
      <c r="D678" s="76" t="s">
        <v>884</v>
      </c>
      <c r="E678" s="76" t="s">
        <v>885</v>
      </c>
      <c r="F678" s="76" t="s">
        <v>886</v>
      </c>
      <c r="G678" s="76">
        <v>4</v>
      </c>
      <c r="O678" s="92"/>
    </row>
    <row r="679" spans="1:15" x14ac:dyDescent="0.25">
      <c r="A679" s="1">
        <v>674</v>
      </c>
      <c r="B679" s="91">
        <v>11930</v>
      </c>
      <c r="C679" s="76" t="s">
        <v>216</v>
      </c>
      <c r="D679" s="76" t="s">
        <v>884</v>
      </c>
      <c r="E679" s="76" t="s">
        <v>885</v>
      </c>
      <c r="F679" s="76" t="s">
        <v>886</v>
      </c>
      <c r="G679" s="76">
        <v>4</v>
      </c>
      <c r="O679" s="92"/>
    </row>
    <row r="680" spans="1:15" x14ac:dyDescent="0.25">
      <c r="A680" s="1">
        <v>675</v>
      </c>
      <c r="B680" s="91">
        <v>11931</v>
      </c>
      <c r="C680" s="76" t="s">
        <v>216</v>
      </c>
      <c r="D680" s="76" t="s">
        <v>884</v>
      </c>
      <c r="E680" s="76" t="s">
        <v>885</v>
      </c>
      <c r="F680" s="76" t="s">
        <v>886</v>
      </c>
      <c r="G680" s="76">
        <v>4</v>
      </c>
      <c r="O680" s="92"/>
    </row>
    <row r="681" spans="1:15" x14ac:dyDescent="0.25">
      <c r="A681" s="1">
        <v>676</v>
      </c>
      <c r="B681" s="91">
        <v>11932</v>
      </c>
      <c r="C681" s="76" t="s">
        <v>216</v>
      </c>
      <c r="D681" s="76" t="s">
        <v>884</v>
      </c>
      <c r="E681" s="76" t="s">
        <v>885</v>
      </c>
      <c r="F681" s="76" t="s">
        <v>886</v>
      </c>
      <c r="G681" s="76">
        <v>4</v>
      </c>
      <c r="O681" s="92"/>
    </row>
    <row r="682" spans="1:15" x14ac:dyDescent="0.25">
      <c r="A682" s="1">
        <v>677</v>
      </c>
      <c r="B682" s="91">
        <v>11933</v>
      </c>
      <c r="C682" s="76" t="s">
        <v>216</v>
      </c>
      <c r="D682" s="76" t="s">
        <v>884</v>
      </c>
      <c r="E682" s="76" t="s">
        <v>885</v>
      </c>
      <c r="F682" s="76" t="s">
        <v>886</v>
      </c>
      <c r="G682" s="76">
        <v>4</v>
      </c>
      <c r="O682" s="92"/>
    </row>
    <row r="683" spans="1:15" x14ac:dyDescent="0.25">
      <c r="A683" s="1">
        <v>678</v>
      </c>
      <c r="B683" s="91">
        <v>11934</v>
      </c>
      <c r="C683" s="76" t="s">
        <v>216</v>
      </c>
      <c r="D683" s="76" t="s">
        <v>884</v>
      </c>
      <c r="E683" s="76" t="s">
        <v>885</v>
      </c>
      <c r="F683" s="76" t="s">
        <v>886</v>
      </c>
      <c r="G683" s="76">
        <v>4</v>
      </c>
      <c r="O683" s="92"/>
    </row>
    <row r="684" spans="1:15" x14ac:dyDescent="0.25">
      <c r="A684" s="1">
        <v>679</v>
      </c>
      <c r="B684" s="91">
        <v>11935</v>
      </c>
      <c r="C684" s="76" t="s">
        <v>216</v>
      </c>
      <c r="D684" s="76" t="s">
        <v>884</v>
      </c>
      <c r="E684" s="76" t="s">
        <v>885</v>
      </c>
      <c r="F684" s="76" t="s">
        <v>886</v>
      </c>
      <c r="G684" s="76">
        <v>4</v>
      </c>
      <c r="O684" s="92"/>
    </row>
    <row r="685" spans="1:15" x14ac:dyDescent="0.25">
      <c r="A685" s="1">
        <v>680</v>
      </c>
      <c r="B685" s="91">
        <v>11937</v>
      </c>
      <c r="C685" s="76" t="s">
        <v>216</v>
      </c>
      <c r="D685" s="76" t="s">
        <v>884</v>
      </c>
      <c r="E685" s="76" t="s">
        <v>885</v>
      </c>
      <c r="F685" s="76" t="s">
        <v>886</v>
      </c>
      <c r="G685" s="76">
        <v>4</v>
      </c>
      <c r="O685" s="92"/>
    </row>
    <row r="686" spans="1:15" x14ac:dyDescent="0.25">
      <c r="A686" s="1">
        <v>681</v>
      </c>
      <c r="B686" s="91">
        <v>11939</v>
      </c>
      <c r="C686" s="76" t="s">
        <v>216</v>
      </c>
      <c r="D686" s="76" t="s">
        <v>884</v>
      </c>
      <c r="E686" s="76" t="s">
        <v>885</v>
      </c>
      <c r="F686" s="76" t="s">
        <v>886</v>
      </c>
      <c r="G686" s="76">
        <v>4</v>
      </c>
      <c r="O686" s="92"/>
    </row>
    <row r="687" spans="1:15" x14ac:dyDescent="0.25">
      <c r="A687" s="1">
        <v>682</v>
      </c>
      <c r="B687" s="91">
        <v>11940</v>
      </c>
      <c r="C687" s="76" t="s">
        <v>216</v>
      </c>
      <c r="D687" s="76" t="s">
        <v>884</v>
      </c>
      <c r="E687" s="76" t="s">
        <v>885</v>
      </c>
      <c r="F687" s="76" t="s">
        <v>886</v>
      </c>
      <c r="G687" s="76">
        <v>4</v>
      </c>
      <c r="O687" s="92"/>
    </row>
    <row r="688" spans="1:15" x14ac:dyDescent="0.25">
      <c r="A688" s="1">
        <v>683</v>
      </c>
      <c r="B688" s="91">
        <v>11941</v>
      </c>
      <c r="C688" s="76" t="s">
        <v>216</v>
      </c>
      <c r="D688" s="76" t="s">
        <v>884</v>
      </c>
      <c r="E688" s="76" t="s">
        <v>885</v>
      </c>
      <c r="F688" s="76" t="s">
        <v>886</v>
      </c>
      <c r="G688" s="76">
        <v>4</v>
      </c>
      <c r="O688" s="92"/>
    </row>
    <row r="689" spans="1:15" x14ac:dyDescent="0.25">
      <c r="A689" s="1">
        <v>684</v>
      </c>
      <c r="B689" s="91">
        <v>11942</v>
      </c>
      <c r="C689" s="76" t="s">
        <v>216</v>
      </c>
      <c r="D689" s="76" t="s">
        <v>884</v>
      </c>
      <c r="E689" s="76" t="s">
        <v>885</v>
      </c>
      <c r="F689" s="76" t="s">
        <v>886</v>
      </c>
      <c r="G689" s="76">
        <v>4</v>
      </c>
      <c r="O689" s="92"/>
    </row>
    <row r="690" spans="1:15" x14ac:dyDescent="0.25">
      <c r="A690" s="1">
        <v>685</v>
      </c>
      <c r="B690" s="91">
        <v>11944</v>
      </c>
      <c r="C690" s="76" t="s">
        <v>216</v>
      </c>
      <c r="D690" s="76" t="s">
        <v>884</v>
      </c>
      <c r="E690" s="76" t="s">
        <v>885</v>
      </c>
      <c r="F690" s="76" t="s">
        <v>886</v>
      </c>
      <c r="G690" s="76">
        <v>4</v>
      </c>
      <c r="O690" s="92"/>
    </row>
    <row r="691" spans="1:15" x14ac:dyDescent="0.25">
      <c r="A691" s="1">
        <v>686</v>
      </c>
      <c r="B691" s="91">
        <v>11946</v>
      </c>
      <c r="C691" s="76" t="s">
        <v>216</v>
      </c>
      <c r="D691" s="76" t="s">
        <v>884</v>
      </c>
      <c r="E691" s="76" t="s">
        <v>885</v>
      </c>
      <c r="F691" s="76" t="s">
        <v>886</v>
      </c>
      <c r="G691" s="76">
        <v>4</v>
      </c>
      <c r="O691" s="92"/>
    </row>
    <row r="692" spans="1:15" x14ac:dyDescent="0.25">
      <c r="A692" s="1">
        <v>687</v>
      </c>
      <c r="B692" s="91">
        <v>11947</v>
      </c>
      <c r="C692" s="76" t="s">
        <v>216</v>
      </c>
      <c r="D692" s="76" t="s">
        <v>884</v>
      </c>
      <c r="E692" s="76" t="s">
        <v>885</v>
      </c>
      <c r="F692" s="76" t="s">
        <v>886</v>
      </c>
      <c r="G692" s="76">
        <v>4</v>
      </c>
      <c r="O692" s="92"/>
    </row>
    <row r="693" spans="1:15" x14ac:dyDescent="0.25">
      <c r="A693" s="1">
        <v>688</v>
      </c>
      <c r="B693" s="91">
        <v>11948</v>
      </c>
      <c r="C693" s="76" t="s">
        <v>216</v>
      </c>
      <c r="D693" s="76" t="s">
        <v>884</v>
      </c>
      <c r="E693" s="76" t="s">
        <v>885</v>
      </c>
      <c r="F693" s="76" t="s">
        <v>886</v>
      </c>
      <c r="G693" s="76">
        <v>4</v>
      </c>
      <c r="O693" s="92"/>
    </row>
    <row r="694" spans="1:15" x14ac:dyDescent="0.25">
      <c r="A694" s="1">
        <v>689</v>
      </c>
      <c r="B694" s="91">
        <v>11949</v>
      </c>
      <c r="C694" s="76" t="s">
        <v>216</v>
      </c>
      <c r="D694" s="76" t="s">
        <v>884</v>
      </c>
      <c r="E694" s="76" t="s">
        <v>885</v>
      </c>
      <c r="F694" s="76" t="s">
        <v>886</v>
      </c>
      <c r="G694" s="76">
        <v>4</v>
      </c>
      <c r="O694" s="92"/>
    </row>
    <row r="695" spans="1:15" x14ac:dyDescent="0.25">
      <c r="A695" s="1">
        <v>690</v>
      </c>
      <c r="B695" s="91">
        <v>11950</v>
      </c>
      <c r="C695" s="76" t="s">
        <v>216</v>
      </c>
      <c r="D695" s="76" t="s">
        <v>884</v>
      </c>
      <c r="E695" s="76" t="s">
        <v>885</v>
      </c>
      <c r="F695" s="76" t="s">
        <v>886</v>
      </c>
      <c r="G695" s="76">
        <v>4</v>
      </c>
      <c r="O695" s="92"/>
    </row>
    <row r="696" spans="1:15" x14ac:dyDescent="0.25">
      <c r="A696" s="1">
        <v>691</v>
      </c>
      <c r="B696" s="91">
        <v>11951</v>
      </c>
      <c r="C696" s="76" t="s">
        <v>216</v>
      </c>
      <c r="D696" s="76" t="s">
        <v>884</v>
      </c>
      <c r="E696" s="76" t="s">
        <v>885</v>
      </c>
      <c r="F696" s="76" t="s">
        <v>886</v>
      </c>
      <c r="G696" s="76">
        <v>4</v>
      </c>
      <c r="O696" s="92"/>
    </row>
    <row r="697" spans="1:15" x14ac:dyDescent="0.25">
      <c r="A697" s="1">
        <v>692</v>
      </c>
      <c r="B697" s="91">
        <v>11952</v>
      </c>
      <c r="C697" s="76" t="s">
        <v>216</v>
      </c>
      <c r="D697" s="76" t="s">
        <v>884</v>
      </c>
      <c r="E697" s="76" t="s">
        <v>885</v>
      </c>
      <c r="F697" s="76" t="s">
        <v>886</v>
      </c>
      <c r="G697" s="76">
        <v>4</v>
      </c>
      <c r="O697" s="92"/>
    </row>
    <row r="698" spans="1:15" x14ac:dyDescent="0.25">
      <c r="A698" s="1">
        <v>693</v>
      </c>
      <c r="B698" s="91">
        <v>11953</v>
      </c>
      <c r="C698" s="76" t="s">
        <v>216</v>
      </c>
      <c r="D698" s="76" t="s">
        <v>884</v>
      </c>
      <c r="E698" s="76" t="s">
        <v>885</v>
      </c>
      <c r="F698" s="76" t="s">
        <v>886</v>
      </c>
      <c r="G698" s="76">
        <v>4</v>
      </c>
      <c r="O698" s="92"/>
    </row>
    <row r="699" spans="1:15" x14ac:dyDescent="0.25">
      <c r="A699" s="1">
        <v>694</v>
      </c>
      <c r="B699" s="91">
        <v>11954</v>
      </c>
      <c r="C699" s="76" t="s">
        <v>216</v>
      </c>
      <c r="D699" s="76" t="s">
        <v>884</v>
      </c>
      <c r="E699" s="76" t="s">
        <v>885</v>
      </c>
      <c r="F699" s="76" t="s">
        <v>886</v>
      </c>
      <c r="G699" s="76">
        <v>4</v>
      </c>
      <c r="O699" s="92"/>
    </row>
    <row r="700" spans="1:15" x14ac:dyDescent="0.25">
      <c r="A700" s="1">
        <v>695</v>
      </c>
      <c r="B700" s="91">
        <v>11955</v>
      </c>
      <c r="C700" s="76" t="s">
        <v>216</v>
      </c>
      <c r="D700" s="76" t="s">
        <v>884</v>
      </c>
      <c r="E700" s="76" t="s">
        <v>885</v>
      </c>
      <c r="F700" s="76" t="s">
        <v>886</v>
      </c>
      <c r="G700" s="76">
        <v>4</v>
      </c>
      <c r="O700" s="92"/>
    </row>
    <row r="701" spans="1:15" x14ac:dyDescent="0.25">
      <c r="A701" s="1">
        <v>696</v>
      </c>
      <c r="B701" s="91">
        <v>11956</v>
      </c>
      <c r="C701" s="76" t="s">
        <v>216</v>
      </c>
      <c r="D701" s="76" t="s">
        <v>884</v>
      </c>
      <c r="E701" s="76" t="s">
        <v>885</v>
      </c>
      <c r="F701" s="76" t="s">
        <v>886</v>
      </c>
      <c r="G701" s="76">
        <v>4</v>
      </c>
      <c r="O701" s="92"/>
    </row>
    <row r="702" spans="1:15" x14ac:dyDescent="0.25">
      <c r="A702" s="1">
        <v>697</v>
      </c>
      <c r="B702" s="91">
        <v>11957</v>
      </c>
      <c r="C702" s="76" t="s">
        <v>216</v>
      </c>
      <c r="D702" s="76" t="s">
        <v>884</v>
      </c>
      <c r="E702" s="76" t="s">
        <v>885</v>
      </c>
      <c r="F702" s="76" t="s">
        <v>886</v>
      </c>
      <c r="G702" s="76">
        <v>4</v>
      </c>
      <c r="O702" s="92"/>
    </row>
    <row r="703" spans="1:15" x14ac:dyDescent="0.25">
      <c r="A703" s="1">
        <v>698</v>
      </c>
      <c r="B703" s="91">
        <v>11958</v>
      </c>
      <c r="C703" s="76" t="s">
        <v>216</v>
      </c>
      <c r="D703" s="76" t="s">
        <v>884</v>
      </c>
      <c r="E703" s="76" t="s">
        <v>885</v>
      </c>
      <c r="F703" s="76" t="s">
        <v>886</v>
      </c>
      <c r="G703" s="76">
        <v>4</v>
      </c>
      <c r="O703" s="92"/>
    </row>
    <row r="704" spans="1:15" x14ac:dyDescent="0.25">
      <c r="A704" s="1">
        <v>699</v>
      </c>
      <c r="B704" s="91">
        <v>11959</v>
      </c>
      <c r="C704" s="76" t="s">
        <v>216</v>
      </c>
      <c r="D704" s="76" t="s">
        <v>884</v>
      </c>
      <c r="E704" s="76" t="s">
        <v>885</v>
      </c>
      <c r="F704" s="76" t="s">
        <v>886</v>
      </c>
      <c r="G704" s="76">
        <v>4</v>
      </c>
      <c r="O704" s="92"/>
    </row>
    <row r="705" spans="1:15" x14ac:dyDescent="0.25">
      <c r="A705" s="1">
        <v>700</v>
      </c>
      <c r="B705" s="91">
        <v>11960</v>
      </c>
      <c r="C705" s="76" t="s">
        <v>216</v>
      </c>
      <c r="D705" s="76" t="s">
        <v>884</v>
      </c>
      <c r="E705" s="76" t="s">
        <v>885</v>
      </c>
      <c r="F705" s="76" t="s">
        <v>886</v>
      </c>
      <c r="G705" s="76">
        <v>4</v>
      </c>
      <c r="O705" s="92"/>
    </row>
    <row r="706" spans="1:15" x14ac:dyDescent="0.25">
      <c r="A706" s="1">
        <v>701</v>
      </c>
      <c r="B706" s="91">
        <v>11961</v>
      </c>
      <c r="C706" s="76" t="s">
        <v>216</v>
      </c>
      <c r="D706" s="76" t="s">
        <v>884</v>
      </c>
      <c r="E706" s="76" t="s">
        <v>885</v>
      </c>
      <c r="F706" s="76" t="s">
        <v>886</v>
      </c>
      <c r="G706" s="76">
        <v>4</v>
      </c>
      <c r="O706" s="92"/>
    </row>
    <row r="707" spans="1:15" x14ac:dyDescent="0.25">
      <c r="A707" s="1">
        <v>702</v>
      </c>
      <c r="B707" s="91">
        <v>11962</v>
      </c>
      <c r="C707" s="76" t="s">
        <v>216</v>
      </c>
      <c r="D707" s="76" t="s">
        <v>884</v>
      </c>
      <c r="E707" s="76" t="s">
        <v>885</v>
      </c>
      <c r="F707" s="76" t="s">
        <v>886</v>
      </c>
      <c r="G707" s="76">
        <v>4</v>
      </c>
      <c r="O707" s="92"/>
    </row>
    <row r="708" spans="1:15" x14ac:dyDescent="0.25">
      <c r="A708" s="1">
        <v>703</v>
      </c>
      <c r="B708" s="91">
        <v>11963</v>
      </c>
      <c r="C708" s="76" t="s">
        <v>216</v>
      </c>
      <c r="D708" s="76" t="s">
        <v>884</v>
      </c>
      <c r="E708" s="76" t="s">
        <v>885</v>
      </c>
      <c r="F708" s="76" t="s">
        <v>886</v>
      </c>
      <c r="G708" s="76">
        <v>4</v>
      </c>
      <c r="O708" s="92"/>
    </row>
    <row r="709" spans="1:15" x14ac:dyDescent="0.25">
      <c r="A709" s="1">
        <v>704</v>
      </c>
      <c r="B709" s="91">
        <v>11964</v>
      </c>
      <c r="C709" s="76" t="s">
        <v>216</v>
      </c>
      <c r="D709" s="76" t="s">
        <v>884</v>
      </c>
      <c r="E709" s="76" t="s">
        <v>885</v>
      </c>
      <c r="F709" s="76" t="s">
        <v>886</v>
      </c>
      <c r="G709" s="76">
        <v>4</v>
      </c>
      <c r="O709" s="92"/>
    </row>
    <row r="710" spans="1:15" x14ac:dyDescent="0.25">
      <c r="A710" s="1">
        <v>705</v>
      </c>
      <c r="B710" s="91">
        <v>11965</v>
      </c>
      <c r="C710" s="76" t="s">
        <v>216</v>
      </c>
      <c r="D710" s="76" t="s">
        <v>884</v>
      </c>
      <c r="E710" s="76" t="s">
        <v>885</v>
      </c>
      <c r="F710" s="76" t="s">
        <v>886</v>
      </c>
      <c r="G710" s="76">
        <v>4</v>
      </c>
      <c r="O710" s="92"/>
    </row>
    <row r="711" spans="1:15" x14ac:dyDescent="0.25">
      <c r="A711" s="1">
        <v>706</v>
      </c>
      <c r="B711" s="91">
        <v>11967</v>
      </c>
      <c r="C711" s="76" t="s">
        <v>216</v>
      </c>
      <c r="D711" s="76" t="s">
        <v>884</v>
      </c>
      <c r="E711" s="76" t="s">
        <v>885</v>
      </c>
      <c r="F711" s="76" t="s">
        <v>886</v>
      </c>
      <c r="G711" s="76">
        <v>4</v>
      </c>
      <c r="O711" s="92"/>
    </row>
    <row r="712" spans="1:15" x14ac:dyDescent="0.25">
      <c r="A712" s="1">
        <v>707</v>
      </c>
      <c r="B712" s="91">
        <v>11968</v>
      </c>
      <c r="C712" s="76" t="s">
        <v>216</v>
      </c>
      <c r="D712" s="76" t="s">
        <v>884</v>
      </c>
      <c r="E712" s="76" t="s">
        <v>885</v>
      </c>
      <c r="F712" s="76" t="s">
        <v>886</v>
      </c>
      <c r="G712" s="76">
        <v>4</v>
      </c>
      <c r="O712" s="92"/>
    </row>
    <row r="713" spans="1:15" x14ac:dyDescent="0.25">
      <c r="A713" s="1">
        <v>708</v>
      </c>
      <c r="B713" s="91">
        <v>11969</v>
      </c>
      <c r="C713" s="76" t="s">
        <v>216</v>
      </c>
      <c r="D713" s="76" t="s">
        <v>884</v>
      </c>
      <c r="E713" s="76" t="s">
        <v>885</v>
      </c>
      <c r="F713" s="76" t="s">
        <v>886</v>
      </c>
      <c r="G713" s="76">
        <v>4</v>
      </c>
      <c r="O713" s="92"/>
    </row>
    <row r="714" spans="1:15" x14ac:dyDescent="0.25">
      <c r="A714" s="1">
        <v>709</v>
      </c>
      <c r="B714" s="91">
        <v>11970</v>
      </c>
      <c r="C714" s="76" t="s">
        <v>216</v>
      </c>
      <c r="D714" s="76" t="s">
        <v>884</v>
      </c>
      <c r="E714" s="76" t="s">
        <v>885</v>
      </c>
      <c r="F714" s="76" t="s">
        <v>886</v>
      </c>
      <c r="G714" s="76">
        <v>4</v>
      </c>
      <c r="O714" s="92"/>
    </row>
    <row r="715" spans="1:15" x14ac:dyDescent="0.25">
      <c r="A715" s="1">
        <v>710</v>
      </c>
      <c r="B715" s="91">
        <v>11971</v>
      </c>
      <c r="C715" s="76" t="s">
        <v>216</v>
      </c>
      <c r="D715" s="76" t="s">
        <v>884</v>
      </c>
      <c r="E715" s="76" t="s">
        <v>885</v>
      </c>
      <c r="F715" s="76" t="s">
        <v>886</v>
      </c>
      <c r="G715" s="76">
        <v>4</v>
      </c>
      <c r="O715" s="92"/>
    </row>
    <row r="716" spans="1:15" x14ac:dyDescent="0.25">
      <c r="A716" s="1">
        <v>711</v>
      </c>
      <c r="B716" s="91">
        <v>11972</v>
      </c>
      <c r="C716" s="76" t="s">
        <v>216</v>
      </c>
      <c r="D716" s="76" t="s">
        <v>884</v>
      </c>
      <c r="E716" s="76" t="s">
        <v>885</v>
      </c>
      <c r="F716" s="76" t="s">
        <v>886</v>
      </c>
      <c r="G716" s="76">
        <v>4</v>
      </c>
      <c r="O716" s="92"/>
    </row>
    <row r="717" spans="1:15" x14ac:dyDescent="0.25">
      <c r="A717" s="1">
        <v>712</v>
      </c>
      <c r="B717" s="91">
        <v>11973</v>
      </c>
      <c r="C717" s="76" t="s">
        <v>216</v>
      </c>
      <c r="D717" s="76" t="s">
        <v>884</v>
      </c>
      <c r="E717" s="76" t="s">
        <v>885</v>
      </c>
      <c r="F717" s="76" t="s">
        <v>886</v>
      </c>
      <c r="G717" s="76">
        <v>4</v>
      </c>
      <c r="O717" s="92"/>
    </row>
    <row r="718" spans="1:15" x14ac:dyDescent="0.25">
      <c r="A718" s="1">
        <v>713</v>
      </c>
      <c r="B718" s="91">
        <v>11975</v>
      </c>
      <c r="C718" s="76" t="s">
        <v>216</v>
      </c>
      <c r="D718" s="76" t="s">
        <v>884</v>
      </c>
      <c r="E718" s="76" t="s">
        <v>885</v>
      </c>
      <c r="F718" s="76" t="s">
        <v>886</v>
      </c>
      <c r="G718" s="76">
        <v>4</v>
      </c>
      <c r="O718" s="92"/>
    </row>
    <row r="719" spans="1:15" x14ac:dyDescent="0.25">
      <c r="A719" s="1">
        <v>714</v>
      </c>
      <c r="B719" s="91">
        <v>11976</v>
      </c>
      <c r="C719" s="76" t="s">
        <v>216</v>
      </c>
      <c r="D719" s="76" t="s">
        <v>884</v>
      </c>
      <c r="E719" s="76" t="s">
        <v>885</v>
      </c>
      <c r="F719" s="76" t="s">
        <v>886</v>
      </c>
      <c r="G719" s="76">
        <v>4</v>
      </c>
      <c r="O719" s="92"/>
    </row>
    <row r="720" spans="1:15" x14ac:dyDescent="0.25">
      <c r="A720" s="1">
        <v>715</v>
      </c>
      <c r="B720" s="91">
        <v>11977</v>
      </c>
      <c r="C720" s="76" t="s">
        <v>216</v>
      </c>
      <c r="D720" s="76" t="s">
        <v>884</v>
      </c>
      <c r="E720" s="76" t="s">
        <v>885</v>
      </c>
      <c r="F720" s="76" t="s">
        <v>886</v>
      </c>
      <c r="G720" s="76">
        <v>4</v>
      </c>
      <c r="O720" s="92"/>
    </row>
    <row r="721" spans="1:15" x14ac:dyDescent="0.25">
      <c r="A721" s="1">
        <v>716</v>
      </c>
      <c r="B721" s="91">
        <v>11978</v>
      </c>
      <c r="C721" s="76" t="s">
        <v>216</v>
      </c>
      <c r="D721" s="76" t="s">
        <v>884</v>
      </c>
      <c r="E721" s="76" t="s">
        <v>885</v>
      </c>
      <c r="F721" s="76" t="s">
        <v>886</v>
      </c>
      <c r="G721" s="76">
        <v>4</v>
      </c>
      <c r="O721" s="92"/>
    </row>
    <row r="722" spans="1:15" x14ac:dyDescent="0.25">
      <c r="A722" s="1">
        <v>717</v>
      </c>
      <c r="B722" s="91">
        <v>11980</v>
      </c>
      <c r="C722" s="76" t="s">
        <v>216</v>
      </c>
      <c r="D722" s="76" t="s">
        <v>884</v>
      </c>
      <c r="E722" s="76" t="s">
        <v>885</v>
      </c>
      <c r="F722" s="76" t="s">
        <v>886</v>
      </c>
      <c r="G722" s="76">
        <v>4</v>
      </c>
      <c r="O722" s="92"/>
    </row>
    <row r="723" spans="1:15" x14ac:dyDescent="0.25">
      <c r="A723" s="1">
        <v>718</v>
      </c>
      <c r="B723" s="91">
        <v>12007</v>
      </c>
      <c r="C723" s="76" t="s">
        <v>211</v>
      </c>
      <c r="D723" s="76" t="s">
        <v>211</v>
      </c>
      <c r="E723" s="76" t="s">
        <v>899</v>
      </c>
      <c r="F723" s="76" t="s">
        <v>900</v>
      </c>
      <c r="G723" s="76">
        <v>5</v>
      </c>
      <c r="O723" s="92"/>
    </row>
    <row r="724" spans="1:15" x14ac:dyDescent="0.25">
      <c r="A724" s="1">
        <v>719</v>
      </c>
      <c r="B724" s="91">
        <v>12008</v>
      </c>
      <c r="C724" s="76" t="s">
        <v>211</v>
      </c>
      <c r="D724" s="76" t="s">
        <v>901</v>
      </c>
      <c r="E724" s="76" t="s">
        <v>899</v>
      </c>
      <c r="F724" s="76" t="s">
        <v>900</v>
      </c>
      <c r="G724" s="76">
        <v>5</v>
      </c>
      <c r="O724" s="92"/>
    </row>
    <row r="725" spans="1:15" x14ac:dyDescent="0.25">
      <c r="A725" s="1">
        <v>720</v>
      </c>
      <c r="B725" s="91">
        <v>12009</v>
      </c>
      <c r="C725" s="76" t="s">
        <v>211</v>
      </c>
      <c r="D725" s="76" t="s">
        <v>211</v>
      </c>
      <c r="E725" s="76" t="s">
        <v>899</v>
      </c>
      <c r="F725" s="76" t="s">
        <v>900</v>
      </c>
      <c r="G725" s="76">
        <v>5</v>
      </c>
      <c r="O725" s="92"/>
    </row>
    <row r="726" spans="1:15" x14ac:dyDescent="0.25">
      <c r="A726" s="1">
        <v>721</v>
      </c>
      <c r="B726" s="91">
        <v>12010</v>
      </c>
      <c r="C726" s="76" t="s">
        <v>211</v>
      </c>
      <c r="D726" s="76" t="s">
        <v>902</v>
      </c>
      <c r="E726" s="76" t="s">
        <v>899</v>
      </c>
      <c r="F726" s="76" t="s">
        <v>900</v>
      </c>
      <c r="G726" s="76">
        <v>6</v>
      </c>
      <c r="O726" s="92"/>
    </row>
    <row r="727" spans="1:15" x14ac:dyDescent="0.25">
      <c r="A727" s="1">
        <v>722</v>
      </c>
      <c r="B727" s="91">
        <v>12015</v>
      </c>
      <c r="C727" s="76" t="s">
        <v>211</v>
      </c>
      <c r="D727" s="76" t="s">
        <v>903</v>
      </c>
      <c r="E727" s="76" t="s">
        <v>899</v>
      </c>
      <c r="F727" s="76" t="s">
        <v>900</v>
      </c>
      <c r="G727" s="76">
        <v>5</v>
      </c>
      <c r="O727" s="92"/>
    </row>
    <row r="728" spans="1:15" x14ac:dyDescent="0.25">
      <c r="A728" s="1">
        <v>723</v>
      </c>
      <c r="B728" s="91">
        <v>12016</v>
      </c>
      <c r="C728" s="76" t="s">
        <v>211</v>
      </c>
      <c r="D728" s="76" t="s">
        <v>902</v>
      </c>
      <c r="E728" s="76" t="s">
        <v>899</v>
      </c>
      <c r="F728" s="76" t="s">
        <v>900</v>
      </c>
      <c r="G728" s="76">
        <v>6</v>
      </c>
      <c r="O728" s="92"/>
    </row>
    <row r="729" spans="1:15" x14ac:dyDescent="0.25">
      <c r="A729" s="1">
        <v>724</v>
      </c>
      <c r="B729" s="91">
        <v>12017</v>
      </c>
      <c r="C729" s="76" t="s">
        <v>211</v>
      </c>
      <c r="D729" s="76" t="s">
        <v>904</v>
      </c>
      <c r="E729" s="76" t="s">
        <v>899</v>
      </c>
      <c r="F729" s="76" t="s">
        <v>900</v>
      </c>
      <c r="G729" s="76">
        <v>5</v>
      </c>
      <c r="O729" s="92"/>
    </row>
    <row r="730" spans="1:15" x14ac:dyDescent="0.25">
      <c r="A730" s="1">
        <v>725</v>
      </c>
      <c r="B730" s="91">
        <v>12018</v>
      </c>
      <c r="C730" s="76" t="s">
        <v>211</v>
      </c>
      <c r="D730" s="76" t="s">
        <v>905</v>
      </c>
      <c r="E730" s="76" t="s">
        <v>899</v>
      </c>
      <c r="F730" s="76" t="s">
        <v>900</v>
      </c>
      <c r="G730" s="76">
        <v>5</v>
      </c>
      <c r="O730" s="92"/>
    </row>
    <row r="731" spans="1:15" x14ac:dyDescent="0.25">
      <c r="A731" s="1">
        <v>726</v>
      </c>
      <c r="B731" s="91">
        <v>12019</v>
      </c>
      <c r="C731" s="76" t="s">
        <v>211</v>
      </c>
      <c r="D731" s="76" t="s">
        <v>906</v>
      </c>
      <c r="E731" s="76" t="s">
        <v>899</v>
      </c>
      <c r="F731" s="76" t="s">
        <v>900</v>
      </c>
      <c r="G731" s="76">
        <v>5</v>
      </c>
      <c r="O731" s="92"/>
    </row>
    <row r="732" spans="1:15" x14ac:dyDescent="0.25">
      <c r="A732" s="1">
        <v>727</v>
      </c>
      <c r="B732" s="91">
        <v>12020</v>
      </c>
      <c r="C732" s="76" t="s">
        <v>211</v>
      </c>
      <c r="D732" s="76" t="s">
        <v>906</v>
      </c>
      <c r="E732" s="76" t="s">
        <v>899</v>
      </c>
      <c r="F732" s="76" t="s">
        <v>900</v>
      </c>
      <c r="G732" s="76">
        <v>5</v>
      </c>
      <c r="O732" s="92"/>
    </row>
    <row r="733" spans="1:15" x14ac:dyDescent="0.25">
      <c r="A733" s="1">
        <v>728</v>
      </c>
      <c r="B733" s="91">
        <v>12022</v>
      </c>
      <c r="C733" s="76" t="s">
        <v>211</v>
      </c>
      <c r="D733" s="76" t="s">
        <v>905</v>
      </c>
      <c r="E733" s="76" t="s">
        <v>899</v>
      </c>
      <c r="F733" s="76" t="s">
        <v>900</v>
      </c>
      <c r="G733" s="76">
        <v>5</v>
      </c>
      <c r="O733" s="92"/>
    </row>
    <row r="734" spans="1:15" x14ac:dyDescent="0.25">
      <c r="A734" s="1">
        <v>729</v>
      </c>
      <c r="B734" s="91">
        <v>12023</v>
      </c>
      <c r="C734" s="76" t="s">
        <v>211</v>
      </c>
      <c r="D734" s="76" t="s">
        <v>211</v>
      </c>
      <c r="E734" s="76" t="s">
        <v>899</v>
      </c>
      <c r="F734" s="76" t="s">
        <v>900</v>
      </c>
      <c r="G734" s="76">
        <v>5</v>
      </c>
      <c r="O734" s="92"/>
    </row>
    <row r="735" spans="1:15" x14ac:dyDescent="0.25">
      <c r="A735" s="1">
        <v>730</v>
      </c>
      <c r="B735" s="91">
        <v>12024</v>
      </c>
      <c r="C735" s="76" t="s">
        <v>211</v>
      </c>
      <c r="D735" s="76" t="s">
        <v>904</v>
      </c>
      <c r="E735" s="76" t="s">
        <v>899</v>
      </c>
      <c r="F735" s="76" t="s">
        <v>900</v>
      </c>
      <c r="G735" s="76">
        <v>5</v>
      </c>
      <c r="O735" s="92"/>
    </row>
    <row r="736" spans="1:15" x14ac:dyDescent="0.25">
      <c r="A736" s="1">
        <v>731</v>
      </c>
      <c r="B736" s="91">
        <v>12025</v>
      </c>
      <c r="C736" s="76" t="s">
        <v>211</v>
      </c>
      <c r="D736" s="76" t="s">
        <v>907</v>
      </c>
      <c r="E736" s="76" t="s">
        <v>899</v>
      </c>
      <c r="F736" s="76" t="s">
        <v>900</v>
      </c>
      <c r="G736" s="76">
        <v>6</v>
      </c>
      <c r="O736" s="92"/>
    </row>
    <row r="737" spans="1:15" x14ac:dyDescent="0.25">
      <c r="A737" s="1">
        <v>732</v>
      </c>
      <c r="B737" s="91">
        <v>12027</v>
      </c>
      <c r="C737" s="76" t="s">
        <v>211</v>
      </c>
      <c r="D737" s="76" t="s">
        <v>906</v>
      </c>
      <c r="E737" s="76" t="s">
        <v>899</v>
      </c>
      <c r="F737" s="76" t="s">
        <v>900</v>
      </c>
      <c r="G737" s="76">
        <v>5</v>
      </c>
      <c r="O737" s="92"/>
    </row>
    <row r="738" spans="1:15" x14ac:dyDescent="0.25">
      <c r="A738" s="1">
        <v>733</v>
      </c>
      <c r="B738" s="91">
        <v>12028</v>
      </c>
      <c r="C738" s="76" t="s">
        <v>211</v>
      </c>
      <c r="D738" s="76" t="s">
        <v>905</v>
      </c>
      <c r="E738" s="76" t="s">
        <v>899</v>
      </c>
      <c r="F738" s="76" t="s">
        <v>900</v>
      </c>
      <c r="G738" s="76">
        <v>5</v>
      </c>
      <c r="O738" s="92"/>
    </row>
    <row r="739" spans="1:15" x14ac:dyDescent="0.25">
      <c r="A739" s="1">
        <v>734</v>
      </c>
      <c r="B739" s="91">
        <v>12029</v>
      </c>
      <c r="C739" s="76" t="s">
        <v>211</v>
      </c>
      <c r="D739" s="76" t="s">
        <v>904</v>
      </c>
      <c r="E739" s="76" t="s">
        <v>899</v>
      </c>
      <c r="F739" s="76" t="s">
        <v>900</v>
      </c>
      <c r="G739" s="76">
        <v>5</v>
      </c>
      <c r="O739" s="92"/>
    </row>
    <row r="740" spans="1:15" x14ac:dyDescent="0.25">
      <c r="A740" s="1">
        <v>735</v>
      </c>
      <c r="B740" s="91">
        <v>12031</v>
      </c>
      <c r="C740" s="76" t="s">
        <v>211</v>
      </c>
      <c r="D740" s="76" t="s">
        <v>908</v>
      </c>
      <c r="E740" s="76" t="s">
        <v>899</v>
      </c>
      <c r="F740" s="76" t="s">
        <v>900</v>
      </c>
      <c r="G740" s="76">
        <v>6</v>
      </c>
      <c r="O740" s="92"/>
    </row>
    <row r="741" spans="1:15" x14ac:dyDescent="0.25">
      <c r="A741" s="1">
        <v>736</v>
      </c>
      <c r="B741" s="91">
        <v>12032</v>
      </c>
      <c r="C741" s="76" t="s">
        <v>211</v>
      </c>
      <c r="D741" s="76" t="s">
        <v>907</v>
      </c>
      <c r="E741" s="76" t="s">
        <v>899</v>
      </c>
      <c r="F741" s="76" t="s">
        <v>900</v>
      </c>
      <c r="G741" s="76">
        <v>6</v>
      </c>
      <c r="O741" s="92"/>
    </row>
    <row r="742" spans="1:15" x14ac:dyDescent="0.25">
      <c r="A742" s="1">
        <v>737</v>
      </c>
      <c r="B742" s="91">
        <v>12033</v>
      </c>
      <c r="C742" s="76" t="s">
        <v>211</v>
      </c>
      <c r="D742" s="76" t="s">
        <v>905</v>
      </c>
      <c r="E742" s="76" t="s">
        <v>899</v>
      </c>
      <c r="F742" s="76" t="s">
        <v>900</v>
      </c>
      <c r="G742" s="76">
        <v>5</v>
      </c>
      <c r="O742" s="92"/>
    </row>
    <row r="743" spans="1:15" x14ac:dyDescent="0.25">
      <c r="A743" s="1">
        <v>738</v>
      </c>
      <c r="B743" s="91">
        <v>12035</v>
      </c>
      <c r="C743" s="76" t="s">
        <v>211</v>
      </c>
      <c r="D743" s="76" t="s">
        <v>908</v>
      </c>
      <c r="E743" s="76" t="s">
        <v>899</v>
      </c>
      <c r="F743" s="76" t="s">
        <v>900</v>
      </c>
      <c r="G743" s="76">
        <v>6</v>
      </c>
      <c r="O743" s="92"/>
    </row>
    <row r="744" spans="1:15" x14ac:dyDescent="0.25">
      <c r="A744" s="1">
        <v>739</v>
      </c>
      <c r="B744" s="91">
        <v>12036</v>
      </c>
      <c r="C744" s="76" t="s">
        <v>211</v>
      </c>
      <c r="D744" s="76" t="s">
        <v>908</v>
      </c>
      <c r="E744" s="76" t="s">
        <v>899</v>
      </c>
      <c r="F744" s="76" t="s">
        <v>900</v>
      </c>
      <c r="G744" s="76">
        <v>6</v>
      </c>
      <c r="O744" s="92"/>
    </row>
    <row r="745" spans="1:15" x14ac:dyDescent="0.25">
      <c r="A745" s="1">
        <v>740</v>
      </c>
      <c r="B745" s="91">
        <v>12037</v>
      </c>
      <c r="C745" s="76" t="s">
        <v>211</v>
      </c>
      <c r="D745" s="76" t="s">
        <v>904</v>
      </c>
      <c r="E745" s="76" t="s">
        <v>899</v>
      </c>
      <c r="F745" s="76" t="s">
        <v>900</v>
      </c>
      <c r="G745" s="76">
        <v>5</v>
      </c>
      <c r="O745" s="92"/>
    </row>
    <row r="746" spans="1:15" x14ac:dyDescent="0.25">
      <c r="A746" s="1">
        <v>741</v>
      </c>
      <c r="B746" s="91">
        <v>12040</v>
      </c>
      <c r="C746" s="76" t="s">
        <v>211</v>
      </c>
      <c r="D746" s="76" t="s">
        <v>905</v>
      </c>
      <c r="E746" s="76" t="s">
        <v>899</v>
      </c>
      <c r="F746" s="76" t="s">
        <v>900</v>
      </c>
      <c r="G746" s="76">
        <v>5</v>
      </c>
      <c r="O746" s="92"/>
    </row>
    <row r="747" spans="1:15" x14ac:dyDescent="0.25">
      <c r="A747" s="1">
        <v>742</v>
      </c>
      <c r="B747" s="91">
        <v>12041</v>
      </c>
      <c r="C747" s="76" t="s">
        <v>211</v>
      </c>
      <c r="D747" s="76" t="s">
        <v>211</v>
      </c>
      <c r="E747" s="76" t="s">
        <v>899</v>
      </c>
      <c r="F747" s="76" t="s">
        <v>900</v>
      </c>
      <c r="G747" s="76">
        <v>5</v>
      </c>
      <c r="O747" s="92"/>
    </row>
    <row r="748" spans="1:15" x14ac:dyDescent="0.25">
      <c r="A748" s="1">
        <v>743</v>
      </c>
      <c r="B748" s="91">
        <v>12042</v>
      </c>
      <c r="C748" s="76" t="s">
        <v>211</v>
      </c>
      <c r="D748" s="76" t="s">
        <v>903</v>
      </c>
      <c r="E748" s="76" t="s">
        <v>899</v>
      </c>
      <c r="F748" s="76" t="s">
        <v>900</v>
      </c>
      <c r="G748" s="76">
        <v>5</v>
      </c>
      <c r="O748" s="92"/>
    </row>
    <row r="749" spans="1:15" x14ac:dyDescent="0.25">
      <c r="A749" s="1">
        <v>744</v>
      </c>
      <c r="B749" s="91">
        <v>12043</v>
      </c>
      <c r="C749" s="76" t="s">
        <v>211</v>
      </c>
      <c r="D749" s="76" t="s">
        <v>908</v>
      </c>
      <c r="E749" s="76" t="s">
        <v>899</v>
      </c>
      <c r="F749" s="76" t="s">
        <v>900</v>
      </c>
      <c r="G749" s="76">
        <v>6</v>
      </c>
      <c r="O749" s="92"/>
    </row>
    <row r="750" spans="1:15" x14ac:dyDescent="0.25">
      <c r="A750" s="1">
        <v>745</v>
      </c>
      <c r="B750" s="91">
        <v>12045</v>
      </c>
      <c r="C750" s="76" t="s">
        <v>211</v>
      </c>
      <c r="D750" s="76" t="s">
        <v>211</v>
      </c>
      <c r="E750" s="76" t="s">
        <v>899</v>
      </c>
      <c r="F750" s="76" t="s">
        <v>900</v>
      </c>
      <c r="G750" s="76">
        <v>5</v>
      </c>
      <c r="O750" s="92"/>
    </row>
    <row r="751" spans="1:15" x14ac:dyDescent="0.25">
      <c r="A751" s="1">
        <v>746</v>
      </c>
      <c r="B751" s="91">
        <v>12046</v>
      </c>
      <c r="C751" s="76" t="s">
        <v>211</v>
      </c>
      <c r="D751" s="76" t="s">
        <v>211</v>
      </c>
      <c r="E751" s="76" t="s">
        <v>899</v>
      </c>
      <c r="F751" s="76" t="s">
        <v>900</v>
      </c>
      <c r="G751" s="76">
        <v>5</v>
      </c>
      <c r="O751" s="92"/>
    </row>
    <row r="752" spans="1:15" x14ac:dyDescent="0.25">
      <c r="A752" s="1">
        <v>747</v>
      </c>
      <c r="B752" s="91">
        <v>12047</v>
      </c>
      <c r="C752" s="76" t="s">
        <v>211</v>
      </c>
      <c r="D752" s="76" t="s">
        <v>211</v>
      </c>
      <c r="E752" s="76" t="s">
        <v>899</v>
      </c>
      <c r="F752" s="76" t="s">
        <v>900</v>
      </c>
      <c r="G752" s="76">
        <v>5</v>
      </c>
      <c r="O752" s="92"/>
    </row>
    <row r="753" spans="1:15" x14ac:dyDescent="0.25">
      <c r="A753" s="1">
        <v>748</v>
      </c>
      <c r="B753" s="91">
        <v>12050</v>
      </c>
      <c r="C753" s="76" t="s">
        <v>211</v>
      </c>
      <c r="D753" s="76" t="s">
        <v>904</v>
      </c>
      <c r="E753" s="76" t="s">
        <v>899</v>
      </c>
      <c r="F753" s="76" t="s">
        <v>900</v>
      </c>
      <c r="G753" s="76">
        <v>5</v>
      </c>
      <c r="O753" s="92"/>
    </row>
    <row r="754" spans="1:15" x14ac:dyDescent="0.25">
      <c r="A754" s="1">
        <v>749</v>
      </c>
      <c r="B754" s="91">
        <v>12051</v>
      </c>
      <c r="C754" s="76" t="s">
        <v>211</v>
      </c>
      <c r="D754" s="76" t="s">
        <v>903</v>
      </c>
      <c r="E754" s="76" t="s">
        <v>899</v>
      </c>
      <c r="F754" s="76" t="s">
        <v>900</v>
      </c>
      <c r="G754" s="76">
        <v>5</v>
      </c>
      <c r="O754" s="92"/>
    </row>
    <row r="755" spans="1:15" x14ac:dyDescent="0.25">
      <c r="A755" s="1">
        <v>750</v>
      </c>
      <c r="B755" s="91">
        <v>12052</v>
      </c>
      <c r="C755" s="76" t="s">
        <v>211</v>
      </c>
      <c r="D755" s="76" t="s">
        <v>905</v>
      </c>
      <c r="E755" s="76" t="s">
        <v>899</v>
      </c>
      <c r="F755" s="76" t="s">
        <v>900</v>
      </c>
      <c r="G755" s="76">
        <v>5</v>
      </c>
      <c r="O755" s="92"/>
    </row>
    <row r="756" spans="1:15" x14ac:dyDescent="0.25">
      <c r="A756" s="1">
        <v>751</v>
      </c>
      <c r="B756" s="91">
        <v>12053</v>
      </c>
      <c r="C756" s="76" t="s">
        <v>211</v>
      </c>
      <c r="D756" s="76" t="s">
        <v>901</v>
      </c>
      <c r="E756" s="76" t="s">
        <v>899</v>
      </c>
      <c r="F756" s="76" t="s">
        <v>900</v>
      </c>
      <c r="G756" s="76">
        <v>5</v>
      </c>
      <c r="O756" s="92"/>
    </row>
    <row r="757" spans="1:15" x14ac:dyDescent="0.25">
      <c r="A757" s="1">
        <v>752</v>
      </c>
      <c r="B757" s="91">
        <v>12054</v>
      </c>
      <c r="C757" s="76" t="s">
        <v>211</v>
      </c>
      <c r="D757" s="76" t="s">
        <v>211</v>
      </c>
      <c r="E757" s="76" t="s">
        <v>899</v>
      </c>
      <c r="F757" s="76" t="s">
        <v>900</v>
      </c>
      <c r="G757" s="76">
        <v>5</v>
      </c>
      <c r="O757" s="92"/>
    </row>
    <row r="758" spans="1:15" x14ac:dyDescent="0.25">
      <c r="A758" s="1">
        <v>753</v>
      </c>
      <c r="B758" s="91">
        <v>12055</v>
      </c>
      <c r="C758" s="76" t="s">
        <v>211</v>
      </c>
      <c r="D758" s="76" t="s">
        <v>211</v>
      </c>
      <c r="E758" s="76" t="s">
        <v>899</v>
      </c>
      <c r="F758" s="76" t="s">
        <v>900</v>
      </c>
      <c r="G758" s="76">
        <v>5</v>
      </c>
      <c r="O758" s="92"/>
    </row>
    <row r="759" spans="1:15" x14ac:dyDescent="0.25">
      <c r="A759" s="1">
        <v>754</v>
      </c>
      <c r="B759" s="91">
        <v>12056</v>
      </c>
      <c r="C759" s="76" t="s">
        <v>211</v>
      </c>
      <c r="D759" s="76" t="s">
        <v>901</v>
      </c>
      <c r="E759" s="76" t="s">
        <v>899</v>
      </c>
      <c r="F759" s="76" t="s">
        <v>900</v>
      </c>
      <c r="G759" s="76">
        <v>5</v>
      </c>
      <c r="O759" s="92"/>
    </row>
    <row r="760" spans="1:15" x14ac:dyDescent="0.25">
      <c r="A760" s="1">
        <v>755</v>
      </c>
      <c r="B760" s="91">
        <v>12057</v>
      </c>
      <c r="C760" s="76" t="s">
        <v>211</v>
      </c>
      <c r="D760" s="76" t="s">
        <v>909</v>
      </c>
      <c r="E760" s="76" t="s">
        <v>899</v>
      </c>
      <c r="F760" s="76" t="s">
        <v>900</v>
      </c>
      <c r="G760" s="76">
        <v>5</v>
      </c>
      <c r="O760" s="92"/>
    </row>
    <row r="761" spans="1:15" x14ac:dyDescent="0.25">
      <c r="A761" s="1">
        <v>756</v>
      </c>
      <c r="B761" s="91">
        <v>12058</v>
      </c>
      <c r="C761" s="76" t="s">
        <v>211</v>
      </c>
      <c r="D761" s="76" t="s">
        <v>903</v>
      </c>
      <c r="E761" s="76" t="s">
        <v>899</v>
      </c>
      <c r="F761" s="76" t="s">
        <v>900</v>
      </c>
      <c r="G761" s="76">
        <v>5</v>
      </c>
      <c r="O761" s="92"/>
    </row>
    <row r="762" spans="1:15" x14ac:dyDescent="0.25">
      <c r="A762" s="1">
        <v>757</v>
      </c>
      <c r="B762" s="91">
        <v>12059</v>
      </c>
      <c r="C762" s="76" t="s">
        <v>211</v>
      </c>
      <c r="D762" s="76" t="s">
        <v>211</v>
      </c>
      <c r="E762" s="76" t="s">
        <v>899</v>
      </c>
      <c r="F762" s="76" t="s">
        <v>900</v>
      </c>
      <c r="G762" s="76">
        <v>5</v>
      </c>
      <c r="O762" s="92"/>
    </row>
    <row r="763" spans="1:15" x14ac:dyDescent="0.25">
      <c r="A763" s="1">
        <v>758</v>
      </c>
      <c r="B763" s="91">
        <v>12060</v>
      </c>
      <c r="C763" s="76" t="s">
        <v>211</v>
      </c>
      <c r="D763" s="76" t="s">
        <v>904</v>
      </c>
      <c r="E763" s="76" t="s">
        <v>899</v>
      </c>
      <c r="F763" s="76" t="s">
        <v>900</v>
      </c>
      <c r="G763" s="76">
        <v>5</v>
      </c>
      <c r="O763" s="92"/>
    </row>
    <row r="764" spans="1:15" x14ac:dyDescent="0.25">
      <c r="A764" s="1">
        <v>759</v>
      </c>
      <c r="B764" s="91">
        <v>12061</v>
      </c>
      <c r="C764" s="76" t="s">
        <v>211</v>
      </c>
      <c r="D764" s="76" t="s">
        <v>905</v>
      </c>
      <c r="E764" s="76" t="s">
        <v>899</v>
      </c>
      <c r="F764" s="76" t="s">
        <v>900</v>
      </c>
      <c r="G764" s="76">
        <v>5</v>
      </c>
      <c r="O764" s="92"/>
    </row>
    <row r="765" spans="1:15" x14ac:dyDescent="0.25">
      <c r="A765" s="1">
        <v>760</v>
      </c>
      <c r="B765" s="91">
        <v>12062</v>
      </c>
      <c r="C765" s="76" t="s">
        <v>211</v>
      </c>
      <c r="D765" s="76" t="s">
        <v>905</v>
      </c>
      <c r="E765" s="76" t="s">
        <v>899</v>
      </c>
      <c r="F765" s="76" t="s">
        <v>900</v>
      </c>
      <c r="G765" s="76">
        <v>5</v>
      </c>
      <c r="O765" s="92"/>
    </row>
    <row r="766" spans="1:15" x14ac:dyDescent="0.25">
      <c r="A766" s="1">
        <v>761</v>
      </c>
      <c r="B766" s="91">
        <v>12063</v>
      </c>
      <c r="C766" s="76" t="s">
        <v>211</v>
      </c>
      <c r="D766" s="76" t="s">
        <v>905</v>
      </c>
      <c r="E766" s="76" t="s">
        <v>899</v>
      </c>
      <c r="F766" s="76" t="s">
        <v>900</v>
      </c>
      <c r="G766" s="76">
        <v>5</v>
      </c>
      <c r="O766" s="92"/>
    </row>
    <row r="767" spans="1:15" x14ac:dyDescent="0.25">
      <c r="A767" s="1">
        <v>762</v>
      </c>
      <c r="B767" s="91">
        <v>12064</v>
      </c>
      <c r="C767" s="76" t="s">
        <v>212</v>
      </c>
      <c r="D767" s="76" t="s">
        <v>910</v>
      </c>
      <c r="E767" s="76" t="s">
        <v>899</v>
      </c>
      <c r="F767" s="76" t="s">
        <v>900</v>
      </c>
      <c r="G767" s="76">
        <v>6</v>
      </c>
      <c r="O767" s="92"/>
    </row>
    <row r="768" spans="1:15" x14ac:dyDescent="0.25">
      <c r="A768" s="1">
        <v>763</v>
      </c>
      <c r="B768" s="91">
        <v>12065</v>
      </c>
      <c r="C768" s="76" t="s">
        <v>211</v>
      </c>
      <c r="D768" s="76" t="s">
        <v>906</v>
      </c>
      <c r="E768" s="76" t="s">
        <v>899</v>
      </c>
      <c r="F768" s="76" t="s">
        <v>900</v>
      </c>
      <c r="G768" s="76">
        <v>5</v>
      </c>
      <c r="O768" s="92"/>
    </row>
    <row r="769" spans="1:15" x14ac:dyDescent="0.25">
      <c r="A769" s="1">
        <v>764</v>
      </c>
      <c r="B769" s="91">
        <v>12066</v>
      </c>
      <c r="C769" s="76" t="s">
        <v>211</v>
      </c>
      <c r="D769" s="76" t="s">
        <v>908</v>
      </c>
      <c r="E769" s="76" t="s">
        <v>899</v>
      </c>
      <c r="F769" s="76" t="s">
        <v>900</v>
      </c>
      <c r="G769" s="76">
        <v>6</v>
      </c>
      <c r="O769" s="92"/>
    </row>
    <row r="770" spans="1:15" x14ac:dyDescent="0.25">
      <c r="A770" s="1">
        <v>765</v>
      </c>
      <c r="B770" s="91">
        <v>12067</v>
      </c>
      <c r="C770" s="76" t="s">
        <v>211</v>
      </c>
      <c r="D770" s="76" t="s">
        <v>211</v>
      </c>
      <c r="E770" s="76" t="s">
        <v>899</v>
      </c>
      <c r="F770" s="76" t="s">
        <v>900</v>
      </c>
      <c r="G770" s="76">
        <v>5</v>
      </c>
      <c r="O770" s="92"/>
    </row>
    <row r="771" spans="1:15" x14ac:dyDescent="0.25">
      <c r="A771" s="1">
        <v>766</v>
      </c>
      <c r="B771" s="91">
        <v>12068</v>
      </c>
      <c r="C771" s="76" t="s">
        <v>211</v>
      </c>
      <c r="D771" s="76" t="s">
        <v>902</v>
      </c>
      <c r="E771" s="76" t="s">
        <v>899</v>
      </c>
      <c r="F771" s="76" t="s">
        <v>900</v>
      </c>
      <c r="G771" s="76">
        <v>6</v>
      </c>
      <c r="O771" s="92"/>
    </row>
    <row r="772" spans="1:15" x14ac:dyDescent="0.25">
      <c r="A772" s="1">
        <v>767</v>
      </c>
      <c r="B772" s="91">
        <v>12069</v>
      </c>
      <c r="C772" s="76" t="s">
        <v>211</v>
      </c>
      <c r="D772" s="76" t="s">
        <v>902</v>
      </c>
      <c r="E772" s="76" t="s">
        <v>899</v>
      </c>
      <c r="F772" s="76" t="s">
        <v>900</v>
      </c>
      <c r="G772" s="76">
        <v>6</v>
      </c>
      <c r="O772" s="92"/>
    </row>
    <row r="773" spans="1:15" x14ac:dyDescent="0.25">
      <c r="A773" s="1">
        <v>768</v>
      </c>
      <c r="B773" s="91">
        <v>12070</v>
      </c>
      <c r="C773" s="76" t="s">
        <v>211</v>
      </c>
      <c r="D773" s="76" t="s">
        <v>902</v>
      </c>
      <c r="E773" s="76" t="s">
        <v>899</v>
      </c>
      <c r="F773" s="76" t="s">
        <v>900</v>
      </c>
      <c r="G773" s="76">
        <v>6</v>
      </c>
      <c r="O773" s="92"/>
    </row>
    <row r="774" spans="1:15" x14ac:dyDescent="0.25">
      <c r="A774" s="1">
        <v>769</v>
      </c>
      <c r="B774" s="91">
        <v>12071</v>
      </c>
      <c r="C774" s="76" t="s">
        <v>211</v>
      </c>
      <c r="D774" s="76" t="s">
        <v>908</v>
      </c>
      <c r="E774" s="76" t="s">
        <v>899</v>
      </c>
      <c r="F774" s="76" t="s">
        <v>900</v>
      </c>
      <c r="G774" s="76">
        <v>6</v>
      </c>
      <c r="O774" s="92"/>
    </row>
    <row r="775" spans="1:15" x14ac:dyDescent="0.25">
      <c r="A775" s="1">
        <v>770</v>
      </c>
      <c r="B775" s="91">
        <v>12072</v>
      </c>
      <c r="C775" s="76" t="s">
        <v>211</v>
      </c>
      <c r="D775" s="76" t="s">
        <v>902</v>
      </c>
      <c r="E775" s="76" t="s">
        <v>899</v>
      </c>
      <c r="F775" s="76" t="s">
        <v>900</v>
      </c>
      <c r="G775" s="76">
        <v>6</v>
      </c>
      <c r="O775" s="92"/>
    </row>
    <row r="776" spans="1:15" x14ac:dyDescent="0.25">
      <c r="A776" s="1">
        <v>771</v>
      </c>
      <c r="B776" s="91">
        <v>12073</v>
      </c>
      <c r="C776" s="76" t="s">
        <v>211</v>
      </c>
      <c r="D776" s="76" t="s">
        <v>908</v>
      </c>
      <c r="E776" s="76" t="s">
        <v>899</v>
      </c>
      <c r="F776" s="76" t="s">
        <v>900</v>
      </c>
      <c r="G776" s="76">
        <v>6</v>
      </c>
      <c r="O776" s="92"/>
    </row>
    <row r="777" spans="1:15" x14ac:dyDescent="0.25">
      <c r="A777" s="1">
        <v>772</v>
      </c>
      <c r="B777" s="91">
        <v>12074</v>
      </c>
      <c r="C777" s="76" t="s">
        <v>211</v>
      </c>
      <c r="D777" s="76" t="s">
        <v>906</v>
      </c>
      <c r="E777" s="76" t="s">
        <v>899</v>
      </c>
      <c r="F777" s="76" t="s">
        <v>900</v>
      </c>
      <c r="G777" s="76">
        <v>5</v>
      </c>
      <c r="O777" s="92"/>
    </row>
    <row r="778" spans="1:15" x14ac:dyDescent="0.25">
      <c r="A778" s="1">
        <v>773</v>
      </c>
      <c r="B778" s="91">
        <v>12075</v>
      </c>
      <c r="C778" s="76" t="s">
        <v>211</v>
      </c>
      <c r="D778" s="76" t="s">
        <v>904</v>
      </c>
      <c r="E778" s="76" t="s">
        <v>899</v>
      </c>
      <c r="F778" s="76" t="s">
        <v>900</v>
      </c>
      <c r="G778" s="76">
        <v>5</v>
      </c>
      <c r="O778" s="92"/>
    </row>
    <row r="779" spans="1:15" x14ac:dyDescent="0.25">
      <c r="A779" s="1">
        <v>774</v>
      </c>
      <c r="B779" s="91">
        <v>12076</v>
      </c>
      <c r="C779" s="76" t="s">
        <v>211</v>
      </c>
      <c r="D779" s="76" t="s">
        <v>908</v>
      </c>
      <c r="E779" s="76" t="s">
        <v>899</v>
      </c>
      <c r="F779" s="76" t="s">
        <v>900</v>
      </c>
      <c r="G779" s="76">
        <v>6</v>
      </c>
      <c r="O779" s="92"/>
    </row>
    <row r="780" spans="1:15" x14ac:dyDescent="0.25">
      <c r="A780" s="1">
        <v>775</v>
      </c>
      <c r="B780" s="91">
        <v>12077</v>
      </c>
      <c r="C780" s="76" t="s">
        <v>211</v>
      </c>
      <c r="D780" s="76" t="s">
        <v>211</v>
      </c>
      <c r="E780" s="76" t="s">
        <v>899</v>
      </c>
      <c r="F780" s="76" t="s">
        <v>900</v>
      </c>
      <c r="G780" s="76">
        <v>5</v>
      </c>
      <c r="O780" s="92"/>
    </row>
    <row r="781" spans="1:15" x14ac:dyDescent="0.25">
      <c r="A781" s="1">
        <v>776</v>
      </c>
      <c r="B781" s="91">
        <v>12078</v>
      </c>
      <c r="C781" s="76" t="s">
        <v>211</v>
      </c>
      <c r="D781" s="76" t="s">
        <v>907</v>
      </c>
      <c r="E781" s="76" t="s">
        <v>899</v>
      </c>
      <c r="F781" s="76" t="s">
        <v>900</v>
      </c>
      <c r="G781" s="76">
        <v>6</v>
      </c>
      <c r="O781" s="92"/>
    </row>
    <row r="782" spans="1:15" x14ac:dyDescent="0.25">
      <c r="A782" s="1">
        <v>777</v>
      </c>
      <c r="B782" s="91">
        <v>12082</v>
      </c>
      <c r="C782" s="76" t="s">
        <v>211</v>
      </c>
      <c r="D782" s="76" t="s">
        <v>905</v>
      </c>
      <c r="E782" s="76" t="s">
        <v>899</v>
      </c>
      <c r="F782" s="76" t="s">
        <v>900</v>
      </c>
      <c r="G782" s="76">
        <v>5</v>
      </c>
      <c r="O782" s="92"/>
    </row>
    <row r="783" spans="1:15" x14ac:dyDescent="0.25">
      <c r="A783" s="1">
        <v>778</v>
      </c>
      <c r="B783" s="91">
        <v>12083</v>
      </c>
      <c r="C783" s="76" t="s">
        <v>211</v>
      </c>
      <c r="D783" s="76" t="s">
        <v>903</v>
      </c>
      <c r="E783" s="76" t="s">
        <v>899</v>
      </c>
      <c r="F783" s="76" t="s">
        <v>900</v>
      </c>
      <c r="G783" s="76">
        <v>5</v>
      </c>
      <c r="O783" s="92"/>
    </row>
    <row r="784" spans="1:15" x14ac:dyDescent="0.25">
      <c r="A784" s="1">
        <v>779</v>
      </c>
      <c r="B784" s="91">
        <v>12084</v>
      </c>
      <c r="C784" s="76" t="s">
        <v>211</v>
      </c>
      <c r="D784" s="76" t="s">
        <v>211</v>
      </c>
      <c r="E784" s="76" t="s">
        <v>899</v>
      </c>
      <c r="F784" s="76" t="s">
        <v>900</v>
      </c>
      <c r="G784" s="76">
        <v>5</v>
      </c>
      <c r="O784" s="92"/>
    </row>
    <row r="785" spans="1:15" x14ac:dyDescent="0.25">
      <c r="A785" s="1">
        <v>780</v>
      </c>
      <c r="B785" s="91">
        <v>12085</v>
      </c>
      <c r="C785" s="76" t="s">
        <v>211</v>
      </c>
      <c r="D785" s="76" t="s">
        <v>211</v>
      </c>
      <c r="E785" s="76" t="s">
        <v>899</v>
      </c>
      <c r="F785" s="76" t="s">
        <v>900</v>
      </c>
      <c r="G785" s="76">
        <v>5</v>
      </c>
      <c r="O785" s="92"/>
    </row>
    <row r="786" spans="1:15" x14ac:dyDescent="0.25">
      <c r="A786" s="1">
        <v>781</v>
      </c>
      <c r="B786" s="91">
        <v>12086</v>
      </c>
      <c r="C786" s="76" t="s">
        <v>211</v>
      </c>
      <c r="D786" s="76" t="s">
        <v>902</v>
      </c>
      <c r="E786" s="76" t="s">
        <v>899</v>
      </c>
      <c r="F786" s="76" t="s">
        <v>900</v>
      </c>
      <c r="G786" s="76">
        <v>6</v>
      </c>
      <c r="O786" s="92"/>
    </row>
    <row r="787" spans="1:15" x14ac:dyDescent="0.25">
      <c r="A787" s="1">
        <v>782</v>
      </c>
      <c r="B787" s="91">
        <v>12087</v>
      </c>
      <c r="C787" s="76" t="s">
        <v>211</v>
      </c>
      <c r="D787" s="76" t="s">
        <v>903</v>
      </c>
      <c r="E787" s="76" t="s">
        <v>899</v>
      </c>
      <c r="F787" s="76" t="s">
        <v>900</v>
      </c>
      <c r="G787" s="76">
        <v>5</v>
      </c>
      <c r="O787" s="92"/>
    </row>
    <row r="788" spans="1:15" x14ac:dyDescent="0.25">
      <c r="A788" s="1">
        <v>783</v>
      </c>
      <c r="B788" s="91">
        <v>12089</v>
      </c>
      <c r="C788" s="76" t="s">
        <v>211</v>
      </c>
      <c r="D788" s="76" t="s">
        <v>905</v>
      </c>
      <c r="E788" s="76" t="s">
        <v>899</v>
      </c>
      <c r="F788" s="76" t="s">
        <v>900</v>
      </c>
      <c r="G788" s="76">
        <v>5</v>
      </c>
      <c r="O788" s="92"/>
    </row>
    <row r="789" spans="1:15" x14ac:dyDescent="0.25">
      <c r="A789" s="1">
        <v>784</v>
      </c>
      <c r="B789" s="91">
        <v>12090</v>
      </c>
      <c r="C789" s="76" t="s">
        <v>211</v>
      </c>
      <c r="D789" s="76" t="s">
        <v>905</v>
      </c>
      <c r="E789" s="76" t="s">
        <v>899</v>
      </c>
      <c r="F789" s="76" t="s">
        <v>900</v>
      </c>
      <c r="G789" s="76">
        <v>5</v>
      </c>
      <c r="O789" s="92"/>
    </row>
    <row r="790" spans="1:15" x14ac:dyDescent="0.25">
      <c r="A790" s="1">
        <v>785</v>
      </c>
      <c r="B790" s="91">
        <v>12092</v>
      </c>
      <c r="C790" s="76" t="s">
        <v>211</v>
      </c>
      <c r="D790" s="76" t="s">
        <v>908</v>
      </c>
      <c r="E790" s="76" t="s">
        <v>899</v>
      </c>
      <c r="F790" s="76" t="s">
        <v>900</v>
      </c>
      <c r="G790" s="76">
        <v>6</v>
      </c>
      <c r="O790" s="92"/>
    </row>
    <row r="791" spans="1:15" x14ac:dyDescent="0.25">
      <c r="A791" s="1">
        <v>786</v>
      </c>
      <c r="B791" s="91">
        <v>12093</v>
      </c>
      <c r="C791" s="76" t="s">
        <v>211</v>
      </c>
      <c r="D791" s="76" t="s">
        <v>908</v>
      </c>
      <c r="E791" s="76" t="s">
        <v>899</v>
      </c>
      <c r="F791" s="76" t="s">
        <v>900</v>
      </c>
      <c r="G791" s="76">
        <v>6</v>
      </c>
      <c r="O791" s="92"/>
    </row>
    <row r="792" spans="1:15" x14ac:dyDescent="0.25">
      <c r="A792" s="1">
        <v>787</v>
      </c>
      <c r="B792" s="91">
        <v>12094</v>
      </c>
      <c r="C792" s="76" t="s">
        <v>211</v>
      </c>
      <c r="D792" s="76" t="s">
        <v>905</v>
      </c>
      <c r="E792" s="76" t="s">
        <v>899</v>
      </c>
      <c r="F792" s="76" t="s">
        <v>900</v>
      </c>
      <c r="G792" s="76">
        <v>5</v>
      </c>
      <c r="O792" s="92"/>
    </row>
    <row r="793" spans="1:15" x14ac:dyDescent="0.25">
      <c r="A793" s="1">
        <v>788</v>
      </c>
      <c r="B793" s="91">
        <v>12095</v>
      </c>
      <c r="C793" s="76" t="s">
        <v>211</v>
      </c>
      <c r="D793" s="76" t="s">
        <v>907</v>
      </c>
      <c r="E793" s="76" t="s">
        <v>899</v>
      </c>
      <c r="F793" s="76" t="s">
        <v>900</v>
      </c>
      <c r="G793" s="76">
        <v>6</v>
      </c>
      <c r="O793" s="92"/>
    </row>
    <row r="794" spans="1:15" x14ac:dyDescent="0.25">
      <c r="A794" s="1">
        <v>789</v>
      </c>
      <c r="B794" s="91">
        <v>12106</v>
      </c>
      <c r="C794" s="76" t="s">
        <v>211</v>
      </c>
      <c r="D794" s="76" t="s">
        <v>904</v>
      </c>
      <c r="E794" s="76" t="s">
        <v>899</v>
      </c>
      <c r="F794" s="76" t="s">
        <v>900</v>
      </c>
      <c r="G794" s="76">
        <v>5</v>
      </c>
      <c r="O794" s="92"/>
    </row>
    <row r="795" spans="1:15" x14ac:dyDescent="0.25">
      <c r="A795" s="1">
        <v>790</v>
      </c>
      <c r="B795" s="91">
        <v>12107</v>
      </c>
      <c r="C795" s="76" t="s">
        <v>211</v>
      </c>
      <c r="D795" s="76" t="s">
        <v>211</v>
      </c>
      <c r="E795" s="76" t="s">
        <v>899</v>
      </c>
      <c r="F795" s="76" t="s">
        <v>900</v>
      </c>
      <c r="G795" s="76">
        <v>5</v>
      </c>
      <c r="O795" s="92"/>
    </row>
    <row r="796" spans="1:15" x14ac:dyDescent="0.25">
      <c r="A796" s="1">
        <v>791</v>
      </c>
      <c r="B796" s="91">
        <v>12108</v>
      </c>
      <c r="C796" s="76" t="s">
        <v>214</v>
      </c>
      <c r="D796" s="76" t="s">
        <v>911</v>
      </c>
      <c r="E796" s="76" t="s">
        <v>899</v>
      </c>
      <c r="F796" s="76" t="s">
        <v>900</v>
      </c>
      <c r="G796" s="76">
        <v>6</v>
      </c>
      <c r="O796" s="92"/>
    </row>
    <row r="797" spans="1:15" x14ac:dyDescent="0.25">
      <c r="A797" s="1">
        <v>792</v>
      </c>
      <c r="B797" s="91">
        <v>12110</v>
      </c>
      <c r="C797" s="76" t="s">
        <v>211</v>
      </c>
      <c r="D797" s="76" t="s">
        <v>211</v>
      </c>
      <c r="E797" s="76" t="s">
        <v>899</v>
      </c>
      <c r="F797" s="76" t="s">
        <v>900</v>
      </c>
      <c r="G797" s="76">
        <v>5</v>
      </c>
      <c r="O797" s="92"/>
    </row>
    <row r="798" spans="1:15" x14ac:dyDescent="0.25">
      <c r="A798" s="1">
        <v>793</v>
      </c>
      <c r="B798" s="91">
        <v>12115</v>
      </c>
      <c r="C798" s="76" t="s">
        <v>211</v>
      </c>
      <c r="D798" s="76" t="s">
        <v>904</v>
      </c>
      <c r="E798" s="76" t="s">
        <v>899</v>
      </c>
      <c r="F798" s="76" t="s">
        <v>900</v>
      </c>
      <c r="G798" s="76">
        <v>5</v>
      </c>
      <c r="O798" s="92"/>
    </row>
    <row r="799" spans="1:15" x14ac:dyDescent="0.25">
      <c r="A799" s="1">
        <v>794</v>
      </c>
      <c r="B799" s="91">
        <v>12116</v>
      </c>
      <c r="C799" s="76" t="s">
        <v>212</v>
      </c>
      <c r="D799" s="76" t="s">
        <v>910</v>
      </c>
      <c r="E799" s="76" t="s">
        <v>899</v>
      </c>
      <c r="F799" s="76" t="s">
        <v>900</v>
      </c>
      <c r="G799" s="76">
        <v>6</v>
      </c>
      <c r="O799" s="92"/>
    </row>
    <row r="800" spans="1:15" x14ac:dyDescent="0.25">
      <c r="A800" s="1">
        <v>795</v>
      </c>
      <c r="B800" s="91">
        <v>12117</v>
      </c>
      <c r="C800" s="76" t="s">
        <v>211</v>
      </c>
      <c r="D800" s="76" t="s">
        <v>907</v>
      </c>
      <c r="E800" s="76" t="s">
        <v>899</v>
      </c>
      <c r="F800" s="76" t="s">
        <v>900</v>
      </c>
      <c r="G800" s="76">
        <v>6</v>
      </c>
      <c r="O800" s="92"/>
    </row>
    <row r="801" spans="1:15" x14ac:dyDescent="0.25">
      <c r="A801" s="1">
        <v>796</v>
      </c>
      <c r="B801" s="91">
        <v>12118</v>
      </c>
      <c r="C801" s="76" t="s">
        <v>211</v>
      </c>
      <c r="D801" s="76" t="s">
        <v>906</v>
      </c>
      <c r="E801" s="76" t="s">
        <v>899</v>
      </c>
      <c r="F801" s="76" t="s">
        <v>900</v>
      </c>
      <c r="G801" s="76">
        <v>5</v>
      </c>
      <c r="O801" s="92"/>
    </row>
    <row r="802" spans="1:15" x14ac:dyDescent="0.25">
      <c r="A802" s="1">
        <v>797</v>
      </c>
      <c r="B802" s="91">
        <v>12120</v>
      </c>
      <c r="C802" s="76" t="s">
        <v>211</v>
      </c>
      <c r="D802" s="76" t="s">
        <v>211</v>
      </c>
      <c r="E802" s="76" t="s">
        <v>899</v>
      </c>
      <c r="F802" s="76" t="s">
        <v>900</v>
      </c>
      <c r="G802" s="76">
        <v>5</v>
      </c>
      <c r="O802" s="92"/>
    </row>
    <row r="803" spans="1:15" x14ac:dyDescent="0.25">
      <c r="A803" s="1">
        <v>798</v>
      </c>
      <c r="B803" s="91">
        <v>12121</v>
      </c>
      <c r="C803" s="76" t="s">
        <v>211</v>
      </c>
      <c r="D803" s="76" t="s">
        <v>905</v>
      </c>
      <c r="E803" s="76" t="s">
        <v>899</v>
      </c>
      <c r="F803" s="76" t="s">
        <v>900</v>
      </c>
      <c r="G803" s="76">
        <v>5</v>
      </c>
      <c r="O803" s="92"/>
    </row>
    <row r="804" spans="1:15" x14ac:dyDescent="0.25">
      <c r="A804" s="1">
        <v>799</v>
      </c>
      <c r="B804" s="91">
        <v>12122</v>
      </c>
      <c r="C804" s="76" t="s">
        <v>211</v>
      </c>
      <c r="D804" s="76" t="s">
        <v>908</v>
      </c>
      <c r="E804" s="76" t="s">
        <v>899</v>
      </c>
      <c r="F804" s="76" t="s">
        <v>900</v>
      </c>
      <c r="G804" s="76">
        <v>6</v>
      </c>
      <c r="O804" s="92"/>
    </row>
    <row r="805" spans="1:15" x14ac:dyDescent="0.25">
      <c r="A805" s="1">
        <v>800</v>
      </c>
      <c r="B805" s="91">
        <v>12123</v>
      </c>
      <c r="C805" s="76" t="s">
        <v>211</v>
      </c>
      <c r="D805" s="76" t="s">
        <v>905</v>
      </c>
      <c r="E805" s="76" t="s">
        <v>899</v>
      </c>
      <c r="F805" s="76" t="s">
        <v>900</v>
      </c>
      <c r="G805" s="76">
        <v>5</v>
      </c>
      <c r="O805" s="92"/>
    </row>
    <row r="806" spans="1:15" x14ac:dyDescent="0.25">
      <c r="A806" s="1">
        <v>801</v>
      </c>
      <c r="B806" s="91">
        <v>12124</v>
      </c>
      <c r="C806" s="76" t="s">
        <v>211</v>
      </c>
      <c r="D806" s="76" t="s">
        <v>903</v>
      </c>
      <c r="E806" s="76" t="s">
        <v>899</v>
      </c>
      <c r="F806" s="76" t="s">
        <v>900</v>
      </c>
      <c r="G806" s="76">
        <v>5</v>
      </c>
      <c r="O806" s="92"/>
    </row>
    <row r="807" spans="1:15" x14ac:dyDescent="0.25">
      <c r="A807" s="1">
        <v>802</v>
      </c>
      <c r="B807" s="91">
        <v>12125</v>
      </c>
      <c r="C807" s="76" t="s">
        <v>211</v>
      </c>
      <c r="D807" s="76" t="s">
        <v>904</v>
      </c>
      <c r="E807" s="76" t="s">
        <v>899</v>
      </c>
      <c r="F807" s="76" t="s">
        <v>900</v>
      </c>
      <c r="G807" s="76">
        <v>5</v>
      </c>
      <c r="O807" s="92"/>
    </row>
    <row r="808" spans="1:15" x14ac:dyDescent="0.25">
      <c r="A808" s="1">
        <v>803</v>
      </c>
      <c r="B808" s="91">
        <v>12128</v>
      </c>
      <c r="C808" s="76" t="s">
        <v>211</v>
      </c>
      <c r="D808" s="76" t="s">
        <v>211</v>
      </c>
      <c r="E808" s="76" t="s">
        <v>899</v>
      </c>
      <c r="F808" s="76" t="s">
        <v>900</v>
      </c>
      <c r="G808" s="76">
        <v>5</v>
      </c>
      <c r="O808" s="92"/>
    </row>
    <row r="809" spans="1:15" x14ac:dyDescent="0.25">
      <c r="A809" s="1">
        <v>804</v>
      </c>
      <c r="B809" s="91">
        <v>12130</v>
      </c>
      <c r="C809" s="76" t="s">
        <v>211</v>
      </c>
      <c r="D809" s="76" t="s">
        <v>904</v>
      </c>
      <c r="E809" s="76" t="s">
        <v>899</v>
      </c>
      <c r="F809" s="76" t="s">
        <v>900</v>
      </c>
      <c r="G809" s="76">
        <v>5</v>
      </c>
      <c r="O809" s="92"/>
    </row>
    <row r="810" spans="1:15" x14ac:dyDescent="0.25">
      <c r="A810" s="1">
        <v>805</v>
      </c>
      <c r="B810" s="91">
        <v>12131</v>
      </c>
      <c r="C810" s="76" t="s">
        <v>211</v>
      </c>
      <c r="D810" s="76" t="s">
        <v>908</v>
      </c>
      <c r="E810" s="76" t="s">
        <v>899</v>
      </c>
      <c r="F810" s="76" t="s">
        <v>900</v>
      </c>
      <c r="G810" s="76">
        <v>6</v>
      </c>
      <c r="O810" s="92"/>
    </row>
    <row r="811" spans="1:15" x14ac:dyDescent="0.25">
      <c r="A811" s="1">
        <v>806</v>
      </c>
      <c r="B811" s="91">
        <v>12132</v>
      </c>
      <c r="C811" s="76" t="s">
        <v>211</v>
      </c>
      <c r="D811" s="76" t="s">
        <v>904</v>
      </c>
      <c r="E811" s="76" t="s">
        <v>899</v>
      </c>
      <c r="F811" s="76" t="s">
        <v>900</v>
      </c>
      <c r="G811" s="76">
        <v>5</v>
      </c>
      <c r="O811" s="92"/>
    </row>
    <row r="812" spans="1:15" x14ac:dyDescent="0.25">
      <c r="A812" s="1">
        <v>807</v>
      </c>
      <c r="B812" s="91">
        <v>12133</v>
      </c>
      <c r="C812" s="76" t="s">
        <v>211</v>
      </c>
      <c r="D812" s="76" t="s">
        <v>905</v>
      </c>
      <c r="E812" s="76" t="s">
        <v>899</v>
      </c>
      <c r="F812" s="76" t="s">
        <v>900</v>
      </c>
      <c r="G812" s="76">
        <v>5</v>
      </c>
      <c r="O812" s="92"/>
    </row>
    <row r="813" spans="1:15" x14ac:dyDescent="0.25">
      <c r="A813" s="1">
        <v>808</v>
      </c>
      <c r="B813" s="91">
        <v>12134</v>
      </c>
      <c r="C813" s="76" t="s">
        <v>211</v>
      </c>
      <c r="D813" s="76" t="s">
        <v>907</v>
      </c>
      <c r="E813" s="76" t="s">
        <v>899</v>
      </c>
      <c r="F813" s="76" t="s">
        <v>900</v>
      </c>
      <c r="G813" s="76">
        <v>6</v>
      </c>
      <c r="O813" s="92"/>
    </row>
    <row r="814" spans="1:15" x14ac:dyDescent="0.25">
      <c r="A814" s="1">
        <v>809</v>
      </c>
      <c r="B814" s="91">
        <v>12136</v>
      </c>
      <c r="C814" s="76" t="s">
        <v>211</v>
      </c>
      <c r="D814" s="76" t="s">
        <v>904</v>
      </c>
      <c r="E814" s="76" t="s">
        <v>899</v>
      </c>
      <c r="F814" s="76" t="s">
        <v>900</v>
      </c>
      <c r="G814" s="76">
        <v>5</v>
      </c>
      <c r="O814" s="92"/>
    </row>
    <row r="815" spans="1:15" x14ac:dyDescent="0.25">
      <c r="A815" s="1">
        <v>810</v>
      </c>
      <c r="B815" s="91">
        <v>12137</v>
      </c>
      <c r="C815" s="76" t="s">
        <v>211</v>
      </c>
      <c r="D815" s="76" t="s">
        <v>901</v>
      </c>
      <c r="E815" s="76" t="s">
        <v>899</v>
      </c>
      <c r="F815" s="76" t="s">
        <v>900</v>
      </c>
      <c r="G815" s="76">
        <v>5</v>
      </c>
      <c r="O815" s="92"/>
    </row>
    <row r="816" spans="1:15" x14ac:dyDescent="0.25">
      <c r="A816" s="1">
        <v>811</v>
      </c>
      <c r="B816" s="91">
        <v>12138</v>
      </c>
      <c r="C816" s="76" t="s">
        <v>211</v>
      </c>
      <c r="D816" s="76" t="s">
        <v>905</v>
      </c>
      <c r="E816" s="76" t="s">
        <v>899</v>
      </c>
      <c r="F816" s="76" t="s">
        <v>900</v>
      </c>
      <c r="G816" s="76">
        <v>5</v>
      </c>
      <c r="O816" s="92"/>
    </row>
    <row r="817" spans="1:15" x14ac:dyDescent="0.25">
      <c r="A817" s="1">
        <v>812</v>
      </c>
      <c r="B817" s="91">
        <v>12139</v>
      </c>
      <c r="C817" s="76" t="s">
        <v>214</v>
      </c>
      <c r="D817" s="76" t="s">
        <v>911</v>
      </c>
      <c r="E817" s="76" t="s">
        <v>899</v>
      </c>
      <c r="F817" s="76" t="s">
        <v>900</v>
      </c>
      <c r="G817" s="76">
        <v>6</v>
      </c>
      <c r="O817" s="92"/>
    </row>
    <row r="818" spans="1:15" x14ac:dyDescent="0.25">
      <c r="A818" s="1">
        <v>813</v>
      </c>
      <c r="B818" s="91">
        <v>12140</v>
      </c>
      <c r="C818" s="76" t="s">
        <v>211</v>
      </c>
      <c r="D818" s="76" t="s">
        <v>905</v>
      </c>
      <c r="E818" s="76" t="s">
        <v>899</v>
      </c>
      <c r="F818" s="76" t="s">
        <v>900</v>
      </c>
      <c r="G818" s="76">
        <v>5</v>
      </c>
      <c r="O818" s="92"/>
    </row>
    <row r="819" spans="1:15" x14ac:dyDescent="0.25">
      <c r="A819" s="1">
        <v>814</v>
      </c>
      <c r="B819" s="91">
        <v>12141</v>
      </c>
      <c r="C819" s="76" t="s">
        <v>211</v>
      </c>
      <c r="D819" s="76" t="s">
        <v>901</v>
      </c>
      <c r="E819" s="76" t="s">
        <v>899</v>
      </c>
      <c r="F819" s="76" t="s">
        <v>900</v>
      </c>
      <c r="G819" s="76">
        <v>5</v>
      </c>
      <c r="O819" s="92"/>
    </row>
    <row r="820" spans="1:15" x14ac:dyDescent="0.25">
      <c r="A820" s="1">
        <v>815</v>
      </c>
      <c r="B820" s="91">
        <v>12143</v>
      </c>
      <c r="C820" s="76" t="s">
        <v>211</v>
      </c>
      <c r="D820" s="76" t="s">
        <v>211</v>
      </c>
      <c r="E820" s="76" t="s">
        <v>899</v>
      </c>
      <c r="F820" s="76" t="s">
        <v>900</v>
      </c>
      <c r="G820" s="76">
        <v>5</v>
      </c>
      <c r="O820" s="92"/>
    </row>
    <row r="821" spans="1:15" x14ac:dyDescent="0.25">
      <c r="A821" s="1">
        <v>816</v>
      </c>
      <c r="B821" s="91">
        <v>12144</v>
      </c>
      <c r="C821" s="76" t="s">
        <v>211</v>
      </c>
      <c r="D821" s="76" t="s">
        <v>905</v>
      </c>
      <c r="E821" s="76" t="s">
        <v>899</v>
      </c>
      <c r="F821" s="76" t="s">
        <v>900</v>
      </c>
      <c r="G821" s="76">
        <v>5</v>
      </c>
      <c r="O821" s="92"/>
    </row>
    <row r="822" spans="1:15" x14ac:dyDescent="0.25">
      <c r="A822" s="1">
        <v>817</v>
      </c>
      <c r="B822" s="91">
        <v>12147</v>
      </c>
      <c r="C822" s="76" t="s">
        <v>211</v>
      </c>
      <c r="D822" s="76" t="s">
        <v>211</v>
      </c>
      <c r="E822" s="76" t="s">
        <v>899</v>
      </c>
      <c r="F822" s="76" t="s">
        <v>900</v>
      </c>
      <c r="G822" s="76">
        <v>5</v>
      </c>
      <c r="O822" s="92"/>
    </row>
    <row r="823" spans="1:15" x14ac:dyDescent="0.25">
      <c r="A823" s="1">
        <v>818</v>
      </c>
      <c r="B823" s="91">
        <v>12148</v>
      </c>
      <c r="C823" s="76" t="s">
        <v>211</v>
      </c>
      <c r="D823" s="76" t="s">
        <v>906</v>
      </c>
      <c r="E823" s="76" t="s">
        <v>899</v>
      </c>
      <c r="F823" s="76" t="s">
        <v>900</v>
      </c>
      <c r="G823" s="76">
        <v>5</v>
      </c>
      <c r="O823" s="92"/>
    </row>
    <row r="824" spans="1:15" x14ac:dyDescent="0.25">
      <c r="A824" s="1">
        <v>819</v>
      </c>
      <c r="B824" s="91">
        <v>12149</v>
      </c>
      <c r="C824" s="76" t="s">
        <v>211</v>
      </c>
      <c r="D824" s="76" t="s">
        <v>908</v>
      </c>
      <c r="E824" s="76" t="s">
        <v>899</v>
      </c>
      <c r="F824" s="76" t="s">
        <v>900</v>
      </c>
      <c r="G824" s="76">
        <v>6</v>
      </c>
      <c r="O824" s="92"/>
    </row>
    <row r="825" spans="1:15" x14ac:dyDescent="0.25">
      <c r="A825" s="1">
        <v>820</v>
      </c>
      <c r="B825" s="91">
        <v>12150</v>
      </c>
      <c r="C825" s="76" t="s">
        <v>211</v>
      </c>
      <c r="D825" s="76" t="s">
        <v>901</v>
      </c>
      <c r="E825" s="76" t="s">
        <v>899</v>
      </c>
      <c r="F825" s="76" t="s">
        <v>900</v>
      </c>
      <c r="G825" s="76">
        <v>5</v>
      </c>
      <c r="O825" s="92"/>
    </row>
    <row r="826" spans="1:15" x14ac:dyDescent="0.25">
      <c r="A826" s="1">
        <v>821</v>
      </c>
      <c r="B826" s="91">
        <v>12151</v>
      </c>
      <c r="C826" s="76" t="s">
        <v>211</v>
      </c>
      <c r="D826" s="76" t="s">
        <v>906</v>
      </c>
      <c r="E826" s="76" t="s">
        <v>899</v>
      </c>
      <c r="F826" s="76" t="s">
        <v>900</v>
      </c>
      <c r="G826" s="76">
        <v>5</v>
      </c>
      <c r="O826" s="92"/>
    </row>
    <row r="827" spans="1:15" x14ac:dyDescent="0.25">
      <c r="A827" s="1">
        <v>822</v>
      </c>
      <c r="B827" s="91">
        <v>12153</v>
      </c>
      <c r="C827" s="76" t="s">
        <v>211</v>
      </c>
      <c r="D827" s="76" t="s">
        <v>905</v>
      </c>
      <c r="E827" s="76" t="s">
        <v>899</v>
      </c>
      <c r="F827" s="76" t="s">
        <v>900</v>
      </c>
      <c r="G827" s="76">
        <v>5</v>
      </c>
      <c r="O827" s="92"/>
    </row>
    <row r="828" spans="1:15" x14ac:dyDescent="0.25">
      <c r="A828" s="1">
        <v>823</v>
      </c>
      <c r="B828" s="91">
        <v>12154</v>
      </c>
      <c r="C828" s="76" t="s">
        <v>211</v>
      </c>
      <c r="D828" s="76" t="s">
        <v>905</v>
      </c>
      <c r="E828" s="76" t="s">
        <v>899</v>
      </c>
      <c r="F828" s="76" t="s">
        <v>900</v>
      </c>
      <c r="G828" s="76">
        <v>5</v>
      </c>
      <c r="O828" s="92"/>
    </row>
    <row r="829" spans="1:15" x14ac:dyDescent="0.25">
      <c r="A829" s="1">
        <v>824</v>
      </c>
      <c r="B829" s="91">
        <v>12155</v>
      </c>
      <c r="C829" s="76" t="s">
        <v>212</v>
      </c>
      <c r="D829" s="76" t="s">
        <v>910</v>
      </c>
      <c r="E829" s="76" t="s">
        <v>899</v>
      </c>
      <c r="F829" s="76" t="s">
        <v>900</v>
      </c>
      <c r="G829" s="76">
        <v>6</v>
      </c>
      <c r="O829" s="92"/>
    </row>
    <row r="830" spans="1:15" x14ac:dyDescent="0.25">
      <c r="A830" s="1">
        <v>825</v>
      </c>
      <c r="B830" s="91">
        <v>12156</v>
      </c>
      <c r="C830" s="76" t="s">
        <v>211</v>
      </c>
      <c r="D830" s="76" t="s">
        <v>905</v>
      </c>
      <c r="E830" s="76" t="s">
        <v>899</v>
      </c>
      <c r="F830" s="76" t="s">
        <v>900</v>
      </c>
      <c r="G830" s="76">
        <v>5</v>
      </c>
      <c r="O830" s="92"/>
    </row>
    <row r="831" spans="1:15" x14ac:dyDescent="0.25">
      <c r="A831" s="1">
        <v>826</v>
      </c>
      <c r="B831" s="91">
        <v>12157</v>
      </c>
      <c r="C831" s="76" t="s">
        <v>211</v>
      </c>
      <c r="D831" s="76" t="s">
        <v>908</v>
      </c>
      <c r="E831" s="76" t="s">
        <v>899</v>
      </c>
      <c r="F831" s="76" t="s">
        <v>900</v>
      </c>
      <c r="G831" s="76">
        <v>6</v>
      </c>
      <c r="O831" s="92"/>
    </row>
    <row r="832" spans="1:15" x14ac:dyDescent="0.25">
      <c r="A832" s="1">
        <v>827</v>
      </c>
      <c r="B832" s="91">
        <v>12158</v>
      </c>
      <c r="C832" s="76" t="s">
        <v>211</v>
      </c>
      <c r="D832" s="76" t="s">
        <v>211</v>
      </c>
      <c r="E832" s="76" t="s">
        <v>899</v>
      </c>
      <c r="F832" s="76" t="s">
        <v>900</v>
      </c>
      <c r="G832" s="76">
        <v>5</v>
      </c>
      <c r="O832" s="92"/>
    </row>
    <row r="833" spans="1:15" x14ac:dyDescent="0.25">
      <c r="A833" s="1">
        <v>828</v>
      </c>
      <c r="B833" s="91">
        <v>12159</v>
      </c>
      <c r="C833" s="76" t="s">
        <v>211</v>
      </c>
      <c r="D833" s="76" t="s">
        <v>211</v>
      </c>
      <c r="E833" s="76" t="s">
        <v>899</v>
      </c>
      <c r="F833" s="76" t="s">
        <v>900</v>
      </c>
      <c r="G833" s="76">
        <v>5</v>
      </c>
      <c r="O833" s="92"/>
    </row>
    <row r="834" spans="1:15" x14ac:dyDescent="0.25">
      <c r="A834" s="1">
        <v>829</v>
      </c>
      <c r="B834" s="91">
        <v>12160</v>
      </c>
      <c r="C834" s="76" t="s">
        <v>211</v>
      </c>
      <c r="D834" s="76" t="s">
        <v>908</v>
      </c>
      <c r="E834" s="76" t="s">
        <v>899</v>
      </c>
      <c r="F834" s="76" t="s">
        <v>900</v>
      </c>
      <c r="G834" s="76">
        <v>6</v>
      </c>
      <c r="O834" s="92"/>
    </row>
    <row r="835" spans="1:15" x14ac:dyDescent="0.25">
      <c r="A835" s="1">
        <v>830</v>
      </c>
      <c r="B835" s="91">
        <v>12161</v>
      </c>
      <c r="C835" s="76" t="s">
        <v>211</v>
      </c>
      <c r="D835" s="76" t="s">
        <v>211</v>
      </c>
      <c r="E835" s="76" t="s">
        <v>899</v>
      </c>
      <c r="F835" s="76" t="s">
        <v>900</v>
      </c>
      <c r="G835" s="76">
        <v>5</v>
      </c>
      <c r="O835" s="92"/>
    </row>
    <row r="836" spans="1:15" x14ac:dyDescent="0.25">
      <c r="A836" s="1">
        <v>831</v>
      </c>
      <c r="B836" s="91">
        <v>12164</v>
      </c>
      <c r="C836" s="76" t="s">
        <v>214</v>
      </c>
      <c r="D836" s="76" t="s">
        <v>911</v>
      </c>
      <c r="E836" s="76" t="s">
        <v>899</v>
      </c>
      <c r="F836" s="76" t="s">
        <v>900</v>
      </c>
      <c r="G836" s="76">
        <v>6</v>
      </c>
      <c r="O836" s="92"/>
    </row>
    <row r="837" spans="1:15" x14ac:dyDescent="0.25">
      <c r="A837" s="1">
        <v>832</v>
      </c>
      <c r="B837" s="91">
        <v>12165</v>
      </c>
      <c r="C837" s="76" t="s">
        <v>211</v>
      </c>
      <c r="D837" s="76" t="s">
        <v>904</v>
      </c>
      <c r="E837" s="76" t="s">
        <v>899</v>
      </c>
      <c r="F837" s="76" t="s">
        <v>900</v>
      </c>
      <c r="G837" s="76">
        <v>5</v>
      </c>
      <c r="O837" s="92"/>
    </row>
    <row r="838" spans="1:15" x14ac:dyDescent="0.25">
      <c r="A838" s="1">
        <v>833</v>
      </c>
      <c r="B838" s="91">
        <v>12166</v>
      </c>
      <c r="C838" s="76" t="s">
        <v>211</v>
      </c>
      <c r="D838" s="76" t="s">
        <v>902</v>
      </c>
      <c r="E838" s="76" t="s">
        <v>899</v>
      </c>
      <c r="F838" s="76" t="s">
        <v>900</v>
      </c>
      <c r="G838" s="76">
        <v>6</v>
      </c>
      <c r="O838" s="92"/>
    </row>
    <row r="839" spans="1:15" x14ac:dyDescent="0.25">
      <c r="A839" s="1">
        <v>834</v>
      </c>
      <c r="B839" s="91">
        <v>12167</v>
      </c>
      <c r="C839" s="76" t="s">
        <v>212</v>
      </c>
      <c r="D839" s="76" t="s">
        <v>912</v>
      </c>
      <c r="E839" s="76" t="s">
        <v>899</v>
      </c>
      <c r="F839" s="76" t="s">
        <v>900</v>
      </c>
      <c r="G839" s="76">
        <v>6</v>
      </c>
      <c r="O839" s="92"/>
    </row>
    <row r="840" spans="1:15" x14ac:dyDescent="0.25">
      <c r="A840" s="1">
        <v>835</v>
      </c>
      <c r="B840" s="91">
        <v>12168</v>
      </c>
      <c r="C840" s="76" t="s">
        <v>211</v>
      </c>
      <c r="D840" s="76" t="s">
        <v>905</v>
      </c>
      <c r="E840" s="76" t="s">
        <v>899</v>
      </c>
      <c r="F840" s="76" t="s">
        <v>900</v>
      </c>
      <c r="G840" s="76">
        <v>5</v>
      </c>
      <c r="O840" s="92"/>
    </row>
    <row r="841" spans="1:15" x14ac:dyDescent="0.25">
      <c r="A841" s="1">
        <v>836</v>
      </c>
      <c r="B841" s="91">
        <v>12169</v>
      </c>
      <c r="C841" s="76" t="s">
        <v>211</v>
      </c>
      <c r="D841" s="76" t="s">
        <v>905</v>
      </c>
      <c r="E841" s="76" t="s">
        <v>899</v>
      </c>
      <c r="F841" s="76" t="s">
        <v>900</v>
      </c>
      <c r="G841" s="76">
        <v>5</v>
      </c>
      <c r="O841" s="92"/>
    </row>
    <row r="842" spans="1:15" x14ac:dyDescent="0.25">
      <c r="A842" s="1">
        <v>837</v>
      </c>
      <c r="B842" s="91">
        <v>12170</v>
      </c>
      <c r="C842" s="76" t="s">
        <v>211</v>
      </c>
      <c r="D842" s="76" t="s">
        <v>906</v>
      </c>
      <c r="E842" s="76" t="s">
        <v>899</v>
      </c>
      <c r="F842" s="76" t="s">
        <v>900</v>
      </c>
      <c r="G842" s="76">
        <v>5</v>
      </c>
      <c r="O842" s="92"/>
    </row>
    <row r="843" spans="1:15" x14ac:dyDescent="0.25">
      <c r="A843" s="1">
        <v>838</v>
      </c>
      <c r="B843" s="91">
        <v>12172</v>
      </c>
      <c r="C843" s="76" t="s">
        <v>211</v>
      </c>
      <c r="D843" s="76" t="s">
        <v>904</v>
      </c>
      <c r="E843" s="76" t="s">
        <v>899</v>
      </c>
      <c r="F843" s="76" t="s">
        <v>900</v>
      </c>
      <c r="G843" s="76">
        <v>5</v>
      </c>
      <c r="O843" s="92"/>
    </row>
    <row r="844" spans="1:15" x14ac:dyDescent="0.25">
      <c r="A844" s="1">
        <v>839</v>
      </c>
      <c r="B844" s="91">
        <v>12173</v>
      </c>
      <c r="C844" s="76" t="s">
        <v>211</v>
      </c>
      <c r="D844" s="76" t="s">
        <v>904</v>
      </c>
      <c r="E844" s="76" t="s">
        <v>899</v>
      </c>
      <c r="F844" s="76" t="s">
        <v>900</v>
      </c>
      <c r="G844" s="76">
        <v>5</v>
      </c>
      <c r="O844" s="92"/>
    </row>
    <row r="845" spans="1:15" x14ac:dyDescent="0.25">
      <c r="A845" s="1">
        <v>840</v>
      </c>
      <c r="B845" s="91">
        <v>12174</v>
      </c>
      <c r="C845" s="76" t="s">
        <v>211</v>
      </c>
      <c r="D845" s="76" t="s">
        <v>904</v>
      </c>
      <c r="E845" s="76" t="s">
        <v>899</v>
      </c>
      <c r="F845" s="76" t="s">
        <v>900</v>
      </c>
      <c r="G845" s="76">
        <v>5</v>
      </c>
      <c r="O845" s="92"/>
    </row>
    <row r="846" spans="1:15" x14ac:dyDescent="0.25">
      <c r="A846" s="1">
        <v>841</v>
      </c>
      <c r="B846" s="91">
        <v>12175</v>
      </c>
      <c r="C846" s="76" t="s">
        <v>211</v>
      </c>
      <c r="D846" s="76" t="s">
        <v>908</v>
      </c>
      <c r="E846" s="76" t="s">
        <v>899</v>
      </c>
      <c r="F846" s="76" t="s">
        <v>900</v>
      </c>
      <c r="G846" s="76">
        <v>6</v>
      </c>
      <c r="O846" s="92"/>
    </row>
    <row r="847" spans="1:15" x14ac:dyDescent="0.25">
      <c r="A847" s="1">
        <v>842</v>
      </c>
      <c r="B847" s="91">
        <v>12176</v>
      </c>
      <c r="C847" s="76" t="s">
        <v>211</v>
      </c>
      <c r="D847" s="76" t="s">
        <v>903</v>
      </c>
      <c r="E847" s="76" t="s">
        <v>899</v>
      </c>
      <c r="F847" s="76" t="s">
        <v>900</v>
      </c>
      <c r="G847" s="76">
        <v>5</v>
      </c>
      <c r="O847" s="92"/>
    </row>
    <row r="848" spans="1:15" x14ac:dyDescent="0.25">
      <c r="A848" s="1">
        <v>843</v>
      </c>
      <c r="B848" s="91">
        <v>12177</v>
      </c>
      <c r="C848" s="76" t="s">
        <v>211</v>
      </c>
      <c r="D848" s="76" t="s">
        <v>902</v>
      </c>
      <c r="E848" s="76" t="s">
        <v>899</v>
      </c>
      <c r="F848" s="76" t="s">
        <v>900</v>
      </c>
      <c r="G848" s="76">
        <v>6</v>
      </c>
      <c r="O848" s="92"/>
    </row>
    <row r="849" spans="1:15" x14ac:dyDescent="0.25">
      <c r="A849" s="1">
        <v>844</v>
      </c>
      <c r="B849" s="91">
        <v>12180</v>
      </c>
      <c r="C849" s="76" t="s">
        <v>211</v>
      </c>
      <c r="D849" s="76" t="s">
        <v>905</v>
      </c>
      <c r="E849" s="76" t="s">
        <v>899</v>
      </c>
      <c r="F849" s="76" t="s">
        <v>900</v>
      </c>
      <c r="G849" s="76">
        <v>5</v>
      </c>
      <c r="O849" s="92"/>
    </row>
    <row r="850" spans="1:15" x14ac:dyDescent="0.25">
      <c r="A850" s="1">
        <v>845</v>
      </c>
      <c r="B850" s="91">
        <v>12181</v>
      </c>
      <c r="C850" s="76" t="s">
        <v>211</v>
      </c>
      <c r="D850" s="76" t="s">
        <v>905</v>
      </c>
      <c r="E850" s="76" t="s">
        <v>899</v>
      </c>
      <c r="F850" s="76" t="s">
        <v>900</v>
      </c>
      <c r="G850" s="76">
        <v>5</v>
      </c>
      <c r="O850" s="92"/>
    </row>
    <row r="851" spans="1:15" x14ac:dyDescent="0.25">
      <c r="A851" s="1">
        <v>846</v>
      </c>
      <c r="B851" s="91">
        <v>12182</v>
      </c>
      <c r="C851" s="76" t="s">
        <v>211</v>
      </c>
      <c r="D851" s="76" t="s">
        <v>905</v>
      </c>
      <c r="E851" s="76" t="s">
        <v>899</v>
      </c>
      <c r="F851" s="76" t="s">
        <v>900</v>
      </c>
      <c r="G851" s="76">
        <v>5</v>
      </c>
      <c r="O851" s="92"/>
    </row>
    <row r="852" spans="1:15" x14ac:dyDescent="0.25">
      <c r="A852" s="1">
        <v>847</v>
      </c>
      <c r="B852" s="91">
        <v>12183</v>
      </c>
      <c r="C852" s="76" t="s">
        <v>211</v>
      </c>
      <c r="D852" s="76" t="s">
        <v>211</v>
      </c>
      <c r="E852" s="76" t="s">
        <v>899</v>
      </c>
      <c r="F852" s="76" t="s">
        <v>900</v>
      </c>
      <c r="G852" s="76">
        <v>5</v>
      </c>
      <c r="O852" s="92"/>
    </row>
    <row r="853" spans="1:15" x14ac:dyDescent="0.25">
      <c r="A853" s="1">
        <v>848</v>
      </c>
      <c r="B853" s="91">
        <v>12184</v>
      </c>
      <c r="C853" s="76" t="s">
        <v>211</v>
      </c>
      <c r="D853" s="76" t="s">
        <v>904</v>
      </c>
      <c r="E853" s="76" t="s">
        <v>899</v>
      </c>
      <c r="F853" s="76" t="s">
        <v>900</v>
      </c>
      <c r="G853" s="76">
        <v>5</v>
      </c>
      <c r="O853" s="92"/>
    </row>
    <row r="854" spans="1:15" x14ac:dyDescent="0.25">
      <c r="A854" s="1">
        <v>849</v>
      </c>
      <c r="B854" s="91">
        <v>12185</v>
      </c>
      <c r="C854" s="76" t="s">
        <v>211</v>
      </c>
      <c r="D854" s="76" t="s">
        <v>905</v>
      </c>
      <c r="E854" s="76" t="s">
        <v>899</v>
      </c>
      <c r="F854" s="76" t="s">
        <v>900</v>
      </c>
      <c r="G854" s="76">
        <v>5</v>
      </c>
      <c r="O854" s="92"/>
    </row>
    <row r="855" spans="1:15" x14ac:dyDescent="0.25">
      <c r="A855" s="1">
        <v>850</v>
      </c>
      <c r="B855" s="91">
        <v>12186</v>
      </c>
      <c r="C855" s="76" t="s">
        <v>211</v>
      </c>
      <c r="D855" s="76" t="s">
        <v>211</v>
      </c>
      <c r="E855" s="76" t="s">
        <v>899</v>
      </c>
      <c r="F855" s="76" t="s">
        <v>900</v>
      </c>
      <c r="G855" s="76">
        <v>5</v>
      </c>
      <c r="O855" s="92"/>
    </row>
    <row r="856" spans="1:15" x14ac:dyDescent="0.25">
      <c r="A856" s="1">
        <v>851</v>
      </c>
      <c r="B856" s="91">
        <v>12187</v>
      </c>
      <c r="C856" s="76" t="s">
        <v>211</v>
      </c>
      <c r="D856" s="76" t="s">
        <v>908</v>
      </c>
      <c r="E856" s="76" t="s">
        <v>899</v>
      </c>
      <c r="F856" s="76" t="s">
        <v>900</v>
      </c>
      <c r="G856" s="76">
        <v>6</v>
      </c>
      <c r="O856" s="92"/>
    </row>
    <row r="857" spans="1:15" x14ac:dyDescent="0.25">
      <c r="A857" s="1">
        <v>852</v>
      </c>
      <c r="B857" s="91">
        <v>12188</v>
      </c>
      <c r="C857" s="76" t="s">
        <v>211</v>
      </c>
      <c r="D857" s="76" t="s">
        <v>906</v>
      </c>
      <c r="E857" s="76" t="s">
        <v>899</v>
      </c>
      <c r="F857" s="76" t="s">
        <v>900</v>
      </c>
      <c r="G857" s="76">
        <v>5</v>
      </c>
      <c r="O857" s="92"/>
    </row>
    <row r="858" spans="1:15" x14ac:dyDescent="0.25">
      <c r="A858" s="1">
        <v>853</v>
      </c>
      <c r="B858" s="91">
        <v>12189</v>
      </c>
      <c r="C858" s="76" t="s">
        <v>211</v>
      </c>
      <c r="D858" s="76" t="s">
        <v>211</v>
      </c>
      <c r="E858" s="76" t="s">
        <v>899</v>
      </c>
      <c r="F858" s="76" t="s">
        <v>900</v>
      </c>
      <c r="G858" s="76">
        <v>5</v>
      </c>
      <c r="O858" s="92"/>
    </row>
    <row r="859" spans="1:15" x14ac:dyDescent="0.25">
      <c r="A859" s="1">
        <v>854</v>
      </c>
      <c r="B859" s="91">
        <v>12190</v>
      </c>
      <c r="C859" s="76" t="s">
        <v>214</v>
      </c>
      <c r="D859" s="76" t="s">
        <v>911</v>
      </c>
      <c r="E859" s="76" t="s">
        <v>899</v>
      </c>
      <c r="F859" s="76" t="s">
        <v>900</v>
      </c>
      <c r="G859" s="76">
        <v>6</v>
      </c>
      <c r="O859" s="92"/>
    </row>
    <row r="860" spans="1:15" x14ac:dyDescent="0.25">
      <c r="A860" s="1">
        <v>855</v>
      </c>
      <c r="B860" s="91">
        <v>12192</v>
      </c>
      <c r="C860" s="76" t="s">
        <v>211</v>
      </c>
      <c r="D860" s="76" t="s">
        <v>903</v>
      </c>
      <c r="E860" s="76" t="s">
        <v>899</v>
      </c>
      <c r="F860" s="76" t="s">
        <v>900</v>
      </c>
      <c r="G860" s="76">
        <v>5</v>
      </c>
      <c r="O860" s="92"/>
    </row>
    <row r="861" spans="1:15" x14ac:dyDescent="0.25">
      <c r="A861" s="1">
        <v>856</v>
      </c>
      <c r="B861" s="91">
        <v>12193</v>
      </c>
      <c r="C861" s="76" t="s">
        <v>211</v>
      </c>
      <c r="D861" s="76" t="s">
        <v>211</v>
      </c>
      <c r="E861" s="76" t="s">
        <v>899</v>
      </c>
      <c r="F861" s="76" t="s">
        <v>900</v>
      </c>
      <c r="G861" s="76">
        <v>5</v>
      </c>
      <c r="O861" s="92"/>
    </row>
    <row r="862" spans="1:15" x14ac:dyDescent="0.25">
      <c r="A862" s="1">
        <v>857</v>
      </c>
      <c r="B862" s="91">
        <v>12194</v>
      </c>
      <c r="C862" s="76" t="s">
        <v>211</v>
      </c>
      <c r="D862" s="76" t="s">
        <v>908</v>
      </c>
      <c r="E862" s="76" t="s">
        <v>899</v>
      </c>
      <c r="F862" s="76" t="s">
        <v>900</v>
      </c>
      <c r="G862" s="76">
        <v>6</v>
      </c>
      <c r="O862" s="92"/>
    </row>
    <row r="863" spans="1:15" x14ac:dyDescent="0.25">
      <c r="A863" s="1">
        <v>858</v>
      </c>
      <c r="B863" s="91">
        <v>12195</v>
      </c>
      <c r="C863" s="76" t="s">
        <v>211</v>
      </c>
      <c r="D863" s="76" t="s">
        <v>904</v>
      </c>
      <c r="E863" s="76" t="s">
        <v>899</v>
      </c>
      <c r="F863" s="76" t="s">
        <v>900</v>
      </c>
      <c r="G863" s="76">
        <v>5</v>
      </c>
      <c r="O863" s="92"/>
    </row>
    <row r="864" spans="1:15" x14ac:dyDescent="0.25">
      <c r="A864" s="1">
        <v>859</v>
      </c>
      <c r="B864" s="91">
        <v>12196</v>
      </c>
      <c r="C864" s="76" t="s">
        <v>211</v>
      </c>
      <c r="D864" s="76" t="s">
        <v>905</v>
      </c>
      <c r="E864" s="76" t="s">
        <v>899</v>
      </c>
      <c r="F864" s="76" t="s">
        <v>900</v>
      </c>
      <c r="G864" s="76">
        <v>5</v>
      </c>
      <c r="O864" s="92"/>
    </row>
    <row r="865" spans="1:15" x14ac:dyDescent="0.25">
      <c r="A865" s="1">
        <v>860</v>
      </c>
      <c r="B865" s="91">
        <v>12197</v>
      </c>
      <c r="C865" s="76" t="s">
        <v>212</v>
      </c>
      <c r="D865" s="76" t="s">
        <v>910</v>
      </c>
      <c r="E865" s="76" t="s">
        <v>899</v>
      </c>
      <c r="F865" s="76" t="s">
        <v>900</v>
      </c>
      <c r="G865" s="76">
        <v>6</v>
      </c>
      <c r="O865" s="92"/>
    </row>
    <row r="866" spans="1:15" x14ac:dyDescent="0.25">
      <c r="A866" s="1">
        <v>861</v>
      </c>
      <c r="B866" s="91">
        <v>12198</v>
      </c>
      <c r="C866" s="76" t="s">
        <v>211</v>
      </c>
      <c r="D866" s="76" t="s">
        <v>905</v>
      </c>
      <c r="E866" s="76" t="s">
        <v>899</v>
      </c>
      <c r="F866" s="76" t="s">
        <v>900</v>
      </c>
      <c r="G866" s="76">
        <v>5</v>
      </c>
      <c r="O866" s="92"/>
    </row>
    <row r="867" spans="1:15" x14ac:dyDescent="0.25">
      <c r="A867" s="1">
        <v>862</v>
      </c>
      <c r="B867" s="91">
        <v>12201</v>
      </c>
      <c r="C867" s="76" t="s">
        <v>211</v>
      </c>
      <c r="D867" s="76" t="s">
        <v>211</v>
      </c>
      <c r="E867" s="76" t="s">
        <v>899</v>
      </c>
      <c r="F867" s="76" t="s">
        <v>900</v>
      </c>
      <c r="G867" s="76">
        <v>5</v>
      </c>
      <c r="O867" s="92"/>
    </row>
    <row r="868" spans="1:15" x14ac:dyDescent="0.25">
      <c r="A868" s="1">
        <v>863</v>
      </c>
      <c r="B868" s="91">
        <v>12202</v>
      </c>
      <c r="C868" s="76" t="s">
        <v>211</v>
      </c>
      <c r="D868" s="76" t="s">
        <v>211</v>
      </c>
      <c r="E868" s="76" t="s">
        <v>899</v>
      </c>
      <c r="F868" s="76" t="s">
        <v>900</v>
      </c>
      <c r="G868" s="76">
        <v>5</v>
      </c>
      <c r="O868" s="92"/>
    </row>
    <row r="869" spans="1:15" x14ac:dyDescent="0.25">
      <c r="A869" s="1">
        <v>864</v>
      </c>
      <c r="B869" s="91">
        <v>12203</v>
      </c>
      <c r="C869" s="76" t="s">
        <v>211</v>
      </c>
      <c r="D869" s="76" t="s">
        <v>211</v>
      </c>
      <c r="E869" s="76" t="s">
        <v>899</v>
      </c>
      <c r="F869" s="76" t="s">
        <v>900</v>
      </c>
      <c r="G869" s="76">
        <v>5</v>
      </c>
      <c r="O869" s="92"/>
    </row>
    <row r="870" spans="1:15" x14ac:dyDescent="0.25">
      <c r="A870" s="1">
        <v>865</v>
      </c>
      <c r="B870" s="91">
        <v>12204</v>
      </c>
      <c r="C870" s="76" t="s">
        <v>211</v>
      </c>
      <c r="D870" s="76" t="s">
        <v>211</v>
      </c>
      <c r="E870" s="76" t="s">
        <v>899</v>
      </c>
      <c r="F870" s="76" t="s">
        <v>900</v>
      </c>
      <c r="G870" s="76">
        <v>5</v>
      </c>
      <c r="O870" s="92"/>
    </row>
    <row r="871" spans="1:15" x14ac:dyDescent="0.25">
      <c r="A871" s="1">
        <v>866</v>
      </c>
      <c r="B871" s="91">
        <v>12205</v>
      </c>
      <c r="C871" s="76" t="s">
        <v>211</v>
      </c>
      <c r="D871" s="76" t="s">
        <v>211</v>
      </c>
      <c r="E871" s="76" t="s">
        <v>899</v>
      </c>
      <c r="F871" s="76" t="s">
        <v>900</v>
      </c>
      <c r="G871" s="76">
        <v>5</v>
      </c>
      <c r="O871" s="92"/>
    </row>
    <row r="872" spans="1:15" x14ac:dyDescent="0.25">
      <c r="A872" s="1">
        <v>867</v>
      </c>
      <c r="B872" s="91">
        <v>12206</v>
      </c>
      <c r="C872" s="76" t="s">
        <v>211</v>
      </c>
      <c r="D872" s="76" t="s">
        <v>211</v>
      </c>
      <c r="E872" s="76" t="s">
        <v>899</v>
      </c>
      <c r="F872" s="76" t="s">
        <v>900</v>
      </c>
      <c r="G872" s="76">
        <v>5</v>
      </c>
      <c r="O872" s="92"/>
    </row>
    <row r="873" spans="1:15" x14ac:dyDescent="0.25">
      <c r="A873" s="1">
        <v>868</v>
      </c>
      <c r="B873" s="91">
        <v>12207</v>
      </c>
      <c r="C873" s="76" t="s">
        <v>211</v>
      </c>
      <c r="D873" s="76" t="s">
        <v>211</v>
      </c>
      <c r="E873" s="76" t="s">
        <v>899</v>
      </c>
      <c r="F873" s="76" t="s">
        <v>900</v>
      </c>
      <c r="G873" s="76">
        <v>5</v>
      </c>
      <c r="O873" s="92"/>
    </row>
    <row r="874" spans="1:15" x14ac:dyDescent="0.25">
      <c r="A874" s="1">
        <v>869</v>
      </c>
      <c r="B874" s="91">
        <v>12208</v>
      </c>
      <c r="C874" s="76" t="s">
        <v>211</v>
      </c>
      <c r="D874" s="76" t="s">
        <v>211</v>
      </c>
      <c r="E874" s="76" t="s">
        <v>899</v>
      </c>
      <c r="F874" s="76" t="s">
        <v>900</v>
      </c>
      <c r="G874" s="76">
        <v>5</v>
      </c>
      <c r="O874" s="92"/>
    </row>
    <row r="875" spans="1:15" x14ac:dyDescent="0.25">
      <c r="A875" s="1">
        <v>870</v>
      </c>
      <c r="B875" s="91">
        <v>12209</v>
      </c>
      <c r="C875" s="76" t="s">
        <v>211</v>
      </c>
      <c r="D875" s="76" t="s">
        <v>211</v>
      </c>
      <c r="E875" s="76" t="s">
        <v>899</v>
      </c>
      <c r="F875" s="76" t="s">
        <v>900</v>
      </c>
      <c r="G875" s="76">
        <v>5</v>
      </c>
      <c r="O875" s="92"/>
    </row>
    <row r="876" spans="1:15" x14ac:dyDescent="0.25">
      <c r="A876" s="1">
        <v>871</v>
      </c>
      <c r="B876" s="91">
        <v>12210</v>
      </c>
      <c r="C876" s="76" t="s">
        <v>211</v>
      </c>
      <c r="D876" s="76" t="s">
        <v>211</v>
      </c>
      <c r="E876" s="76" t="s">
        <v>899</v>
      </c>
      <c r="F876" s="76" t="s">
        <v>900</v>
      </c>
      <c r="G876" s="76">
        <v>5</v>
      </c>
      <c r="O876" s="92"/>
    </row>
    <row r="877" spans="1:15" x14ac:dyDescent="0.25">
      <c r="A877" s="1">
        <v>872</v>
      </c>
      <c r="B877" s="91">
        <v>12211</v>
      </c>
      <c r="C877" s="76" t="s">
        <v>211</v>
      </c>
      <c r="D877" s="76" t="s">
        <v>211</v>
      </c>
      <c r="E877" s="76" t="s">
        <v>899</v>
      </c>
      <c r="F877" s="76" t="s">
        <v>900</v>
      </c>
      <c r="G877" s="76">
        <v>5</v>
      </c>
      <c r="O877" s="92"/>
    </row>
    <row r="878" spans="1:15" x14ac:dyDescent="0.25">
      <c r="A878" s="1">
        <v>873</v>
      </c>
      <c r="B878" s="91">
        <v>12212</v>
      </c>
      <c r="C878" s="76" t="s">
        <v>211</v>
      </c>
      <c r="D878" s="76" t="s">
        <v>211</v>
      </c>
      <c r="E878" s="76" t="s">
        <v>899</v>
      </c>
      <c r="F878" s="76" t="s">
        <v>900</v>
      </c>
      <c r="G878" s="76">
        <v>5</v>
      </c>
      <c r="O878" s="92"/>
    </row>
    <row r="879" spans="1:15" x14ac:dyDescent="0.25">
      <c r="A879" s="1">
        <v>874</v>
      </c>
      <c r="B879" s="91">
        <v>12214</v>
      </c>
      <c r="C879" s="76" t="s">
        <v>211</v>
      </c>
      <c r="D879" s="76" t="s">
        <v>211</v>
      </c>
      <c r="E879" s="76" t="s">
        <v>899</v>
      </c>
      <c r="F879" s="76" t="s">
        <v>900</v>
      </c>
      <c r="G879" s="76">
        <v>5</v>
      </c>
      <c r="O879" s="92"/>
    </row>
    <row r="880" spans="1:15" x14ac:dyDescent="0.25">
      <c r="A880" s="1">
        <v>875</v>
      </c>
      <c r="B880" s="91">
        <v>12220</v>
      </c>
      <c r="C880" s="76" t="s">
        <v>211</v>
      </c>
      <c r="D880" s="76" t="s">
        <v>211</v>
      </c>
      <c r="E880" s="76" t="s">
        <v>899</v>
      </c>
      <c r="F880" s="76" t="s">
        <v>900</v>
      </c>
      <c r="G880" s="76">
        <v>5</v>
      </c>
      <c r="O880" s="92"/>
    </row>
    <row r="881" spans="1:15" x14ac:dyDescent="0.25">
      <c r="A881" s="1">
        <v>876</v>
      </c>
      <c r="B881" s="91">
        <v>12222</v>
      </c>
      <c r="C881" s="76" t="s">
        <v>211</v>
      </c>
      <c r="D881" s="76" t="s">
        <v>211</v>
      </c>
      <c r="E881" s="76" t="s">
        <v>899</v>
      </c>
      <c r="F881" s="76" t="s">
        <v>900</v>
      </c>
      <c r="G881" s="76">
        <v>5</v>
      </c>
      <c r="O881" s="92"/>
    </row>
    <row r="882" spans="1:15" x14ac:dyDescent="0.25">
      <c r="A882" s="1">
        <v>877</v>
      </c>
      <c r="B882" s="91">
        <v>12223</v>
      </c>
      <c r="C882" s="76" t="s">
        <v>211</v>
      </c>
      <c r="D882" s="76" t="s">
        <v>211</v>
      </c>
      <c r="E882" s="76" t="s">
        <v>899</v>
      </c>
      <c r="F882" s="76" t="s">
        <v>900</v>
      </c>
      <c r="G882" s="76">
        <v>5</v>
      </c>
      <c r="O882" s="92"/>
    </row>
    <row r="883" spans="1:15" x14ac:dyDescent="0.25">
      <c r="A883" s="1">
        <v>878</v>
      </c>
      <c r="B883" s="91">
        <v>12224</v>
      </c>
      <c r="C883" s="76" t="s">
        <v>211</v>
      </c>
      <c r="D883" s="76" t="s">
        <v>211</v>
      </c>
      <c r="E883" s="76" t="s">
        <v>899</v>
      </c>
      <c r="F883" s="76" t="s">
        <v>900</v>
      </c>
      <c r="G883" s="76">
        <v>5</v>
      </c>
      <c r="O883" s="92"/>
    </row>
    <row r="884" spans="1:15" x14ac:dyDescent="0.25">
      <c r="A884" s="1">
        <v>879</v>
      </c>
      <c r="B884" s="91">
        <v>12225</v>
      </c>
      <c r="C884" s="76" t="s">
        <v>211</v>
      </c>
      <c r="D884" s="76" t="s">
        <v>211</v>
      </c>
      <c r="E884" s="76" t="s">
        <v>899</v>
      </c>
      <c r="F884" s="76" t="s">
        <v>900</v>
      </c>
      <c r="G884" s="76">
        <v>5</v>
      </c>
      <c r="O884" s="92"/>
    </row>
    <row r="885" spans="1:15" x14ac:dyDescent="0.25">
      <c r="A885" s="1">
        <v>880</v>
      </c>
      <c r="B885" s="91">
        <v>12226</v>
      </c>
      <c r="C885" s="76" t="s">
        <v>211</v>
      </c>
      <c r="D885" s="76" t="s">
        <v>211</v>
      </c>
      <c r="E885" s="76" t="s">
        <v>899</v>
      </c>
      <c r="F885" s="76" t="s">
        <v>900</v>
      </c>
      <c r="G885" s="76">
        <v>5</v>
      </c>
      <c r="O885" s="92"/>
    </row>
    <row r="886" spans="1:15" x14ac:dyDescent="0.25">
      <c r="A886" s="1">
        <v>881</v>
      </c>
      <c r="B886" s="91">
        <v>12227</v>
      </c>
      <c r="C886" s="76" t="s">
        <v>211</v>
      </c>
      <c r="D886" s="76" t="s">
        <v>211</v>
      </c>
      <c r="E886" s="76" t="s">
        <v>899</v>
      </c>
      <c r="F886" s="76" t="s">
        <v>900</v>
      </c>
      <c r="G886" s="76">
        <v>5</v>
      </c>
      <c r="O886" s="92"/>
    </row>
    <row r="887" spans="1:15" x14ac:dyDescent="0.25">
      <c r="A887" s="1">
        <v>882</v>
      </c>
      <c r="B887" s="91">
        <v>12228</v>
      </c>
      <c r="C887" s="76" t="s">
        <v>211</v>
      </c>
      <c r="D887" s="76" t="s">
        <v>211</v>
      </c>
      <c r="E887" s="76" t="s">
        <v>899</v>
      </c>
      <c r="F887" s="76" t="s">
        <v>900</v>
      </c>
      <c r="G887" s="76">
        <v>5</v>
      </c>
      <c r="O887" s="92"/>
    </row>
    <row r="888" spans="1:15" x14ac:dyDescent="0.25">
      <c r="A888" s="1">
        <v>883</v>
      </c>
      <c r="B888" s="91">
        <v>12229</v>
      </c>
      <c r="C888" s="76" t="s">
        <v>211</v>
      </c>
      <c r="D888" s="76" t="s">
        <v>211</v>
      </c>
      <c r="E888" s="76" t="s">
        <v>899</v>
      </c>
      <c r="F888" s="76" t="s">
        <v>900</v>
      </c>
      <c r="G888" s="76">
        <v>5</v>
      </c>
      <c r="O888" s="92"/>
    </row>
    <row r="889" spans="1:15" x14ac:dyDescent="0.25">
      <c r="A889" s="1">
        <v>884</v>
      </c>
      <c r="B889" s="91">
        <v>12230</v>
      </c>
      <c r="C889" s="76" t="s">
        <v>211</v>
      </c>
      <c r="D889" s="76" t="s">
        <v>211</v>
      </c>
      <c r="E889" s="76" t="s">
        <v>899</v>
      </c>
      <c r="F889" s="76" t="s">
        <v>900</v>
      </c>
      <c r="G889" s="76">
        <v>5</v>
      </c>
      <c r="O889" s="92"/>
    </row>
    <row r="890" spans="1:15" x14ac:dyDescent="0.25">
      <c r="A890" s="1">
        <v>885</v>
      </c>
      <c r="B890" s="91">
        <v>12231</v>
      </c>
      <c r="C890" s="76" t="s">
        <v>211</v>
      </c>
      <c r="D890" s="76" t="s">
        <v>211</v>
      </c>
      <c r="E890" s="76" t="s">
        <v>899</v>
      </c>
      <c r="F890" s="76" t="s">
        <v>900</v>
      </c>
      <c r="G890" s="76">
        <v>5</v>
      </c>
      <c r="O890" s="92"/>
    </row>
    <row r="891" spans="1:15" x14ac:dyDescent="0.25">
      <c r="A891" s="1">
        <v>886</v>
      </c>
      <c r="B891" s="91">
        <v>12232</v>
      </c>
      <c r="C891" s="76" t="s">
        <v>211</v>
      </c>
      <c r="D891" s="76" t="s">
        <v>211</v>
      </c>
      <c r="E891" s="76" t="s">
        <v>899</v>
      </c>
      <c r="F891" s="76" t="s">
        <v>900</v>
      </c>
      <c r="G891" s="76">
        <v>5</v>
      </c>
      <c r="O891" s="92"/>
    </row>
    <row r="892" spans="1:15" x14ac:dyDescent="0.25">
      <c r="A892" s="1">
        <v>887</v>
      </c>
      <c r="B892" s="91">
        <v>12233</v>
      </c>
      <c r="C892" s="76" t="s">
        <v>211</v>
      </c>
      <c r="D892" s="76" t="s">
        <v>211</v>
      </c>
      <c r="E892" s="76" t="s">
        <v>899</v>
      </c>
      <c r="F892" s="76" t="s">
        <v>900</v>
      </c>
      <c r="G892" s="76">
        <v>5</v>
      </c>
      <c r="O892" s="92"/>
    </row>
    <row r="893" spans="1:15" x14ac:dyDescent="0.25">
      <c r="A893" s="1">
        <v>888</v>
      </c>
      <c r="B893" s="91">
        <v>12234</v>
      </c>
      <c r="C893" s="76" t="s">
        <v>211</v>
      </c>
      <c r="D893" s="76" t="s">
        <v>211</v>
      </c>
      <c r="E893" s="76" t="s">
        <v>899</v>
      </c>
      <c r="F893" s="76" t="s">
        <v>900</v>
      </c>
      <c r="G893" s="76">
        <v>5</v>
      </c>
      <c r="O893" s="92"/>
    </row>
    <row r="894" spans="1:15" x14ac:dyDescent="0.25">
      <c r="A894" s="1">
        <v>889</v>
      </c>
      <c r="B894" s="91">
        <v>12235</v>
      </c>
      <c r="C894" s="76" t="s">
        <v>211</v>
      </c>
      <c r="D894" s="76" t="s">
        <v>211</v>
      </c>
      <c r="E894" s="76" t="s">
        <v>899</v>
      </c>
      <c r="F894" s="76" t="s">
        <v>900</v>
      </c>
      <c r="G894" s="76">
        <v>5</v>
      </c>
      <c r="O894" s="92"/>
    </row>
    <row r="895" spans="1:15" x14ac:dyDescent="0.25">
      <c r="A895" s="1">
        <v>890</v>
      </c>
      <c r="B895" s="91">
        <v>12236</v>
      </c>
      <c r="C895" s="76" t="s">
        <v>211</v>
      </c>
      <c r="D895" s="76" t="s">
        <v>211</v>
      </c>
      <c r="E895" s="76" t="s">
        <v>899</v>
      </c>
      <c r="F895" s="76" t="s">
        <v>900</v>
      </c>
      <c r="G895" s="76">
        <v>5</v>
      </c>
      <c r="O895" s="92"/>
    </row>
    <row r="896" spans="1:15" x14ac:dyDescent="0.25">
      <c r="A896" s="1">
        <v>891</v>
      </c>
      <c r="B896" s="91">
        <v>12237</v>
      </c>
      <c r="C896" s="76" t="s">
        <v>211</v>
      </c>
      <c r="D896" s="76" t="s">
        <v>211</v>
      </c>
      <c r="E896" s="76" t="s">
        <v>899</v>
      </c>
      <c r="F896" s="76" t="s">
        <v>900</v>
      </c>
      <c r="G896" s="76">
        <v>5</v>
      </c>
      <c r="O896" s="92"/>
    </row>
    <row r="897" spans="1:15" x14ac:dyDescent="0.25">
      <c r="A897" s="1">
        <v>892</v>
      </c>
      <c r="B897" s="91">
        <v>12238</v>
      </c>
      <c r="C897" s="76" t="s">
        <v>211</v>
      </c>
      <c r="D897" s="76" t="s">
        <v>211</v>
      </c>
      <c r="E897" s="76" t="s">
        <v>899</v>
      </c>
      <c r="F897" s="76" t="s">
        <v>900</v>
      </c>
      <c r="G897" s="76">
        <v>5</v>
      </c>
      <c r="O897" s="92"/>
    </row>
    <row r="898" spans="1:15" x14ac:dyDescent="0.25">
      <c r="A898" s="1">
        <v>893</v>
      </c>
      <c r="B898" s="91">
        <v>12239</v>
      </c>
      <c r="C898" s="76" t="s">
        <v>211</v>
      </c>
      <c r="D898" s="76" t="s">
        <v>211</v>
      </c>
      <c r="E898" s="76" t="s">
        <v>899</v>
      </c>
      <c r="F898" s="76" t="s">
        <v>900</v>
      </c>
      <c r="G898" s="76">
        <v>5</v>
      </c>
      <c r="O898" s="92"/>
    </row>
    <row r="899" spans="1:15" x14ac:dyDescent="0.25">
      <c r="A899" s="1">
        <v>894</v>
      </c>
      <c r="B899" s="91">
        <v>12240</v>
      </c>
      <c r="C899" s="76" t="s">
        <v>211</v>
      </c>
      <c r="D899" s="76" t="s">
        <v>211</v>
      </c>
      <c r="E899" s="76" t="s">
        <v>899</v>
      </c>
      <c r="F899" s="76" t="s">
        <v>900</v>
      </c>
      <c r="G899" s="76">
        <v>5</v>
      </c>
      <c r="O899" s="92"/>
    </row>
    <row r="900" spans="1:15" x14ac:dyDescent="0.25">
      <c r="A900" s="1">
        <v>895</v>
      </c>
      <c r="B900" s="91">
        <v>12241</v>
      </c>
      <c r="C900" s="76" t="s">
        <v>211</v>
      </c>
      <c r="D900" s="76" t="s">
        <v>211</v>
      </c>
      <c r="E900" s="76" t="s">
        <v>899</v>
      </c>
      <c r="F900" s="76" t="s">
        <v>900</v>
      </c>
      <c r="G900" s="76">
        <v>5</v>
      </c>
      <c r="O900" s="92"/>
    </row>
    <row r="901" spans="1:15" x14ac:dyDescent="0.25">
      <c r="A901" s="1">
        <v>896</v>
      </c>
      <c r="B901" s="91">
        <v>12242</v>
      </c>
      <c r="C901" s="76" t="s">
        <v>211</v>
      </c>
      <c r="D901" s="76" t="s">
        <v>211</v>
      </c>
      <c r="E901" s="76" t="s">
        <v>899</v>
      </c>
      <c r="F901" s="76" t="s">
        <v>900</v>
      </c>
      <c r="G901" s="76">
        <v>5</v>
      </c>
      <c r="O901" s="92"/>
    </row>
    <row r="902" spans="1:15" x14ac:dyDescent="0.25">
      <c r="A902" s="1">
        <v>897</v>
      </c>
      <c r="B902" s="91">
        <v>12243</v>
      </c>
      <c r="C902" s="76" t="s">
        <v>211</v>
      </c>
      <c r="D902" s="76" t="s">
        <v>211</v>
      </c>
      <c r="E902" s="76" t="s">
        <v>899</v>
      </c>
      <c r="F902" s="76" t="s">
        <v>900</v>
      </c>
      <c r="G902" s="76">
        <v>5</v>
      </c>
      <c r="O902" s="92"/>
    </row>
    <row r="903" spans="1:15" x14ac:dyDescent="0.25">
      <c r="A903" s="1">
        <v>898</v>
      </c>
      <c r="B903" s="91">
        <v>12244</v>
      </c>
      <c r="C903" s="76" t="s">
        <v>211</v>
      </c>
      <c r="D903" s="76" t="s">
        <v>211</v>
      </c>
      <c r="E903" s="76" t="s">
        <v>899</v>
      </c>
      <c r="F903" s="76" t="s">
        <v>900</v>
      </c>
      <c r="G903" s="76">
        <v>5</v>
      </c>
      <c r="O903" s="92"/>
    </row>
    <row r="904" spans="1:15" x14ac:dyDescent="0.25">
      <c r="A904" s="1">
        <v>899</v>
      </c>
      <c r="B904" s="91">
        <v>12245</v>
      </c>
      <c r="C904" s="76" t="s">
        <v>211</v>
      </c>
      <c r="D904" s="76" t="s">
        <v>211</v>
      </c>
      <c r="E904" s="76" t="s">
        <v>899</v>
      </c>
      <c r="F904" s="76" t="s">
        <v>900</v>
      </c>
      <c r="G904" s="76">
        <v>5</v>
      </c>
      <c r="O904" s="92"/>
    </row>
    <row r="905" spans="1:15" x14ac:dyDescent="0.25">
      <c r="A905" s="1">
        <v>900</v>
      </c>
      <c r="B905" s="91">
        <v>12246</v>
      </c>
      <c r="C905" s="76" t="s">
        <v>211</v>
      </c>
      <c r="D905" s="76" t="s">
        <v>211</v>
      </c>
      <c r="E905" s="76" t="s">
        <v>899</v>
      </c>
      <c r="F905" s="76" t="s">
        <v>900</v>
      </c>
      <c r="G905" s="76">
        <v>5</v>
      </c>
      <c r="O905" s="92"/>
    </row>
    <row r="906" spans="1:15" x14ac:dyDescent="0.25">
      <c r="A906" s="1">
        <v>901</v>
      </c>
      <c r="B906" s="91">
        <v>12247</v>
      </c>
      <c r="C906" s="76" t="s">
        <v>211</v>
      </c>
      <c r="D906" s="76" t="s">
        <v>211</v>
      </c>
      <c r="E906" s="76" t="s">
        <v>899</v>
      </c>
      <c r="F906" s="76" t="s">
        <v>900</v>
      </c>
      <c r="G906" s="76">
        <v>5</v>
      </c>
      <c r="O906" s="92"/>
    </row>
    <row r="907" spans="1:15" x14ac:dyDescent="0.25">
      <c r="A907" s="1">
        <v>902</v>
      </c>
      <c r="B907" s="91">
        <v>12248</v>
      </c>
      <c r="C907" s="76" t="s">
        <v>211</v>
      </c>
      <c r="D907" s="76" t="s">
        <v>211</v>
      </c>
      <c r="E907" s="76" t="s">
        <v>899</v>
      </c>
      <c r="F907" s="76" t="s">
        <v>900</v>
      </c>
      <c r="G907" s="76">
        <v>5</v>
      </c>
      <c r="O907" s="92"/>
    </row>
    <row r="908" spans="1:15" x14ac:dyDescent="0.25">
      <c r="A908" s="1">
        <v>903</v>
      </c>
      <c r="B908" s="91">
        <v>12249</v>
      </c>
      <c r="C908" s="76" t="s">
        <v>211</v>
      </c>
      <c r="D908" s="76" t="s">
        <v>211</v>
      </c>
      <c r="E908" s="76" t="s">
        <v>899</v>
      </c>
      <c r="F908" s="76" t="s">
        <v>900</v>
      </c>
      <c r="G908" s="76">
        <v>5</v>
      </c>
      <c r="O908" s="92"/>
    </row>
    <row r="909" spans="1:15" x14ac:dyDescent="0.25">
      <c r="A909" s="1">
        <v>904</v>
      </c>
      <c r="B909" s="91">
        <v>12250</v>
      </c>
      <c r="C909" s="76" t="s">
        <v>211</v>
      </c>
      <c r="D909" s="76" t="s">
        <v>211</v>
      </c>
      <c r="E909" s="76" t="s">
        <v>899</v>
      </c>
      <c r="F909" s="76" t="s">
        <v>900</v>
      </c>
      <c r="G909" s="76">
        <v>5</v>
      </c>
      <c r="O909" s="92"/>
    </row>
    <row r="910" spans="1:15" x14ac:dyDescent="0.25">
      <c r="A910" s="1">
        <v>905</v>
      </c>
      <c r="B910" s="91">
        <v>12252</v>
      </c>
      <c r="C910" s="76" t="s">
        <v>211</v>
      </c>
      <c r="D910" s="76" t="s">
        <v>211</v>
      </c>
      <c r="E910" s="76" t="s">
        <v>899</v>
      </c>
      <c r="F910" s="76" t="s">
        <v>900</v>
      </c>
      <c r="G910" s="76">
        <v>5</v>
      </c>
      <c r="O910" s="92"/>
    </row>
    <row r="911" spans="1:15" x14ac:dyDescent="0.25">
      <c r="A911" s="1">
        <v>906</v>
      </c>
      <c r="B911" s="91">
        <v>12255</v>
      </c>
      <c r="C911" s="76" t="s">
        <v>211</v>
      </c>
      <c r="D911" s="76" t="s">
        <v>211</v>
      </c>
      <c r="E911" s="76" t="s">
        <v>899</v>
      </c>
      <c r="F911" s="76" t="s">
        <v>900</v>
      </c>
      <c r="G911" s="76">
        <v>5</v>
      </c>
      <c r="O911" s="92"/>
    </row>
    <row r="912" spans="1:15" x14ac:dyDescent="0.25">
      <c r="A912" s="1">
        <v>907</v>
      </c>
      <c r="B912" s="91">
        <v>12256</v>
      </c>
      <c r="C912" s="76" t="s">
        <v>211</v>
      </c>
      <c r="D912" s="76" t="s">
        <v>211</v>
      </c>
      <c r="E912" s="76" t="s">
        <v>899</v>
      </c>
      <c r="F912" s="76" t="s">
        <v>900</v>
      </c>
      <c r="G912" s="76">
        <v>5</v>
      </c>
      <c r="O912" s="92"/>
    </row>
    <row r="913" spans="1:15" x14ac:dyDescent="0.25">
      <c r="A913" s="1">
        <v>908</v>
      </c>
      <c r="B913" s="91">
        <v>12257</v>
      </c>
      <c r="C913" s="76" t="s">
        <v>211</v>
      </c>
      <c r="D913" s="76" t="s">
        <v>211</v>
      </c>
      <c r="E913" s="76" t="s">
        <v>899</v>
      </c>
      <c r="F913" s="76" t="s">
        <v>900</v>
      </c>
      <c r="G913" s="76">
        <v>5</v>
      </c>
      <c r="O913" s="92"/>
    </row>
    <row r="914" spans="1:15" x14ac:dyDescent="0.25">
      <c r="A914" s="1">
        <v>909</v>
      </c>
      <c r="B914" s="91">
        <v>12260</v>
      </c>
      <c r="C914" s="76" t="s">
        <v>211</v>
      </c>
      <c r="D914" s="76" t="s">
        <v>211</v>
      </c>
      <c r="E914" s="76" t="s">
        <v>899</v>
      </c>
      <c r="F914" s="76" t="s">
        <v>900</v>
      </c>
      <c r="G914" s="76">
        <v>5</v>
      </c>
      <c r="O914" s="92"/>
    </row>
    <row r="915" spans="1:15" x14ac:dyDescent="0.25">
      <c r="A915" s="1">
        <v>910</v>
      </c>
      <c r="B915" s="91">
        <v>12261</v>
      </c>
      <c r="C915" s="76" t="s">
        <v>211</v>
      </c>
      <c r="D915" s="76" t="s">
        <v>211</v>
      </c>
      <c r="E915" s="76" t="s">
        <v>899</v>
      </c>
      <c r="F915" s="76" t="s">
        <v>900</v>
      </c>
      <c r="G915" s="76">
        <v>5</v>
      </c>
      <c r="O915" s="92"/>
    </row>
    <row r="916" spans="1:15" x14ac:dyDescent="0.25">
      <c r="A916" s="1">
        <v>911</v>
      </c>
      <c r="B916" s="91">
        <v>12288</v>
      </c>
      <c r="C916" s="76" t="s">
        <v>211</v>
      </c>
      <c r="D916" s="76" t="s">
        <v>211</v>
      </c>
      <c r="E916" s="76" t="s">
        <v>899</v>
      </c>
      <c r="F916" s="76" t="s">
        <v>900</v>
      </c>
      <c r="G916" s="76">
        <v>5</v>
      </c>
      <c r="O916" s="92"/>
    </row>
    <row r="917" spans="1:15" x14ac:dyDescent="0.25">
      <c r="A917" s="1">
        <v>912</v>
      </c>
      <c r="B917" s="91">
        <v>12301</v>
      </c>
      <c r="C917" s="76" t="s">
        <v>211</v>
      </c>
      <c r="D917" s="76" t="s">
        <v>901</v>
      </c>
      <c r="E917" s="76" t="s">
        <v>899</v>
      </c>
      <c r="F917" s="76" t="s">
        <v>900</v>
      </c>
      <c r="G917" s="76">
        <v>5</v>
      </c>
      <c r="O917" s="92"/>
    </row>
    <row r="918" spans="1:15" x14ac:dyDescent="0.25">
      <c r="A918" s="1">
        <v>913</v>
      </c>
      <c r="B918" s="91">
        <v>12302</v>
      </c>
      <c r="C918" s="76" t="s">
        <v>211</v>
      </c>
      <c r="D918" s="76" t="s">
        <v>901</v>
      </c>
      <c r="E918" s="76" t="s">
        <v>899</v>
      </c>
      <c r="F918" s="76" t="s">
        <v>900</v>
      </c>
      <c r="G918" s="76">
        <v>5</v>
      </c>
      <c r="O918" s="92"/>
    </row>
    <row r="919" spans="1:15" x14ac:dyDescent="0.25">
      <c r="A919" s="1">
        <v>914</v>
      </c>
      <c r="B919" s="91">
        <v>12303</v>
      </c>
      <c r="C919" s="76" t="s">
        <v>211</v>
      </c>
      <c r="D919" s="76" t="s">
        <v>901</v>
      </c>
      <c r="E919" s="76" t="s">
        <v>899</v>
      </c>
      <c r="F919" s="76" t="s">
        <v>900</v>
      </c>
      <c r="G919" s="76">
        <v>5</v>
      </c>
      <c r="O919" s="92"/>
    </row>
    <row r="920" spans="1:15" x14ac:dyDescent="0.25">
      <c r="A920" s="1">
        <v>915</v>
      </c>
      <c r="B920" s="91">
        <v>12304</v>
      </c>
      <c r="C920" s="76" t="s">
        <v>211</v>
      </c>
      <c r="D920" s="76" t="s">
        <v>901</v>
      </c>
      <c r="E920" s="76" t="s">
        <v>899</v>
      </c>
      <c r="F920" s="76" t="s">
        <v>900</v>
      </c>
      <c r="G920" s="76">
        <v>5</v>
      </c>
      <c r="O920" s="92"/>
    </row>
    <row r="921" spans="1:15" x14ac:dyDescent="0.25">
      <c r="A921" s="1">
        <v>916</v>
      </c>
      <c r="B921" s="91">
        <v>12305</v>
      </c>
      <c r="C921" s="76" t="s">
        <v>211</v>
      </c>
      <c r="D921" s="76" t="s">
        <v>901</v>
      </c>
      <c r="E921" s="76" t="s">
        <v>899</v>
      </c>
      <c r="F921" s="76" t="s">
        <v>900</v>
      </c>
      <c r="G921" s="76">
        <v>5</v>
      </c>
      <c r="O921" s="92"/>
    </row>
    <row r="922" spans="1:15" x14ac:dyDescent="0.25">
      <c r="A922" s="1">
        <v>917</v>
      </c>
      <c r="B922" s="91">
        <v>12306</v>
      </c>
      <c r="C922" s="76" t="s">
        <v>211</v>
      </c>
      <c r="D922" s="76" t="s">
        <v>901</v>
      </c>
      <c r="E922" s="76" t="s">
        <v>899</v>
      </c>
      <c r="F922" s="76" t="s">
        <v>900</v>
      </c>
      <c r="G922" s="76">
        <v>5</v>
      </c>
      <c r="O922" s="92"/>
    </row>
    <row r="923" spans="1:15" x14ac:dyDescent="0.25">
      <c r="A923" s="1">
        <v>918</v>
      </c>
      <c r="B923" s="91">
        <v>12307</v>
      </c>
      <c r="C923" s="76" t="s">
        <v>211</v>
      </c>
      <c r="D923" s="76" t="s">
        <v>901</v>
      </c>
      <c r="E923" s="76" t="s">
        <v>899</v>
      </c>
      <c r="F923" s="76" t="s">
        <v>900</v>
      </c>
      <c r="G923" s="76">
        <v>5</v>
      </c>
      <c r="O923" s="92"/>
    </row>
    <row r="924" spans="1:15" x14ac:dyDescent="0.25">
      <c r="A924" s="1">
        <v>919</v>
      </c>
      <c r="B924" s="91">
        <v>12308</v>
      </c>
      <c r="C924" s="76" t="s">
        <v>211</v>
      </c>
      <c r="D924" s="76" t="s">
        <v>901</v>
      </c>
      <c r="E924" s="76" t="s">
        <v>899</v>
      </c>
      <c r="F924" s="76" t="s">
        <v>900</v>
      </c>
      <c r="G924" s="76">
        <v>5</v>
      </c>
      <c r="O924" s="92"/>
    </row>
    <row r="925" spans="1:15" x14ac:dyDescent="0.25">
      <c r="A925" s="1">
        <v>920</v>
      </c>
      <c r="B925" s="91">
        <v>12309</v>
      </c>
      <c r="C925" s="76" t="s">
        <v>211</v>
      </c>
      <c r="D925" s="76" t="s">
        <v>901</v>
      </c>
      <c r="E925" s="76" t="s">
        <v>899</v>
      </c>
      <c r="F925" s="76" t="s">
        <v>900</v>
      </c>
      <c r="G925" s="76">
        <v>5</v>
      </c>
      <c r="O925" s="92"/>
    </row>
    <row r="926" spans="1:15" x14ac:dyDescent="0.25">
      <c r="A926" s="1">
        <v>921</v>
      </c>
      <c r="B926" s="91">
        <v>12325</v>
      </c>
      <c r="C926" s="76" t="s">
        <v>211</v>
      </c>
      <c r="D926" s="76" t="s">
        <v>901</v>
      </c>
      <c r="E926" s="76" t="s">
        <v>899</v>
      </c>
      <c r="F926" s="76" t="s">
        <v>900</v>
      </c>
      <c r="G926" s="76">
        <v>5</v>
      </c>
      <c r="O926" s="92"/>
    </row>
    <row r="927" spans="1:15" x14ac:dyDescent="0.25">
      <c r="A927" s="1">
        <v>922</v>
      </c>
      <c r="B927" s="91">
        <v>12345</v>
      </c>
      <c r="C927" s="76" t="s">
        <v>211</v>
      </c>
      <c r="D927" s="76" t="s">
        <v>901</v>
      </c>
      <c r="E927" s="76" t="s">
        <v>899</v>
      </c>
      <c r="F927" s="76" t="s">
        <v>900</v>
      </c>
      <c r="G927" s="76">
        <v>5</v>
      </c>
      <c r="O927" s="92"/>
    </row>
    <row r="928" spans="1:15" x14ac:dyDescent="0.25">
      <c r="A928" s="1">
        <v>923</v>
      </c>
      <c r="B928" s="91">
        <v>12401</v>
      </c>
      <c r="C928" s="76" t="s">
        <v>218</v>
      </c>
      <c r="D928" s="76" t="s">
        <v>913</v>
      </c>
      <c r="E928" s="76" t="s">
        <v>899</v>
      </c>
      <c r="F928" s="76" t="s">
        <v>888</v>
      </c>
      <c r="G928" s="76">
        <v>6</v>
      </c>
      <c r="O928" s="92"/>
    </row>
    <row r="929" spans="1:15" x14ac:dyDescent="0.25">
      <c r="A929" s="1">
        <v>924</v>
      </c>
      <c r="B929" s="91">
        <v>12402</v>
      </c>
      <c r="C929" s="76" t="s">
        <v>218</v>
      </c>
      <c r="D929" s="76" t="s">
        <v>913</v>
      </c>
      <c r="E929" s="76" t="s">
        <v>899</v>
      </c>
      <c r="F929" s="76" t="s">
        <v>888</v>
      </c>
      <c r="G929" s="76">
        <v>6</v>
      </c>
      <c r="O929" s="92"/>
    </row>
    <row r="930" spans="1:15" x14ac:dyDescent="0.25">
      <c r="A930" s="1">
        <v>925</v>
      </c>
      <c r="B930" s="91">
        <v>12404</v>
      </c>
      <c r="C930" s="76" t="s">
        <v>218</v>
      </c>
      <c r="D930" s="76" t="s">
        <v>913</v>
      </c>
      <c r="E930" s="76" t="s">
        <v>899</v>
      </c>
      <c r="F930" s="76" t="s">
        <v>888</v>
      </c>
      <c r="G930" s="76">
        <v>6</v>
      </c>
      <c r="O930" s="92"/>
    </row>
    <row r="931" spans="1:15" x14ac:dyDescent="0.25">
      <c r="A931" s="1">
        <v>926</v>
      </c>
      <c r="B931" s="91">
        <v>12405</v>
      </c>
      <c r="C931" s="76" t="s">
        <v>211</v>
      </c>
      <c r="D931" s="76" t="s">
        <v>903</v>
      </c>
      <c r="E931" s="76" t="s">
        <v>899</v>
      </c>
      <c r="F931" s="76" t="s">
        <v>900</v>
      </c>
      <c r="G931" s="76">
        <v>5</v>
      </c>
      <c r="O931" s="92"/>
    </row>
    <row r="932" spans="1:15" x14ac:dyDescent="0.25">
      <c r="A932" s="1">
        <v>927</v>
      </c>
      <c r="B932" s="91">
        <v>12406</v>
      </c>
      <c r="C932" s="76" t="s">
        <v>212</v>
      </c>
      <c r="D932" s="76" t="s">
        <v>912</v>
      </c>
      <c r="E932" s="76" t="s">
        <v>899</v>
      </c>
      <c r="F932" s="76" t="s">
        <v>900</v>
      </c>
      <c r="G932" s="76">
        <v>6</v>
      </c>
      <c r="O932" s="92"/>
    </row>
    <row r="933" spans="1:15" x14ac:dyDescent="0.25">
      <c r="A933" s="1">
        <v>928</v>
      </c>
      <c r="B933" s="91">
        <v>12407</v>
      </c>
      <c r="C933" s="76" t="s">
        <v>211</v>
      </c>
      <c r="D933" s="76" t="s">
        <v>903</v>
      </c>
      <c r="E933" s="76" t="s">
        <v>899</v>
      </c>
      <c r="F933" s="76" t="s">
        <v>900</v>
      </c>
      <c r="G933" s="76">
        <v>5</v>
      </c>
      <c r="O933" s="92"/>
    </row>
    <row r="934" spans="1:15" x14ac:dyDescent="0.25">
      <c r="A934" s="1">
        <v>929</v>
      </c>
      <c r="B934" s="91">
        <v>12409</v>
      </c>
      <c r="C934" s="76" t="s">
        <v>218</v>
      </c>
      <c r="D934" s="76" t="s">
        <v>913</v>
      </c>
      <c r="E934" s="76" t="s">
        <v>899</v>
      </c>
      <c r="F934" s="76" t="s">
        <v>888</v>
      </c>
      <c r="G934" s="76">
        <v>6</v>
      </c>
      <c r="O934" s="92"/>
    </row>
    <row r="935" spans="1:15" x14ac:dyDescent="0.25">
      <c r="A935" s="1">
        <v>930</v>
      </c>
      <c r="B935" s="91">
        <v>12410</v>
      </c>
      <c r="C935" s="76" t="s">
        <v>218</v>
      </c>
      <c r="D935" s="76" t="s">
        <v>913</v>
      </c>
      <c r="E935" s="76" t="s">
        <v>899</v>
      </c>
      <c r="F935" s="76" t="s">
        <v>888</v>
      </c>
      <c r="G935" s="76">
        <v>6</v>
      </c>
      <c r="O935" s="92"/>
    </row>
    <row r="936" spans="1:15" x14ac:dyDescent="0.25">
      <c r="A936" s="1">
        <v>931</v>
      </c>
      <c r="B936" s="91">
        <v>12411</v>
      </c>
      <c r="C936" s="76" t="s">
        <v>218</v>
      </c>
      <c r="D936" s="76" t="s">
        <v>913</v>
      </c>
      <c r="E936" s="76" t="s">
        <v>899</v>
      </c>
      <c r="F936" s="76" t="s">
        <v>888</v>
      </c>
      <c r="G936" s="76">
        <v>6</v>
      </c>
      <c r="O936" s="92"/>
    </row>
    <row r="937" spans="1:15" x14ac:dyDescent="0.25">
      <c r="A937" s="1">
        <v>932</v>
      </c>
      <c r="B937" s="91">
        <v>12412</v>
      </c>
      <c r="C937" s="76" t="s">
        <v>218</v>
      </c>
      <c r="D937" s="76" t="s">
        <v>913</v>
      </c>
      <c r="E937" s="76" t="s">
        <v>899</v>
      </c>
      <c r="F937" s="76" t="s">
        <v>888</v>
      </c>
      <c r="G937" s="76">
        <v>6</v>
      </c>
      <c r="O937" s="92"/>
    </row>
    <row r="938" spans="1:15" x14ac:dyDescent="0.25">
      <c r="A938" s="1">
        <v>933</v>
      </c>
      <c r="B938" s="91">
        <v>12413</v>
      </c>
      <c r="C938" s="76" t="s">
        <v>211</v>
      </c>
      <c r="D938" s="76" t="s">
        <v>903</v>
      </c>
      <c r="E938" s="76" t="s">
        <v>899</v>
      </c>
      <c r="F938" s="76" t="s">
        <v>900</v>
      </c>
      <c r="G938" s="76">
        <v>5</v>
      </c>
      <c r="O938" s="92"/>
    </row>
    <row r="939" spans="1:15" x14ac:dyDescent="0.25">
      <c r="A939" s="1">
        <v>934</v>
      </c>
      <c r="B939" s="91">
        <v>12414</v>
      </c>
      <c r="C939" s="76" t="s">
        <v>211</v>
      </c>
      <c r="D939" s="76" t="s">
        <v>903</v>
      </c>
      <c r="E939" s="76" t="s">
        <v>899</v>
      </c>
      <c r="F939" s="76" t="s">
        <v>900</v>
      </c>
      <c r="G939" s="76">
        <v>5</v>
      </c>
      <c r="O939" s="92"/>
    </row>
    <row r="940" spans="1:15" x14ac:dyDescent="0.25">
      <c r="A940" s="1">
        <v>935</v>
      </c>
      <c r="B940" s="91">
        <v>12416</v>
      </c>
      <c r="C940" s="76" t="s">
        <v>218</v>
      </c>
      <c r="D940" s="76" t="s">
        <v>913</v>
      </c>
      <c r="E940" s="76" t="s">
        <v>899</v>
      </c>
      <c r="F940" s="76" t="s">
        <v>888</v>
      </c>
      <c r="G940" s="76">
        <v>6</v>
      </c>
      <c r="O940" s="92"/>
    </row>
    <row r="941" spans="1:15" x14ac:dyDescent="0.25">
      <c r="A941" s="1">
        <v>936</v>
      </c>
      <c r="B941" s="91">
        <v>12417</v>
      </c>
      <c r="C941" s="76" t="s">
        <v>218</v>
      </c>
      <c r="D941" s="76" t="s">
        <v>913</v>
      </c>
      <c r="E941" s="76" t="s">
        <v>899</v>
      </c>
      <c r="F941" s="76" t="s">
        <v>888</v>
      </c>
      <c r="G941" s="76">
        <v>6</v>
      </c>
      <c r="O941" s="92"/>
    </row>
    <row r="942" spans="1:15" x14ac:dyDescent="0.25">
      <c r="A942" s="1">
        <v>937</v>
      </c>
      <c r="B942" s="91">
        <v>12418</v>
      </c>
      <c r="C942" s="76" t="s">
        <v>211</v>
      </c>
      <c r="D942" s="76" t="s">
        <v>903</v>
      </c>
      <c r="E942" s="76" t="s">
        <v>899</v>
      </c>
      <c r="F942" s="76" t="s">
        <v>900</v>
      </c>
      <c r="G942" s="76">
        <v>5</v>
      </c>
      <c r="O942" s="92"/>
    </row>
    <row r="943" spans="1:15" x14ac:dyDescent="0.25">
      <c r="A943" s="1">
        <v>938</v>
      </c>
      <c r="B943" s="91">
        <v>12419</v>
      </c>
      <c r="C943" s="76" t="s">
        <v>218</v>
      </c>
      <c r="D943" s="76" t="s">
        <v>913</v>
      </c>
      <c r="E943" s="76" t="s">
        <v>899</v>
      </c>
      <c r="F943" s="76" t="s">
        <v>888</v>
      </c>
      <c r="G943" s="76">
        <v>6</v>
      </c>
      <c r="O943" s="92"/>
    </row>
    <row r="944" spans="1:15" x14ac:dyDescent="0.25">
      <c r="A944" s="1">
        <v>939</v>
      </c>
      <c r="B944" s="91">
        <v>12420</v>
      </c>
      <c r="C944" s="76" t="s">
        <v>218</v>
      </c>
      <c r="D944" s="76" t="s">
        <v>913</v>
      </c>
      <c r="E944" s="76" t="s">
        <v>899</v>
      </c>
      <c r="F944" s="76" t="s">
        <v>888</v>
      </c>
      <c r="G944" s="76">
        <v>6</v>
      </c>
      <c r="O944" s="92"/>
    </row>
    <row r="945" spans="1:15" x14ac:dyDescent="0.25">
      <c r="A945" s="1">
        <v>940</v>
      </c>
      <c r="B945" s="91">
        <v>12421</v>
      </c>
      <c r="C945" s="76" t="s">
        <v>212</v>
      </c>
      <c r="D945" s="76" t="s">
        <v>912</v>
      </c>
      <c r="E945" s="76" t="s">
        <v>899</v>
      </c>
      <c r="F945" s="76" t="s">
        <v>900</v>
      </c>
      <c r="G945" s="76">
        <v>6</v>
      </c>
      <c r="O945" s="92"/>
    </row>
    <row r="946" spans="1:15" x14ac:dyDescent="0.25">
      <c r="A946" s="1">
        <v>941</v>
      </c>
      <c r="B946" s="91">
        <v>12422</v>
      </c>
      <c r="C946" s="76" t="s">
        <v>211</v>
      </c>
      <c r="D946" s="76" t="s">
        <v>903</v>
      </c>
      <c r="E946" s="76" t="s">
        <v>899</v>
      </c>
      <c r="F946" s="76" t="s">
        <v>900</v>
      </c>
      <c r="G946" s="76">
        <v>5</v>
      </c>
      <c r="O946" s="92"/>
    </row>
    <row r="947" spans="1:15" x14ac:dyDescent="0.25">
      <c r="A947" s="1">
        <v>942</v>
      </c>
      <c r="B947" s="91">
        <v>12423</v>
      </c>
      <c r="C947" s="76" t="s">
        <v>211</v>
      </c>
      <c r="D947" s="76" t="s">
        <v>903</v>
      </c>
      <c r="E947" s="76" t="s">
        <v>899</v>
      </c>
      <c r="F947" s="76" t="s">
        <v>900</v>
      </c>
      <c r="G947" s="76">
        <v>5</v>
      </c>
      <c r="O947" s="92"/>
    </row>
    <row r="948" spans="1:15" x14ac:dyDescent="0.25">
      <c r="A948" s="1">
        <v>943</v>
      </c>
      <c r="B948" s="91">
        <v>12424</v>
      </c>
      <c r="C948" s="76" t="s">
        <v>211</v>
      </c>
      <c r="D948" s="76" t="s">
        <v>903</v>
      </c>
      <c r="E948" s="76" t="s">
        <v>899</v>
      </c>
      <c r="F948" s="76" t="s">
        <v>900</v>
      </c>
      <c r="G948" s="76">
        <v>5</v>
      </c>
      <c r="O948" s="92"/>
    </row>
    <row r="949" spans="1:15" x14ac:dyDescent="0.25">
      <c r="A949" s="1">
        <v>944</v>
      </c>
      <c r="B949" s="91">
        <v>12427</v>
      </c>
      <c r="C949" s="76" t="s">
        <v>211</v>
      </c>
      <c r="D949" s="76" t="s">
        <v>903</v>
      </c>
      <c r="E949" s="76" t="s">
        <v>899</v>
      </c>
      <c r="F949" s="76" t="s">
        <v>900</v>
      </c>
      <c r="G949" s="76">
        <v>5</v>
      </c>
      <c r="O949" s="92"/>
    </row>
    <row r="950" spans="1:15" x14ac:dyDescent="0.25">
      <c r="A950" s="1">
        <v>945</v>
      </c>
      <c r="B950" s="91">
        <v>12428</v>
      </c>
      <c r="C950" s="76" t="s">
        <v>218</v>
      </c>
      <c r="D950" s="76" t="s">
        <v>913</v>
      </c>
      <c r="E950" s="76" t="s">
        <v>899</v>
      </c>
      <c r="F950" s="76" t="s">
        <v>888</v>
      </c>
      <c r="G950" s="76">
        <v>6</v>
      </c>
      <c r="O950" s="92"/>
    </row>
    <row r="951" spans="1:15" x14ac:dyDescent="0.25">
      <c r="A951" s="1">
        <v>946</v>
      </c>
      <c r="B951" s="91">
        <v>12429</v>
      </c>
      <c r="C951" s="76" t="s">
        <v>218</v>
      </c>
      <c r="D951" s="76" t="s">
        <v>913</v>
      </c>
      <c r="E951" s="76" t="s">
        <v>899</v>
      </c>
      <c r="F951" s="76" t="s">
        <v>888</v>
      </c>
      <c r="G951" s="76">
        <v>6</v>
      </c>
      <c r="O951" s="92"/>
    </row>
    <row r="952" spans="1:15" x14ac:dyDescent="0.25">
      <c r="A952" s="1">
        <v>947</v>
      </c>
      <c r="B952" s="91">
        <v>12430</v>
      </c>
      <c r="C952" s="76" t="s">
        <v>212</v>
      </c>
      <c r="D952" s="76" t="s">
        <v>912</v>
      </c>
      <c r="E952" s="76" t="s">
        <v>899</v>
      </c>
      <c r="F952" s="76" t="s">
        <v>900</v>
      </c>
      <c r="G952" s="76">
        <v>6</v>
      </c>
      <c r="O952" s="92"/>
    </row>
    <row r="953" spans="1:15" x14ac:dyDescent="0.25">
      <c r="A953" s="1">
        <v>948</v>
      </c>
      <c r="B953" s="91">
        <v>12431</v>
      </c>
      <c r="C953" s="76" t="s">
        <v>211</v>
      </c>
      <c r="D953" s="76" t="s">
        <v>903</v>
      </c>
      <c r="E953" s="76" t="s">
        <v>899</v>
      </c>
      <c r="F953" s="76" t="s">
        <v>900</v>
      </c>
      <c r="G953" s="76">
        <v>5</v>
      </c>
      <c r="O953" s="92"/>
    </row>
    <row r="954" spans="1:15" x14ac:dyDescent="0.25">
      <c r="A954" s="1">
        <v>949</v>
      </c>
      <c r="B954" s="91">
        <v>12432</v>
      </c>
      <c r="C954" s="76" t="s">
        <v>218</v>
      </c>
      <c r="D954" s="76" t="s">
        <v>913</v>
      </c>
      <c r="E954" s="76" t="s">
        <v>899</v>
      </c>
      <c r="F954" s="76" t="s">
        <v>888</v>
      </c>
      <c r="G954" s="76">
        <v>6</v>
      </c>
      <c r="O954" s="92"/>
    </row>
    <row r="955" spans="1:15" x14ac:dyDescent="0.25">
      <c r="A955" s="1">
        <v>950</v>
      </c>
      <c r="B955" s="91">
        <v>12433</v>
      </c>
      <c r="C955" s="76" t="s">
        <v>218</v>
      </c>
      <c r="D955" s="76" t="s">
        <v>913</v>
      </c>
      <c r="E955" s="76" t="s">
        <v>899</v>
      </c>
      <c r="F955" s="76" t="s">
        <v>888</v>
      </c>
      <c r="G955" s="76">
        <v>6</v>
      </c>
      <c r="O955" s="92"/>
    </row>
    <row r="956" spans="1:15" x14ac:dyDescent="0.25">
      <c r="A956" s="1">
        <v>951</v>
      </c>
      <c r="B956" s="91">
        <v>12434</v>
      </c>
      <c r="C956" s="76" t="s">
        <v>212</v>
      </c>
      <c r="D956" s="76" t="s">
        <v>912</v>
      </c>
      <c r="E956" s="76" t="s">
        <v>899</v>
      </c>
      <c r="F956" s="76" t="s">
        <v>900</v>
      </c>
      <c r="G956" s="76">
        <v>6</v>
      </c>
      <c r="O956" s="92"/>
    </row>
    <row r="957" spans="1:15" x14ac:dyDescent="0.25">
      <c r="A957" s="1">
        <v>952</v>
      </c>
      <c r="B957" s="91">
        <v>12435</v>
      </c>
      <c r="C957" s="76" t="s">
        <v>218</v>
      </c>
      <c r="D957" s="76" t="s">
        <v>913</v>
      </c>
      <c r="E957" s="76" t="s">
        <v>899</v>
      </c>
      <c r="F957" s="76" t="s">
        <v>888</v>
      </c>
      <c r="G957" s="76">
        <v>6</v>
      </c>
      <c r="O957" s="92"/>
    </row>
    <row r="958" spans="1:15" x14ac:dyDescent="0.25">
      <c r="A958" s="1">
        <v>953</v>
      </c>
      <c r="B958" s="91">
        <v>12436</v>
      </c>
      <c r="C958" s="76" t="s">
        <v>211</v>
      </c>
      <c r="D958" s="76" t="s">
        <v>903</v>
      </c>
      <c r="E958" s="76" t="s">
        <v>899</v>
      </c>
      <c r="F958" s="76" t="s">
        <v>900</v>
      </c>
      <c r="G958" s="76">
        <v>5</v>
      </c>
      <c r="O958" s="92"/>
    </row>
    <row r="959" spans="1:15" x14ac:dyDescent="0.25">
      <c r="A959" s="1">
        <v>954</v>
      </c>
      <c r="B959" s="91">
        <v>12438</v>
      </c>
      <c r="C959" s="76" t="s">
        <v>212</v>
      </c>
      <c r="D959" s="76" t="s">
        <v>912</v>
      </c>
      <c r="E959" s="76" t="s">
        <v>899</v>
      </c>
      <c r="F959" s="76" t="s">
        <v>900</v>
      </c>
      <c r="G959" s="76">
        <v>6</v>
      </c>
      <c r="O959" s="92"/>
    </row>
    <row r="960" spans="1:15" x14ac:dyDescent="0.25">
      <c r="A960" s="1">
        <v>955</v>
      </c>
      <c r="B960" s="91">
        <v>12439</v>
      </c>
      <c r="C960" s="76" t="s">
        <v>211</v>
      </c>
      <c r="D960" s="76" t="s">
        <v>903</v>
      </c>
      <c r="E960" s="76" t="s">
        <v>899</v>
      </c>
      <c r="F960" s="76" t="s">
        <v>900</v>
      </c>
      <c r="G960" s="76">
        <v>5</v>
      </c>
      <c r="O960" s="92"/>
    </row>
    <row r="961" spans="1:15" x14ac:dyDescent="0.25">
      <c r="A961" s="1">
        <v>956</v>
      </c>
      <c r="B961" s="91">
        <v>12440</v>
      </c>
      <c r="C961" s="76" t="s">
        <v>218</v>
      </c>
      <c r="D961" s="76" t="s">
        <v>913</v>
      </c>
      <c r="E961" s="76" t="s">
        <v>899</v>
      </c>
      <c r="F961" s="76" t="s">
        <v>888</v>
      </c>
      <c r="G961" s="76">
        <v>6</v>
      </c>
      <c r="O961" s="92"/>
    </row>
    <row r="962" spans="1:15" x14ac:dyDescent="0.25">
      <c r="A962" s="1">
        <v>957</v>
      </c>
      <c r="B962" s="91">
        <v>12441</v>
      </c>
      <c r="C962" s="76" t="s">
        <v>218</v>
      </c>
      <c r="D962" s="76" t="s">
        <v>913</v>
      </c>
      <c r="E962" s="76" t="s">
        <v>899</v>
      </c>
      <c r="F962" s="76" t="s">
        <v>888</v>
      </c>
      <c r="G962" s="76">
        <v>6</v>
      </c>
      <c r="O962" s="92"/>
    </row>
    <row r="963" spans="1:15" x14ac:dyDescent="0.25">
      <c r="A963" s="1">
        <v>958</v>
      </c>
      <c r="B963" s="91">
        <v>12442</v>
      </c>
      <c r="C963" s="76" t="s">
        <v>211</v>
      </c>
      <c r="D963" s="76" t="s">
        <v>903</v>
      </c>
      <c r="E963" s="76" t="s">
        <v>899</v>
      </c>
      <c r="F963" s="76" t="s">
        <v>900</v>
      </c>
      <c r="G963" s="76">
        <v>5</v>
      </c>
      <c r="O963" s="92"/>
    </row>
    <row r="964" spans="1:15" x14ac:dyDescent="0.25">
      <c r="A964" s="1">
        <v>959</v>
      </c>
      <c r="B964" s="91">
        <v>12443</v>
      </c>
      <c r="C964" s="76" t="s">
        <v>218</v>
      </c>
      <c r="D964" s="76" t="s">
        <v>913</v>
      </c>
      <c r="E964" s="76" t="s">
        <v>899</v>
      </c>
      <c r="F964" s="76" t="s">
        <v>888</v>
      </c>
      <c r="G964" s="76">
        <v>6</v>
      </c>
      <c r="O964" s="92"/>
    </row>
    <row r="965" spans="1:15" x14ac:dyDescent="0.25">
      <c r="A965" s="1">
        <v>960</v>
      </c>
      <c r="B965" s="91">
        <v>12444</v>
      </c>
      <c r="C965" s="76" t="s">
        <v>211</v>
      </c>
      <c r="D965" s="76" t="s">
        <v>903</v>
      </c>
      <c r="E965" s="76" t="s">
        <v>899</v>
      </c>
      <c r="F965" s="76" t="s">
        <v>900</v>
      </c>
      <c r="G965" s="76">
        <v>5</v>
      </c>
      <c r="O965" s="92"/>
    </row>
    <row r="966" spans="1:15" x14ac:dyDescent="0.25">
      <c r="A966" s="1">
        <v>961</v>
      </c>
      <c r="B966" s="91">
        <v>12446</v>
      </c>
      <c r="C966" s="76" t="s">
        <v>218</v>
      </c>
      <c r="D966" s="76" t="s">
        <v>913</v>
      </c>
      <c r="E966" s="76" t="s">
        <v>899</v>
      </c>
      <c r="F966" s="76" t="s">
        <v>888</v>
      </c>
      <c r="G966" s="76">
        <v>6</v>
      </c>
      <c r="O966" s="92"/>
    </row>
    <row r="967" spans="1:15" x14ac:dyDescent="0.25">
      <c r="A967" s="1">
        <v>962</v>
      </c>
      <c r="B967" s="91">
        <v>12448</v>
      </c>
      <c r="C967" s="76" t="s">
        <v>218</v>
      </c>
      <c r="D967" s="76" t="s">
        <v>913</v>
      </c>
      <c r="E967" s="76" t="s">
        <v>899</v>
      </c>
      <c r="F967" s="76" t="s">
        <v>888</v>
      </c>
      <c r="G967" s="76">
        <v>6</v>
      </c>
      <c r="O967" s="92"/>
    </row>
    <row r="968" spans="1:15" x14ac:dyDescent="0.25">
      <c r="A968" s="1">
        <v>963</v>
      </c>
      <c r="B968" s="91">
        <v>12449</v>
      </c>
      <c r="C968" s="76" t="s">
        <v>218</v>
      </c>
      <c r="D968" s="76" t="s">
        <v>913</v>
      </c>
      <c r="E968" s="76" t="s">
        <v>899</v>
      </c>
      <c r="F968" s="76" t="s">
        <v>888</v>
      </c>
      <c r="G968" s="76">
        <v>6</v>
      </c>
      <c r="O968" s="92"/>
    </row>
    <row r="969" spans="1:15" x14ac:dyDescent="0.25">
      <c r="A969" s="1">
        <v>964</v>
      </c>
      <c r="B969" s="91">
        <v>12450</v>
      </c>
      <c r="C969" s="76" t="s">
        <v>211</v>
      </c>
      <c r="D969" s="76" t="s">
        <v>903</v>
      </c>
      <c r="E969" s="76" t="s">
        <v>899</v>
      </c>
      <c r="F969" s="76" t="s">
        <v>900</v>
      </c>
      <c r="G969" s="76">
        <v>5</v>
      </c>
      <c r="O969" s="92"/>
    </row>
    <row r="970" spans="1:15" x14ac:dyDescent="0.25">
      <c r="A970" s="1">
        <v>965</v>
      </c>
      <c r="B970" s="91">
        <v>12451</v>
      </c>
      <c r="C970" s="76" t="s">
        <v>211</v>
      </c>
      <c r="D970" s="76" t="s">
        <v>903</v>
      </c>
      <c r="E970" s="76" t="s">
        <v>899</v>
      </c>
      <c r="F970" s="76" t="s">
        <v>900</v>
      </c>
      <c r="G970" s="76">
        <v>5</v>
      </c>
      <c r="O970" s="92"/>
    </row>
    <row r="971" spans="1:15" x14ac:dyDescent="0.25">
      <c r="A971" s="1">
        <v>966</v>
      </c>
      <c r="B971" s="91">
        <v>12452</v>
      </c>
      <c r="C971" s="76" t="s">
        <v>211</v>
      </c>
      <c r="D971" s="76" t="s">
        <v>903</v>
      </c>
      <c r="E971" s="76" t="s">
        <v>899</v>
      </c>
      <c r="F971" s="76" t="s">
        <v>900</v>
      </c>
      <c r="G971" s="76">
        <v>5</v>
      </c>
      <c r="O971" s="92"/>
    </row>
    <row r="972" spans="1:15" x14ac:dyDescent="0.25">
      <c r="A972" s="1">
        <v>967</v>
      </c>
      <c r="B972" s="91">
        <v>12453</v>
      </c>
      <c r="C972" s="76" t="s">
        <v>218</v>
      </c>
      <c r="D972" s="76" t="s">
        <v>913</v>
      </c>
      <c r="E972" s="76" t="s">
        <v>899</v>
      </c>
      <c r="F972" s="76" t="s">
        <v>888</v>
      </c>
      <c r="G972" s="76">
        <v>6</v>
      </c>
      <c r="O972" s="92"/>
    </row>
    <row r="973" spans="1:15" x14ac:dyDescent="0.25">
      <c r="A973" s="1">
        <v>968</v>
      </c>
      <c r="B973" s="91">
        <v>12454</v>
      </c>
      <c r="C973" s="76" t="s">
        <v>211</v>
      </c>
      <c r="D973" s="76" t="s">
        <v>903</v>
      </c>
      <c r="E973" s="76" t="s">
        <v>899</v>
      </c>
      <c r="F973" s="76" t="s">
        <v>900</v>
      </c>
      <c r="G973" s="76">
        <v>5</v>
      </c>
      <c r="O973" s="92"/>
    </row>
    <row r="974" spans="1:15" x14ac:dyDescent="0.25">
      <c r="A974" s="1">
        <v>969</v>
      </c>
      <c r="B974" s="91">
        <v>12455</v>
      </c>
      <c r="C974" s="76" t="s">
        <v>212</v>
      </c>
      <c r="D974" s="76" t="s">
        <v>912</v>
      </c>
      <c r="E974" s="76" t="s">
        <v>899</v>
      </c>
      <c r="F974" s="76" t="s">
        <v>900</v>
      </c>
      <c r="G974" s="76">
        <v>6</v>
      </c>
      <c r="O974" s="92"/>
    </row>
    <row r="975" spans="1:15" x14ac:dyDescent="0.25">
      <c r="A975" s="1">
        <v>970</v>
      </c>
      <c r="B975" s="91">
        <v>12456</v>
      </c>
      <c r="C975" s="76" t="s">
        <v>218</v>
      </c>
      <c r="D975" s="76" t="s">
        <v>913</v>
      </c>
      <c r="E975" s="76" t="s">
        <v>899</v>
      </c>
      <c r="F975" s="76" t="s">
        <v>888</v>
      </c>
      <c r="G975" s="76">
        <v>6</v>
      </c>
      <c r="O975" s="92"/>
    </row>
    <row r="976" spans="1:15" x14ac:dyDescent="0.25">
      <c r="A976" s="1">
        <v>971</v>
      </c>
      <c r="B976" s="91">
        <v>12457</v>
      </c>
      <c r="C976" s="76" t="s">
        <v>218</v>
      </c>
      <c r="D976" s="76" t="s">
        <v>913</v>
      </c>
      <c r="E976" s="76" t="s">
        <v>899</v>
      </c>
      <c r="F976" s="76" t="s">
        <v>888</v>
      </c>
      <c r="G976" s="76">
        <v>6</v>
      </c>
      <c r="O976" s="92"/>
    </row>
    <row r="977" spans="1:15" x14ac:dyDescent="0.25">
      <c r="A977" s="1">
        <v>972</v>
      </c>
      <c r="B977" s="91">
        <v>12458</v>
      </c>
      <c r="C977" s="76" t="s">
        <v>218</v>
      </c>
      <c r="D977" s="76" t="s">
        <v>913</v>
      </c>
      <c r="E977" s="76" t="s">
        <v>899</v>
      </c>
      <c r="F977" s="76" t="s">
        <v>888</v>
      </c>
      <c r="G977" s="76">
        <v>6</v>
      </c>
      <c r="O977" s="92"/>
    </row>
    <row r="978" spans="1:15" x14ac:dyDescent="0.25">
      <c r="A978" s="1">
        <v>973</v>
      </c>
      <c r="B978" s="91">
        <v>12459</v>
      </c>
      <c r="C978" s="76" t="s">
        <v>212</v>
      </c>
      <c r="D978" s="76" t="s">
        <v>912</v>
      </c>
      <c r="E978" s="76" t="s">
        <v>899</v>
      </c>
      <c r="F978" s="76" t="s">
        <v>900</v>
      </c>
      <c r="G978" s="76">
        <v>6</v>
      </c>
      <c r="O978" s="92"/>
    </row>
    <row r="979" spans="1:15" x14ac:dyDescent="0.25">
      <c r="A979" s="1">
        <v>974</v>
      </c>
      <c r="B979" s="91">
        <v>12460</v>
      </c>
      <c r="C979" s="76" t="s">
        <v>211</v>
      </c>
      <c r="D979" s="76" t="s">
        <v>903</v>
      </c>
      <c r="E979" s="76" t="s">
        <v>899</v>
      </c>
      <c r="F979" s="76" t="s">
        <v>900</v>
      </c>
      <c r="G979" s="76">
        <v>5</v>
      </c>
      <c r="O979" s="92"/>
    </row>
    <row r="980" spans="1:15" x14ac:dyDescent="0.25">
      <c r="A980" s="1">
        <v>975</v>
      </c>
      <c r="B980" s="91">
        <v>12461</v>
      </c>
      <c r="C980" s="76" t="s">
        <v>218</v>
      </c>
      <c r="D980" s="76" t="s">
        <v>913</v>
      </c>
      <c r="E980" s="76" t="s">
        <v>899</v>
      </c>
      <c r="F980" s="76" t="s">
        <v>888</v>
      </c>
      <c r="G980" s="76">
        <v>6</v>
      </c>
      <c r="O980" s="92"/>
    </row>
    <row r="981" spans="1:15" x14ac:dyDescent="0.25">
      <c r="A981" s="1">
        <v>976</v>
      </c>
      <c r="B981" s="91">
        <v>12463</v>
      </c>
      <c r="C981" s="76" t="s">
        <v>211</v>
      </c>
      <c r="D981" s="76" t="s">
        <v>903</v>
      </c>
      <c r="E981" s="76" t="s">
        <v>899</v>
      </c>
      <c r="F981" s="76" t="s">
        <v>900</v>
      </c>
      <c r="G981" s="76">
        <v>5</v>
      </c>
      <c r="O981" s="92"/>
    </row>
    <row r="982" spans="1:15" x14ac:dyDescent="0.25">
      <c r="A982" s="1">
        <v>977</v>
      </c>
      <c r="B982" s="91">
        <v>12464</v>
      </c>
      <c r="C982" s="76" t="s">
        <v>218</v>
      </c>
      <c r="D982" s="76" t="s">
        <v>913</v>
      </c>
      <c r="E982" s="76" t="s">
        <v>899</v>
      </c>
      <c r="F982" s="76" t="s">
        <v>888</v>
      </c>
      <c r="G982" s="76">
        <v>6</v>
      </c>
      <c r="O982" s="92"/>
    </row>
    <row r="983" spans="1:15" x14ac:dyDescent="0.25">
      <c r="A983" s="1">
        <v>978</v>
      </c>
      <c r="B983" s="91">
        <v>12465</v>
      </c>
      <c r="C983" s="76" t="s">
        <v>218</v>
      </c>
      <c r="D983" s="76" t="s">
        <v>913</v>
      </c>
      <c r="E983" s="76" t="s">
        <v>899</v>
      </c>
      <c r="F983" s="76" t="s">
        <v>888</v>
      </c>
      <c r="G983" s="76">
        <v>6</v>
      </c>
      <c r="O983" s="92"/>
    </row>
    <row r="984" spans="1:15" x14ac:dyDescent="0.25">
      <c r="A984" s="1">
        <v>979</v>
      </c>
      <c r="B984" s="91">
        <v>12466</v>
      </c>
      <c r="C984" s="76" t="s">
        <v>218</v>
      </c>
      <c r="D984" s="76" t="s">
        <v>913</v>
      </c>
      <c r="E984" s="76" t="s">
        <v>899</v>
      </c>
      <c r="F984" s="76" t="s">
        <v>888</v>
      </c>
      <c r="G984" s="76">
        <v>6</v>
      </c>
      <c r="O984" s="92"/>
    </row>
    <row r="985" spans="1:15" x14ac:dyDescent="0.25">
      <c r="A985" s="1">
        <v>980</v>
      </c>
      <c r="B985" s="91">
        <v>12468</v>
      </c>
      <c r="C985" s="76" t="s">
        <v>211</v>
      </c>
      <c r="D985" s="76" t="s">
        <v>903</v>
      </c>
      <c r="E985" s="76" t="s">
        <v>899</v>
      </c>
      <c r="F985" s="76" t="s">
        <v>900</v>
      </c>
      <c r="G985" s="76">
        <v>5</v>
      </c>
      <c r="O985" s="92"/>
    </row>
    <row r="986" spans="1:15" x14ac:dyDescent="0.25">
      <c r="A986" s="1">
        <v>981</v>
      </c>
      <c r="B986" s="91">
        <v>12469</v>
      </c>
      <c r="C986" s="76" t="s">
        <v>211</v>
      </c>
      <c r="D986" s="76" t="s">
        <v>211</v>
      </c>
      <c r="E986" s="76" t="s">
        <v>899</v>
      </c>
      <c r="F986" s="76" t="s">
        <v>900</v>
      </c>
      <c r="G986" s="76">
        <v>5</v>
      </c>
      <c r="O986" s="92"/>
    </row>
    <row r="987" spans="1:15" x14ac:dyDescent="0.25">
      <c r="A987" s="1">
        <v>982</v>
      </c>
      <c r="B987" s="91">
        <v>12470</v>
      </c>
      <c r="C987" s="76" t="s">
        <v>211</v>
      </c>
      <c r="D987" s="76" t="s">
        <v>903</v>
      </c>
      <c r="E987" s="76" t="s">
        <v>899</v>
      </c>
      <c r="F987" s="76" t="s">
        <v>900</v>
      </c>
      <c r="G987" s="76">
        <v>5</v>
      </c>
      <c r="O987" s="92"/>
    </row>
    <row r="988" spans="1:15" x14ac:dyDescent="0.25">
      <c r="A988" s="1">
        <v>983</v>
      </c>
      <c r="B988" s="91">
        <v>12471</v>
      </c>
      <c r="C988" s="76" t="s">
        <v>218</v>
      </c>
      <c r="D988" s="76" t="s">
        <v>913</v>
      </c>
      <c r="E988" s="76" t="s">
        <v>899</v>
      </c>
      <c r="F988" s="76" t="s">
        <v>888</v>
      </c>
      <c r="G988" s="76">
        <v>6</v>
      </c>
      <c r="O988" s="92"/>
    </row>
    <row r="989" spans="1:15" x14ac:dyDescent="0.25">
      <c r="A989" s="1">
        <v>984</v>
      </c>
      <c r="B989" s="91">
        <v>12472</v>
      </c>
      <c r="C989" s="76" t="s">
        <v>218</v>
      </c>
      <c r="D989" s="76" t="s">
        <v>913</v>
      </c>
      <c r="E989" s="76" t="s">
        <v>899</v>
      </c>
      <c r="F989" s="76" t="s">
        <v>888</v>
      </c>
      <c r="G989" s="76">
        <v>6</v>
      </c>
      <c r="O989" s="92"/>
    </row>
    <row r="990" spans="1:15" x14ac:dyDescent="0.25">
      <c r="A990" s="1">
        <v>985</v>
      </c>
      <c r="B990" s="91">
        <v>12473</v>
      </c>
      <c r="C990" s="76" t="s">
        <v>211</v>
      </c>
      <c r="D990" s="76" t="s">
        <v>903</v>
      </c>
      <c r="E990" s="76" t="s">
        <v>899</v>
      </c>
      <c r="F990" s="76" t="s">
        <v>900</v>
      </c>
      <c r="G990" s="76">
        <v>5</v>
      </c>
      <c r="O990" s="92"/>
    </row>
    <row r="991" spans="1:15" x14ac:dyDescent="0.25">
      <c r="A991" s="1">
        <v>986</v>
      </c>
      <c r="B991" s="91">
        <v>12474</v>
      </c>
      <c r="C991" s="76" t="s">
        <v>212</v>
      </c>
      <c r="D991" s="76" t="s">
        <v>912</v>
      </c>
      <c r="E991" s="76" t="s">
        <v>899</v>
      </c>
      <c r="F991" s="76" t="s">
        <v>900</v>
      </c>
      <c r="G991" s="76">
        <v>6</v>
      </c>
      <c r="O991" s="92"/>
    </row>
    <row r="992" spans="1:15" x14ac:dyDescent="0.25">
      <c r="A992" s="1">
        <v>987</v>
      </c>
      <c r="B992" s="91">
        <v>12475</v>
      </c>
      <c r="C992" s="76" t="s">
        <v>218</v>
      </c>
      <c r="D992" s="76" t="s">
        <v>913</v>
      </c>
      <c r="E992" s="76" t="s">
        <v>899</v>
      </c>
      <c r="F992" s="76" t="s">
        <v>888</v>
      </c>
      <c r="G992" s="76">
        <v>6</v>
      </c>
      <c r="O992" s="92"/>
    </row>
    <row r="993" spans="1:15" x14ac:dyDescent="0.25">
      <c r="A993" s="1">
        <v>988</v>
      </c>
      <c r="B993" s="91">
        <v>12477</v>
      </c>
      <c r="C993" s="76" t="s">
        <v>218</v>
      </c>
      <c r="D993" s="76" t="s">
        <v>913</v>
      </c>
      <c r="E993" s="76" t="s">
        <v>899</v>
      </c>
      <c r="F993" s="76" t="s">
        <v>888</v>
      </c>
      <c r="G993" s="76">
        <v>6</v>
      </c>
      <c r="O993" s="92"/>
    </row>
    <row r="994" spans="1:15" x14ac:dyDescent="0.25">
      <c r="A994" s="1">
        <v>989</v>
      </c>
      <c r="B994" s="91">
        <v>12480</v>
      </c>
      <c r="C994" s="76" t="s">
        <v>218</v>
      </c>
      <c r="D994" s="76" t="s">
        <v>913</v>
      </c>
      <c r="E994" s="76" t="s">
        <v>899</v>
      </c>
      <c r="F994" s="76" t="s">
        <v>888</v>
      </c>
      <c r="G994" s="76">
        <v>6</v>
      </c>
      <c r="O994" s="92"/>
    </row>
    <row r="995" spans="1:15" x14ac:dyDescent="0.25">
      <c r="A995" s="1">
        <v>990</v>
      </c>
      <c r="B995" s="91">
        <v>12481</v>
      </c>
      <c r="C995" s="76" t="s">
        <v>218</v>
      </c>
      <c r="D995" s="76" t="s">
        <v>913</v>
      </c>
      <c r="E995" s="76" t="s">
        <v>899</v>
      </c>
      <c r="F995" s="76" t="s">
        <v>888</v>
      </c>
      <c r="G995" s="76">
        <v>6</v>
      </c>
      <c r="O995" s="92"/>
    </row>
    <row r="996" spans="1:15" x14ac:dyDescent="0.25">
      <c r="A996" s="1">
        <v>991</v>
      </c>
      <c r="B996" s="91">
        <v>12482</v>
      </c>
      <c r="C996" s="76" t="s">
        <v>211</v>
      </c>
      <c r="D996" s="76" t="s">
        <v>903</v>
      </c>
      <c r="E996" s="76" t="s">
        <v>899</v>
      </c>
      <c r="F996" s="76" t="s">
        <v>900</v>
      </c>
      <c r="G996" s="76">
        <v>5</v>
      </c>
      <c r="O996" s="92"/>
    </row>
    <row r="997" spans="1:15" x14ac:dyDescent="0.25">
      <c r="A997" s="1">
        <v>992</v>
      </c>
      <c r="B997" s="91">
        <v>12483</v>
      </c>
      <c r="C997" s="76" t="s">
        <v>218</v>
      </c>
      <c r="D997" s="76" t="s">
        <v>913</v>
      </c>
      <c r="E997" s="76" t="s">
        <v>899</v>
      </c>
      <c r="F997" s="76" t="s">
        <v>888</v>
      </c>
      <c r="G997" s="76">
        <v>6</v>
      </c>
      <c r="O997" s="92"/>
    </row>
    <row r="998" spans="1:15" x14ac:dyDescent="0.25">
      <c r="A998" s="1">
        <v>993</v>
      </c>
      <c r="B998" s="91">
        <v>12484</v>
      </c>
      <c r="C998" s="76" t="s">
        <v>218</v>
      </c>
      <c r="D998" s="76" t="s">
        <v>913</v>
      </c>
      <c r="E998" s="76" t="s">
        <v>899</v>
      </c>
      <c r="F998" s="76" t="s">
        <v>888</v>
      </c>
      <c r="G998" s="76">
        <v>6</v>
      </c>
      <c r="O998" s="92"/>
    </row>
    <row r="999" spans="1:15" x14ac:dyDescent="0.25">
      <c r="A999" s="1">
        <v>994</v>
      </c>
      <c r="B999" s="91">
        <v>12485</v>
      </c>
      <c r="C999" s="76" t="s">
        <v>211</v>
      </c>
      <c r="D999" s="76" t="s">
        <v>903</v>
      </c>
      <c r="E999" s="76" t="s">
        <v>899</v>
      </c>
      <c r="F999" s="76" t="s">
        <v>900</v>
      </c>
      <c r="G999" s="76">
        <v>5</v>
      </c>
      <c r="O999" s="92"/>
    </row>
    <row r="1000" spans="1:15" x14ac:dyDescent="0.25">
      <c r="A1000" s="1">
        <v>995</v>
      </c>
      <c r="B1000" s="91">
        <v>12486</v>
      </c>
      <c r="C1000" s="76" t="s">
        <v>218</v>
      </c>
      <c r="D1000" s="76" t="s">
        <v>913</v>
      </c>
      <c r="E1000" s="76" t="s">
        <v>899</v>
      </c>
      <c r="F1000" s="76" t="s">
        <v>888</v>
      </c>
      <c r="G1000" s="76">
        <v>6</v>
      </c>
      <c r="O1000" s="92"/>
    </row>
    <row r="1001" spans="1:15" x14ac:dyDescent="0.25">
      <c r="A1001" s="1">
        <v>996</v>
      </c>
      <c r="B1001" s="91">
        <v>12487</v>
      </c>
      <c r="C1001" s="76" t="s">
        <v>218</v>
      </c>
      <c r="D1001" s="76" t="s">
        <v>913</v>
      </c>
      <c r="E1001" s="76" t="s">
        <v>899</v>
      </c>
      <c r="F1001" s="76" t="s">
        <v>888</v>
      </c>
      <c r="G1001" s="76">
        <v>6</v>
      </c>
      <c r="O1001" s="92"/>
    </row>
    <row r="1002" spans="1:15" x14ac:dyDescent="0.25">
      <c r="A1002" s="1">
        <v>997</v>
      </c>
      <c r="B1002" s="91">
        <v>12489</v>
      </c>
      <c r="C1002" s="76" t="s">
        <v>218</v>
      </c>
      <c r="D1002" s="76" t="s">
        <v>913</v>
      </c>
      <c r="E1002" s="76" t="s">
        <v>899</v>
      </c>
      <c r="F1002" s="76" t="s">
        <v>888</v>
      </c>
      <c r="G1002" s="76">
        <v>6</v>
      </c>
      <c r="O1002" s="92"/>
    </row>
    <row r="1003" spans="1:15" x14ac:dyDescent="0.25">
      <c r="A1003" s="1">
        <v>998</v>
      </c>
      <c r="B1003" s="91">
        <v>12490</v>
      </c>
      <c r="C1003" s="76" t="s">
        <v>218</v>
      </c>
      <c r="D1003" s="76" t="s">
        <v>913</v>
      </c>
      <c r="E1003" s="76" t="s">
        <v>899</v>
      </c>
      <c r="F1003" s="76" t="s">
        <v>888</v>
      </c>
      <c r="G1003" s="76">
        <v>6</v>
      </c>
      <c r="O1003" s="92"/>
    </row>
    <row r="1004" spans="1:15" x14ac:dyDescent="0.25">
      <c r="A1004" s="1">
        <v>999</v>
      </c>
      <c r="B1004" s="91">
        <v>12491</v>
      </c>
      <c r="C1004" s="76" t="s">
        <v>218</v>
      </c>
      <c r="D1004" s="76" t="s">
        <v>913</v>
      </c>
      <c r="E1004" s="76" t="s">
        <v>899</v>
      </c>
      <c r="F1004" s="76" t="s">
        <v>888</v>
      </c>
      <c r="G1004" s="76">
        <v>6</v>
      </c>
      <c r="O1004" s="92"/>
    </row>
    <row r="1005" spans="1:15" x14ac:dyDescent="0.25">
      <c r="A1005" s="1">
        <v>1000</v>
      </c>
      <c r="B1005" s="91">
        <v>12492</v>
      </c>
      <c r="C1005" s="76" t="s">
        <v>211</v>
      </c>
      <c r="D1005" s="76" t="s">
        <v>903</v>
      </c>
      <c r="E1005" s="76" t="s">
        <v>899</v>
      </c>
      <c r="F1005" s="76" t="s">
        <v>900</v>
      </c>
      <c r="G1005" s="76">
        <v>5</v>
      </c>
      <c r="O1005" s="92"/>
    </row>
    <row r="1006" spans="1:15" x14ac:dyDescent="0.25">
      <c r="A1006" s="1">
        <v>1001</v>
      </c>
      <c r="B1006" s="91">
        <v>12493</v>
      </c>
      <c r="C1006" s="76" t="s">
        <v>218</v>
      </c>
      <c r="D1006" s="76" t="s">
        <v>913</v>
      </c>
      <c r="E1006" s="76" t="s">
        <v>899</v>
      </c>
      <c r="F1006" s="76" t="s">
        <v>888</v>
      </c>
      <c r="G1006" s="76">
        <v>6</v>
      </c>
      <c r="O1006" s="92"/>
    </row>
    <row r="1007" spans="1:15" x14ac:dyDescent="0.25">
      <c r="A1007" s="1">
        <v>1002</v>
      </c>
      <c r="B1007" s="91">
        <v>12494</v>
      </c>
      <c r="C1007" s="76" t="s">
        <v>218</v>
      </c>
      <c r="D1007" s="76" t="s">
        <v>913</v>
      </c>
      <c r="E1007" s="76" t="s">
        <v>899</v>
      </c>
      <c r="F1007" s="76" t="s">
        <v>888</v>
      </c>
      <c r="G1007" s="76">
        <v>6</v>
      </c>
      <c r="O1007" s="92"/>
    </row>
    <row r="1008" spans="1:15" x14ac:dyDescent="0.25">
      <c r="A1008" s="1">
        <v>1003</v>
      </c>
      <c r="B1008" s="91">
        <v>12495</v>
      </c>
      <c r="C1008" s="76" t="s">
        <v>218</v>
      </c>
      <c r="D1008" s="76" t="s">
        <v>913</v>
      </c>
      <c r="E1008" s="76" t="s">
        <v>899</v>
      </c>
      <c r="F1008" s="76" t="s">
        <v>888</v>
      </c>
      <c r="G1008" s="76">
        <v>6</v>
      </c>
      <c r="O1008" s="92"/>
    </row>
    <row r="1009" spans="1:15" x14ac:dyDescent="0.25">
      <c r="A1009" s="1">
        <v>1004</v>
      </c>
      <c r="B1009" s="91">
        <v>12496</v>
      </c>
      <c r="C1009" s="76" t="s">
        <v>211</v>
      </c>
      <c r="D1009" s="76" t="s">
        <v>903</v>
      </c>
      <c r="E1009" s="76" t="s">
        <v>899</v>
      </c>
      <c r="F1009" s="76" t="s">
        <v>900</v>
      </c>
      <c r="G1009" s="76">
        <v>5</v>
      </c>
      <c r="O1009" s="92"/>
    </row>
    <row r="1010" spans="1:15" x14ac:dyDescent="0.25">
      <c r="A1010" s="1">
        <v>1005</v>
      </c>
      <c r="B1010" s="91">
        <v>12498</v>
      </c>
      <c r="C1010" s="76" t="s">
        <v>218</v>
      </c>
      <c r="D1010" s="76" t="s">
        <v>913</v>
      </c>
      <c r="E1010" s="76" t="s">
        <v>899</v>
      </c>
      <c r="F1010" s="76" t="s">
        <v>888</v>
      </c>
      <c r="G1010" s="76">
        <v>6</v>
      </c>
      <c r="O1010" s="92"/>
    </row>
    <row r="1011" spans="1:15" x14ac:dyDescent="0.25">
      <c r="A1011" s="1">
        <v>1006</v>
      </c>
      <c r="B1011" s="91">
        <v>12501</v>
      </c>
      <c r="C1011" s="76" t="s">
        <v>218</v>
      </c>
      <c r="D1011" s="76" t="s">
        <v>914</v>
      </c>
      <c r="E1011" s="76" t="s">
        <v>899</v>
      </c>
      <c r="F1011" s="76" t="s">
        <v>888</v>
      </c>
      <c r="G1011" s="76">
        <v>5</v>
      </c>
      <c r="O1011" s="92"/>
    </row>
    <row r="1012" spans="1:15" x14ac:dyDescent="0.25">
      <c r="A1012" s="1">
        <v>1007</v>
      </c>
      <c r="B1012" s="91">
        <v>12502</v>
      </c>
      <c r="C1012" s="76" t="s">
        <v>211</v>
      </c>
      <c r="D1012" s="76" t="s">
        <v>904</v>
      </c>
      <c r="E1012" s="76" t="s">
        <v>899</v>
      </c>
      <c r="F1012" s="76" t="s">
        <v>900</v>
      </c>
      <c r="G1012" s="76">
        <v>5</v>
      </c>
      <c r="O1012" s="92"/>
    </row>
    <row r="1013" spans="1:15" x14ac:dyDescent="0.25">
      <c r="A1013" s="1">
        <v>1008</v>
      </c>
      <c r="B1013" s="91">
        <v>12503</v>
      </c>
      <c r="C1013" s="76" t="s">
        <v>211</v>
      </c>
      <c r="D1013" s="76" t="s">
        <v>904</v>
      </c>
      <c r="E1013" s="76" t="s">
        <v>899</v>
      </c>
      <c r="F1013" s="76" t="s">
        <v>900</v>
      </c>
      <c r="G1013" s="76">
        <v>5</v>
      </c>
      <c r="O1013" s="92"/>
    </row>
    <row r="1014" spans="1:15" x14ac:dyDescent="0.25">
      <c r="A1014" s="1">
        <v>1009</v>
      </c>
      <c r="B1014" s="91">
        <v>12504</v>
      </c>
      <c r="C1014" s="76" t="s">
        <v>218</v>
      </c>
      <c r="D1014" s="76" t="s">
        <v>914</v>
      </c>
      <c r="E1014" s="76" t="s">
        <v>899</v>
      </c>
      <c r="F1014" s="76" t="s">
        <v>888</v>
      </c>
      <c r="G1014" s="76">
        <v>5</v>
      </c>
      <c r="O1014" s="92"/>
    </row>
    <row r="1015" spans="1:15" x14ac:dyDescent="0.25">
      <c r="A1015" s="1">
        <v>1010</v>
      </c>
      <c r="B1015" s="91">
        <v>12506</v>
      </c>
      <c r="C1015" s="76" t="s">
        <v>218</v>
      </c>
      <c r="D1015" s="76" t="s">
        <v>914</v>
      </c>
      <c r="E1015" s="76" t="s">
        <v>899</v>
      </c>
      <c r="F1015" s="76" t="s">
        <v>888</v>
      </c>
      <c r="G1015" s="76">
        <v>5</v>
      </c>
      <c r="O1015" s="92"/>
    </row>
    <row r="1016" spans="1:15" x14ac:dyDescent="0.25">
      <c r="A1016" s="1">
        <v>1011</v>
      </c>
      <c r="B1016" s="91">
        <v>12507</v>
      </c>
      <c r="C1016" s="76" t="s">
        <v>218</v>
      </c>
      <c r="D1016" s="76" t="s">
        <v>914</v>
      </c>
      <c r="E1016" s="76" t="s">
        <v>899</v>
      </c>
      <c r="F1016" s="76" t="s">
        <v>888</v>
      </c>
      <c r="G1016" s="76">
        <v>5</v>
      </c>
      <c r="O1016" s="92"/>
    </row>
    <row r="1017" spans="1:15" x14ac:dyDescent="0.25">
      <c r="A1017" s="1">
        <v>1012</v>
      </c>
      <c r="B1017" s="91">
        <v>12508</v>
      </c>
      <c r="C1017" s="76" t="s">
        <v>218</v>
      </c>
      <c r="D1017" s="76" t="s">
        <v>914</v>
      </c>
      <c r="E1017" s="76" t="s">
        <v>899</v>
      </c>
      <c r="F1017" s="76" t="s">
        <v>888</v>
      </c>
      <c r="G1017" s="76">
        <v>5</v>
      </c>
      <c r="O1017" s="92"/>
    </row>
    <row r="1018" spans="1:15" x14ac:dyDescent="0.25">
      <c r="A1018" s="1">
        <v>1013</v>
      </c>
      <c r="B1018" s="91">
        <v>12510</v>
      </c>
      <c r="C1018" s="76" t="s">
        <v>218</v>
      </c>
      <c r="D1018" s="76" t="s">
        <v>914</v>
      </c>
      <c r="E1018" s="76" t="s">
        <v>899</v>
      </c>
      <c r="F1018" s="76" t="s">
        <v>888</v>
      </c>
      <c r="G1018" s="76">
        <v>5</v>
      </c>
      <c r="O1018" s="92"/>
    </row>
    <row r="1019" spans="1:15" x14ac:dyDescent="0.25">
      <c r="A1019" s="1">
        <v>1014</v>
      </c>
      <c r="B1019" s="91">
        <v>12511</v>
      </c>
      <c r="C1019" s="76" t="s">
        <v>218</v>
      </c>
      <c r="D1019" s="76" t="s">
        <v>914</v>
      </c>
      <c r="E1019" s="76" t="s">
        <v>899</v>
      </c>
      <c r="F1019" s="76" t="s">
        <v>888</v>
      </c>
      <c r="G1019" s="76">
        <v>5</v>
      </c>
      <c r="O1019" s="92"/>
    </row>
    <row r="1020" spans="1:15" x14ac:dyDescent="0.25">
      <c r="A1020" s="1">
        <v>1015</v>
      </c>
      <c r="B1020" s="91">
        <v>12512</v>
      </c>
      <c r="C1020" s="76" t="s">
        <v>218</v>
      </c>
      <c r="D1020" s="76" t="s">
        <v>914</v>
      </c>
      <c r="E1020" s="76" t="s">
        <v>899</v>
      </c>
      <c r="F1020" s="76" t="s">
        <v>888</v>
      </c>
      <c r="G1020" s="76">
        <v>5</v>
      </c>
      <c r="O1020" s="92"/>
    </row>
    <row r="1021" spans="1:15" x14ac:dyDescent="0.25">
      <c r="A1021" s="1">
        <v>1016</v>
      </c>
      <c r="B1021" s="91">
        <v>12513</v>
      </c>
      <c r="C1021" s="76" t="s">
        <v>211</v>
      </c>
      <c r="D1021" s="76" t="s">
        <v>904</v>
      </c>
      <c r="E1021" s="76" t="s">
        <v>899</v>
      </c>
      <c r="F1021" s="76" t="s">
        <v>900</v>
      </c>
      <c r="G1021" s="76">
        <v>5</v>
      </c>
      <c r="O1021" s="92"/>
    </row>
    <row r="1022" spans="1:15" x14ac:dyDescent="0.25">
      <c r="A1022" s="1">
        <v>1017</v>
      </c>
      <c r="B1022" s="91">
        <v>12514</v>
      </c>
      <c r="C1022" s="76" t="s">
        <v>218</v>
      </c>
      <c r="D1022" s="76" t="s">
        <v>914</v>
      </c>
      <c r="E1022" s="76" t="s">
        <v>899</v>
      </c>
      <c r="F1022" s="76" t="s">
        <v>888</v>
      </c>
      <c r="G1022" s="76">
        <v>5</v>
      </c>
      <c r="O1022" s="92"/>
    </row>
    <row r="1023" spans="1:15" x14ac:dyDescent="0.25">
      <c r="A1023" s="1">
        <v>1018</v>
      </c>
      <c r="B1023" s="91">
        <v>12515</v>
      </c>
      <c r="C1023" s="76" t="s">
        <v>218</v>
      </c>
      <c r="D1023" s="76" t="s">
        <v>913</v>
      </c>
      <c r="E1023" s="76" t="s">
        <v>899</v>
      </c>
      <c r="F1023" s="76" t="s">
        <v>888</v>
      </c>
      <c r="G1023" s="76">
        <v>6</v>
      </c>
      <c r="O1023" s="92"/>
    </row>
    <row r="1024" spans="1:15" x14ac:dyDescent="0.25">
      <c r="A1024" s="1">
        <v>1019</v>
      </c>
      <c r="B1024" s="91">
        <v>12516</v>
      </c>
      <c r="C1024" s="76" t="s">
        <v>211</v>
      </c>
      <c r="D1024" s="76" t="s">
        <v>904</v>
      </c>
      <c r="E1024" s="76" t="s">
        <v>899</v>
      </c>
      <c r="F1024" s="76" t="s">
        <v>900</v>
      </c>
      <c r="G1024" s="76">
        <v>5</v>
      </c>
      <c r="O1024" s="92"/>
    </row>
    <row r="1025" spans="1:15" x14ac:dyDescent="0.25">
      <c r="A1025" s="1">
        <v>1020</v>
      </c>
      <c r="B1025" s="91">
        <v>12517</v>
      </c>
      <c r="C1025" s="76" t="s">
        <v>211</v>
      </c>
      <c r="D1025" s="76" t="s">
        <v>904</v>
      </c>
      <c r="E1025" s="76" t="s">
        <v>899</v>
      </c>
      <c r="F1025" s="76" t="s">
        <v>900</v>
      </c>
      <c r="G1025" s="76">
        <v>5</v>
      </c>
      <c r="O1025" s="92"/>
    </row>
    <row r="1026" spans="1:15" x14ac:dyDescent="0.25">
      <c r="A1026" s="1">
        <v>1021</v>
      </c>
      <c r="B1026" s="91">
        <v>12518</v>
      </c>
      <c r="C1026" s="76" t="s">
        <v>218</v>
      </c>
      <c r="D1026" s="76" t="s">
        <v>895</v>
      </c>
      <c r="E1026" s="76" t="s">
        <v>899</v>
      </c>
      <c r="F1026" s="76" t="s">
        <v>888</v>
      </c>
      <c r="G1026" s="76">
        <v>5</v>
      </c>
      <c r="O1026" s="92"/>
    </row>
    <row r="1027" spans="1:15" x14ac:dyDescent="0.25">
      <c r="A1027" s="1">
        <v>1022</v>
      </c>
      <c r="B1027" s="91">
        <v>12520</v>
      </c>
      <c r="C1027" s="76" t="s">
        <v>218</v>
      </c>
      <c r="D1027" s="76" t="s">
        <v>895</v>
      </c>
      <c r="E1027" s="76" t="s">
        <v>899</v>
      </c>
      <c r="F1027" s="76" t="s">
        <v>888</v>
      </c>
      <c r="G1027" s="76">
        <v>5</v>
      </c>
      <c r="O1027" s="92"/>
    </row>
    <row r="1028" spans="1:15" x14ac:dyDescent="0.25">
      <c r="A1028" s="1">
        <v>1023</v>
      </c>
      <c r="B1028" s="91">
        <v>12521</v>
      </c>
      <c r="C1028" s="76" t="s">
        <v>211</v>
      </c>
      <c r="D1028" s="76" t="s">
        <v>904</v>
      </c>
      <c r="E1028" s="76" t="s">
        <v>899</v>
      </c>
      <c r="F1028" s="76" t="s">
        <v>900</v>
      </c>
      <c r="G1028" s="76">
        <v>5</v>
      </c>
      <c r="O1028" s="92"/>
    </row>
    <row r="1029" spans="1:15" x14ac:dyDescent="0.25">
      <c r="A1029" s="1">
        <v>1024</v>
      </c>
      <c r="B1029" s="91">
        <v>12522</v>
      </c>
      <c r="C1029" s="76" t="s">
        <v>218</v>
      </c>
      <c r="D1029" s="76" t="s">
        <v>914</v>
      </c>
      <c r="E1029" s="76" t="s">
        <v>899</v>
      </c>
      <c r="F1029" s="76" t="s">
        <v>888</v>
      </c>
      <c r="G1029" s="76">
        <v>5</v>
      </c>
      <c r="O1029" s="92"/>
    </row>
    <row r="1030" spans="1:15" x14ac:dyDescent="0.25">
      <c r="A1030" s="1">
        <v>1025</v>
      </c>
      <c r="B1030" s="91">
        <v>12523</v>
      </c>
      <c r="C1030" s="76" t="s">
        <v>211</v>
      </c>
      <c r="D1030" s="76" t="s">
        <v>904</v>
      </c>
      <c r="E1030" s="76" t="s">
        <v>899</v>
      </c>
      <c r="F1030" s="76" t="s">
        <v>900</v>
      </c>
      <c r="G1030" s="76">
        <v>5</v>
      </c>
      <c r="O1030" s="92"/>
    </row>
    <row r="1031" spans="1:15" x14ac:dyDescent="0.25">
      <c r="A1031" s="1">
        <v>1026</v>
      </c>
      <c r="B1031" s="91">
        <v>12524</v>
      </c>
      <c r="C1031" s="76" t="s">
        <v>218</v>
      </c>
      <c r="D1031" s="76" t="s">
        <v>914</v>
      </c>
      <c r="E1031" s="76" t="s">
        <v>899</v>
      </c>
      <c r="F1031" s="76" t="s">
        <v>888</v>
      </c>
      <c r="G1031" s="76">
        <v>5</v>
      </c>
      <c r="O1031" s="92"/>
    </row>
    <row r="1032" spans="1:15" x14ac:dyDescent="0.25">
      <c r="A1032" s="1">
        <v>1027</v>
      </c>
      <c r="B1032" s="91">
        <v>12525</v>
      </c>
      <c r="C1032" s="76" t="s">
        <v>218</v>
      </c>
      <c r="D1032" s="76" t="s">
        <v>913</v>
      </c>
      <c r="E1032" s="76" t="s">
        <v>899</v>
      </c>
      <c r="F1032" s="76" t="s">
        <v>888</v>
      </c>
      <c r="G1032" s="76">
        <v>6</v>
      </c>
      <c r="O1032" s="92"/>
    </row>
    <row r="1033" spans="1:15" x14ac:dyDescent="0.25">
      <c r="A1033" s="1">
        <v>1028</v>
      </c>
      <c r="B1033" s="91">
        <v>12526</v>
      </c>
      <c r="C1033" s="76" t="s">
        <v>211</v>
      </c>
      <c r="D1033" s="76" t="s">
        <v>904</v>
      </c>
      <c r="E1033" s="76" t="s">
        <v>899</v>
      </c>
      <c r="F1033" s="76" t="s">
        <v>900</v>
      </c>
      <c r="G1033" s="76">
        <v>5</v>
      </c>
      <c r="O1033" s="92"/>
    </row>
    <row r="1034" spans="1:15" x14ac:dyDescent="0.25">
      <c r="A1034" s="1">
        <v>1029</v>
      </c>
      <c r="B1034" s="91">
        <v>12527</v>
      </c>
      <c r="C1034" s="76" t="s">
        <v>218</v>
      </c>
      <c r="D1034" s="76" t="s">
        <v>914</v>
      </c>
      <c r="E1034" s="76" t="s">
        <v>899</v>
      </c>
      <c r="F1034" s="76" t="s">
        <v>888</v>
      </c>
      <c r="G1034" s="76">
        <v>5</v>
      </c>
      <c r="O1034" s="92"/>
    </row>
    <row r="1035" spans="1:15" x14ac:dyDescent="0.25">
      <c r="A1035" s="1">
        <v>1030</v>
      </c>
      <c r="B1035" s="91">
        <v>12528</v>
      </c>
      <c r="C1035" s="76" t="s">
        <v>218</v>
      </c>
      <c r="D1035" s="76" t="s">
        <v>913</v>
      </c>
      <c r="E1035" s="76" t="s">
        <v>899</v>
      </c>
      <c r="F1035" s="76" t="s">
        <v>888</v>
      </c>
      <c r="G1035" s="76">
        <v>6</v>
      </c>
      <c r="O1035" s="92"/>
    </row>
    <row r="1036" spans="1:15" x14ac:dyDescent="0.25">
      <c r="A1036" s="1">
        <v>1031</v>
      </c>
      <c r="B1036" s="91">
        <v>12529</v>
      </c>
      <c r="C1036" s="76" t="s">
        <v>211</v>
      </c>
      <c r="D1036" s="76" t="s">
        <v>904</v>
      </c>
      <c r="E1036" s="76" t="s">
        <v>899</v>
      </c>
      <c r="F1036" s="76" t="s">
        <v>900</v>
      </c>
      <c r="G1036" s="76">
        <v>5</v>
      </c>
      <c r="O1036" s="92"/>
    </row>
    <row r="1037" spans="1:15" x14ac:dyDescent="0.25">
      <c r="A1037" s="1">
        <v>1032</v>
      </c>
      <c r="B1037" s="91">
        <v>12530</v>
      </c>
      <c r="C1037" s="76" t="s">
        <v>211</v>
      </c>
      <c r="D1037" s="76" t="s">
        <v>904</v>
      </c>
      <c r="E1037" s="76" t="s">
        <v>899</v>
      </c>
      <c r="F1037" s="76" t="s">
        <v>900</v>
      </c>
      <c r="G1037" s="76">
        <v>5</v>
      </c>
      <c r="O1037" s="92"/>
    </row>
    <row r="1038" spans="1:15" x14ac:dyDescent="0.25">
      <c r="A1038" s="1">
        <v>1033</v>
      </c>
      <c r="B1038" s="91">
        <v>12531</v>
      </c>
      <c r="C1038" s="76" t="s">
        <v>218</v>
      </c>
      <c r="D1038" s="76" t="s">
        <v>914</v>
      </c>
      <c r="E1038" s="76" t="s">
        <v>899</v>
      </c>
      <c r="F1038" s="76" t="s">
        <v>888</v>
      </c>
      <c r="G1038" s="76">
        <v>5</v>
      </c>
      <c r="O1038" s="92"/>
    </row>
    <row r="1039" spans="1:15" x14ac:dyDescent="0.25">
      <c r="A1039" s="1">
        <v>1034</v>
      </c>
      <c r="B1039" s="91">
        <v>12533</v>
      </c>
      <c r="C1039" s="76" t="s">
        <v>218</v>
      </c>
      <c r="D1039" s="76" t="s">
        <v>914</v>
      </c>
      <c r="E1039" s="76" t="s">
        <v>899</v>
      </c>
      <c r="F1039" s="76" t="s">
        <v>888</v>
      </c>
      <c r="G1039" s="76">
        <v>5</v>
      </c>
      <c r="O1039" s="92"/>
    </row>
    <row r="1040" spans="1:15" x14ac:dyDescent="0.25">
      <c r="A1040" s="1">
        <v>1035</v>
      </c>
      <c r="B1040" s="91">
        <v>12534</v>
      </c>
      <c r="C1040" s="76" t="s">
        <v>211</v>
      </c>
      <c r="D1040" s="76" t="s">
        <v>904</v>
      </c>
      <c r="E1040" s="76" t="s">
        <v>899</v>
      </c>
      <c r="F1040" s="76" t="s">
        <v>900</v>
      </c>
      <c r="G1040" s="76">
        <v>5</v>
      </c>
      <c r="O1040" s="92"/>
    </row>
    <row r="1041" spans="1:15" x14ac:dyDescent="0.25">
      <c r="A1041" s="1">
        <v>1036</v>
      </c>
      <c r="B1041" s="91">
        <v>12537</v>
      </c>
      <c r="C1041" s="76" t="s">
        <v>218</v>
      </c>
      <c r="D1041" s="76" t="s">
        <v>914</v>
      </c>
      <c r="E1041" s="76" t="s">
        <v>899</v>
      </c>
      <c r="F1041" s="76" t="s">
        <v>888</v>
      </c>
      <c r="G1041" s="76">
        <v>5</v>
      </c>
      <c r="O1041" s="92"/>
    </row>
    <row r="1042" spans="1:15" x14ac:dyDescent="0.25">
      <c r="A1042" s="1">
        <v>1037</v>
      </c>
      <c r="B1042" s="91">
        <v>12538</v>
      </c>
      <c r="C1042" s="76" t="s">
        <v>218</v>
      </c>
      <c r="D1042" s="76" t="s">
        <v>914</v>
      </c>
      <c r="E1042" s="76" t="s">
        <v>899</v>
      </c>
      <c r="F1042" s="76" t="s">
        <v>888</v>
      </c>
      <c r="G1042" s="76">
        <v>5</v>
      </c>
      <c r="O1042" s="92"/>
    </row>
    <row r="1043" spans="1:15" x14ac:dyDescent="0.25">
      <c r="A1043" s="1">
        <v>1038</v>
      </c>
      <c r="B1043" s="91">
        <v>12540</v>
      </c>
      <c r="C1043" s="76" t="s">
        <v>218</v>
      </c>
      <c r="D1043" s="76" t="s">
        <v>914</v>
      </c>
      <c r="E1043" s="76" t="s">
        <v>899</v>
      </c>
      <c r="F1043" s="76" t="s">
        <v>888</v>
      </c>
      <c r="G1043" s="76">
        <v>5</v>
      </c>
      <c r="O1043" s="92"/>
    </row>
    <row r="1044" spans="1:15" x14ac:dyDescent="0.25">
      <c r="A1044" s="1">
        <v>1039</v>
      </c>
      <c r="B1044" s="91">
        <v>12541</v>
      </c>
      <c r="C1044" s="76" t="s">
        <v>211</v>
      </c>
      <c r="D1044" s="76" t="s">
        <v>904</v>
      </c>
      <c r="E1044" s="76" t="s">
        <v>899</v>
      </c>
      <c r="F1044" s="76" t="s">
        <v>900</v>
      </c>
      <c r="G1044" s="76">
        <v>5</v>
      </c>
      <c r="O1044" s="92"/>
    </row>
    <row r="1045" spans="1:15" x14ac:dyDescent="0.25">
      <c r="A1045" s="1">
        <v>1040</v>
      </c>
      <c r="B1045" s="91">
        <v>12542</v>
      </c>
      <c r="C1045" s="76" t="s">
        <v>218</v>
      </c>
      <c r="D1045" s="76" t="s">
        <v>913</v>
      </c>
      <c r="E1045" s="76" t="s">
        <v>899</v>
      </c>
      <c r="F1045" s="76" t="s">
        <v>888</v>
      </c>
      <c r="G1045" s="76">
        <v>6</v>
      </c>
      <c r="O1045" s="92"/>
    </row>
    <row r="1046" spans="1:15" x14ac:dyDescent="0.25">
      <c r="A1046" s="1">
        <v>1041</v>
      </c>
      <c r="B1046" s="91">
        <v>12543</v>
      </c>
      <c r="C1046" s="76" t="s">
        <v>218</v>
      </c>
      <c r="D1046" s="76" t="s">
        <v>895</v>
      </c>
      <c r="E1046" s="76" t="s">
        <v>899</v>
      </c>
      <c r="F1046" s="76" t="s">
        <v>888</v>
      </c>
      <c r="G1046" s="76">
        <v>5</v>
      </c>
      <c r="O1046" s="92"/>
    </row>
    <row r="1047" spans="1:15" x14ac:dyDescent="0.25">
      <c r="A1047" s="1">
        <v>1042</v>
      </c>
      <c r="B1047" s="91">
        <v>12544</v>
      </c>
      <c r="C1047" s="76" t="s">
        <v>211</v>
      </c>
      <c r="D1047" s="76" t="s">
        <v>904</v>
      </c>
      <c r="E1047" s="76" t="s">
        <v>899</v>
      </c>
      <c r="F1047" s="76" t="s">
        <v>900</v>
      </c>
      <c r="G1047" s="76">
        <v>5</v>
      </c>
      <c r="O1047" s="92"/>
    </row>
    <row r="1048" spans="1:15" x14ac:dyDescent="0.25">
      <c r="A1048" s="1">
        <v>1043</v>
      </c>
      <c r="B1048" s="91">
        <v>12545</v>
      </c>
      <c r="C1048" s="76" t="s">
        <v>218</v>
      </c>
      <c r="D1048" s="76" t="s">
        <v>914</v>
      </c>
      <c r="E1048" s="76" t="s">
        <v>899</v>
      </c>
      <c r="F1048" s="76" t="s">
        <v>888</v>
      </c>
      <c r="G1048" s="76">
        <v>5</v>
      </c>
      <c r="O1048" s="92"/>
    </row>
    <row r="1049" spans="1:15" x14ac:dyDescent="0.25">
      <c r="A1049" s="1">
        <v>1044</v>
      </c>
      <c r="B1049" s="91">
        <v>12546</v>
      </c>
      <c r="C1049" s="76" t="s">
        <v>218</v>
      </c>
      <c r="D1049" s="76" t="s">
        <v>914</v>
      </c>
      <c r="E1049" s="76" t="s">
        <v>899</v>
      </c>
      <c r="F1049" s="76" t="s">
        <v>888</v>
      </c>
      <c r="G1049" s="76">
        <v>5</v>
      </c>
      <c r="O1049" s="92"/>
    </row>
    <row r="1050" spans="1:15" x14ac:dyDescent="0.25">
      <c r="A1050" s="1">
        <v>1045</v>
      </c>
      <c r="B1050" s="91">
        <v>12547</v>
      </c>
      <c r="C1050" s="76" t="s">
        <v>218</v>
      </c>
      <c r="D1050" s="76" t="s">
        <v>913</v>
      </c>
      <c r="E1050" s="76" t="s">
        <v>899</v>
      </c>
      <c r="F1050" s="76" t="s">
        <v>888</v>
      </c>
      <c r="G1050" s="76">
        <v>6</v>
      </c>
      <c r="O1050" s="92"/>
    </row>
    <row r="1051" spans="1:15" x14ac:dyDescent="0.25">
      <c r="A1051" s="1">
        <v>1046</v>
      </c>
      <c r="B1051" s="91">
        <v>12548</v>
      </c>
      <c r="C1051" s="76" t="s">
        <v>218</v>
      </c>
      <c r="D1051" s="76" t="s">
        <v>913</v>
      </c>
      <c r="E1051" s="76" t="s">
        <v>899</v>
      </c>
      <c r="F1051" s="76" t="s">
        <v>888</v>
      </c>
      <c r="G1051" s="76">
        <v>6</v>
      </c>
      <c r="O1051" s="92"/>
    </row>
    <row r="1052" spans="1:15" x14ac:dyDescent="0.25">
      <c r="A1052" s="1">
        <v>1047</v>
      </c>
      <c r="B1052" s="91">
        <v>12549</v>
      </c>
      <c r="C1052" s="76" t="s">
        <v>218</v>
      </c>
      <c r="D1052" s="76" t="s">
        <v>895</v>
      </c>
      <c r="E1052" s="76" t="s">
        <v>899</v>
      </c>
      <c r="F1052" s="76" t="s">
        <v>888</v>
      </c>
      <c r="G1052" s="76">
        <v>5</v>
      </c>
      <c r="O1052" s="92"/>
    </row>
    <row r="1053" spans="1:15" x14ac:dyDescent="0.25">
      <c r="A1053" s="1">
        <v>1048</v>
      </c>
      <c r="B1053" s="91">
        <v>12550</v>
      </c>
      <c r="C1053" s="76" t="s">
        <v>218</v>
      </c>
      <c r="D1053" s="76" t="s">
        <v>895</v>
      </c>
      <c r="E1053" s="76" t="s">
        <v>899</v>
      </c>
      <c r="F1053" s="76" t="s">
        <v>888</v>
      </c>
      <c r="G1053" s="76">
        <v>5</v>
      </c>
      <c r="O1053" s="92"/>
    </row>
    <row r="1054" spans="1:15" x14ac:dyDescent="0.25">
      <c r="A1054" s="1">
        <v>1049</v>
      </c>
      <c r="B1054" s="91">
        <v>12551</v>
      </c>
      <c r="C1054" s="76" t="s">
        <v>218</v>
      </c>
      <c r="D1054" s="76" t="s">
        <v>895</v>
      </c>
      <c r="E1054" s="76" t="s">
        <v>899</v>
      </c>
      <c r="F1054" s="76" t="s">
        <v>888</v>
      </c>
      <c r="G1054" s="76">
        <v>5</v>
      </c>
      <c r="O1054" s="92"/>
    </row>
    <row r="1055" spans="1:15" x14ac:dyDescent="0.25">
      <c r="A1055" s="1">
        <v>1050</v>
      </c>
      <c r="B1055" s="91">
        <v>12552</v>
      </c>
      <c r="C1055" s="76" t="s">
        <v>218</v>
      </c>
      <c r="D1055" s="76" t="s">
        <v>895</v>
      </c>
      <c r="E1055" s="76" t="s">
        <v>899</v>
      </c>
      <c r="F1055" s="76" t="s">
        <v>888</v>
      </c>
      <c r="G1055" s="76">
        <v>5</v>
      </c>
      <c r="O1055" s="92"/>
    </row>
    <row r="1056" spans="1:15" x14ac:dyDescent="0.25">
      <c r="A1056" s="1">
        <v>1051</v>
      </c>
      <c r="B1056" s="91">
        <v>12553</v>
      </c>
      <c r="C1056" s="76" t="s">
        <v>218</v>
      </c>
      <c r="D1056" s="76" t="s">
        <v>895</v>
      </c>
      <c r="E1056" s="76" t="s">
        <v>899</v>
      </c>
      <c r="F1056" s="76" t="s">
        <v>888</v>
      </c>
      <c r="G1056" s="76">
        <v>5</v>
      </c>
      <c r="O1056" s="92"/>
    </row>
    <row r="1057" spans="1:15" x14ac:dyDescent="0.25">
      <c r="A1057" s="1">
        <v>1052</v>
      </c>
      <c r="B1057" s="91">
        <v>12555</v>
      </c>
      <c r="C1057" s="76" t="s">
        <v>218</v>
      </c>
      <c r="D1057" s="76" t="s">
        <v>895</v>
      </c>
      <c r="E1057" s="76" t="s">
        <v>899</v>
      </c>
      <c r="F1057" s="76" t="s">
        <v>888</v>
      </c>
      <c r="G1057" s="76">
        <v>5</v>
      </c>
      <c r="O1057" s="92"/>
    </row>
    <row r="1058" spans="1:15" x14ac:dyDescent="0.25">
      <c r="A1058" s="1">
        <v>1053</v>
      </c>
      <c r="B1058" s="91">
        <v>12561</v>
      </c>
      <c r="C1058" s="76" t="s">
        <v>218</v>
      </c>
      <c r="D1058" s="76" t="s">
        <v>913</v>
      </c>
      <c r="E1058" s="76" t="s">
        <v>899</v>
      </c>
      <c r="F1058" s="76" t="s">
        <v>888</v>
      </c>
      <c r="G1058" s="76">
        <v>6</v>
      </c>
      <c r="O1058" s="92"/>
    </row>
    <row r="1059" spans="1:15" x14ac:dyDescent="0.25">
      <c r="A1059" s="1">
        <v>1054</v>
      </c>
      <c r="B1059" s="91">
        <v>12563</v>
      </c>
      <c r="C1059" s="76" t="s">
        <v>218</v>
      </c>
      <c r="D1059" s="76" t="s">
        <v>893</v>
      </c>
      <c r="E1059" s="76" t="s">
        <v>899</v>
      </c>
      <c r="F1059" s="76" t="s">
        <v>888</v>
      </c>
      <c r="G1059" s="76">
        <v>5</v>
      </c>
      <c r="O1059" s="92"/>
    </row>
    <row r="1060" spans="1:15" x14ac:dyDescent="0.25">
      <c r="A1060" s="1">
        <v>1055</v>
      </c>
      <c r="B1060" s="91">
        <v>12564</v>
      </c>
      <c r="C1060" s="76" t="s">
        <v>218</v>
      </c>
      <c r="D1060" s="76" t="s">
        <v>914</v>
      </c>
      <c r="E1060" s="76" t="s">
        <v>899</v>
      </c>
      <c r="F1060" s="76" t="s">
        <v>888</v>
      </c>
      <c r="G1060" s="76">
        <v>5</v>
      </c>
      <c r="O1060" s="92"/>
    </row>
    <row r="1061" spans="1:15" x14ac:dyDescent="0.25">
      <c r="A1061" s="1">
        <v>1056</v>
      </c>
      <c r="B1061" s="91">
        <v>12565</v>
      </c>
      <c r="C1061" s="76" t="s">
        <v>211</v>
      </c>
      <c r="D1061" s="76" t="s">
        <v>904</v>
      </c>
      <c r="E1061" s="76" t="s">
        <v>899</v>
      </c>
      <c r="F1061" s="76" t="s">
        <v>900</v>
      </c>
      <c r="G1061" s="76">
        <v>5</v>
      </c>
      <c r="O1061" s="92"/>
    </row>
    <row r="1062" spans="1:15" x14ac:dyDescent="0.25">
      <c r="A1062" s="1">
        <v>1057</v>
      </c>
      <c r="B1062" s="91">
        <v>12566</v>
      </c>
      <c r="C1062" s="76" t="s">
        <v>218</v>
      </c>
      <c r="D1062" s="76" t="s">
        <v>913</v>
      </c>
      <c r="E1062" s="76" t="s">
        <v>899</v>
      </c>
      <c r="F1062" s="76" t="s">
        <v>888</v>
      </c>
      <c r="G1062" s="76">
        <v>6</v>
      </c>
      <c r="O1062" s="92"/>
    </row>
    <row r="1063" spans="1:15" x14ac:dyDescent="0.25">
      <c r="A1063" s="1">
        <v>1058</v>
      </c>
      <c r="B1063" s="91">
        <v>12567</v>
      </c>
      <c r="C1063" s="76" t="s">
        <v>218</v>
      </c>
      <c r="D1063" s="76" t="s">
        <v>914</v>
      </c>
      <c r="E1063" s="76" t="s">
        <v>899</v>
      </c>
      <c r="F1063" s="76" t="s">
        <v>888</v>
      </c>
      <c r="G1063" s="76">
        <v>5</v>
      </c>
      <c r="O1063" s="92"/>
    </row>
    <row r="1064" spans="1:15" x14ac:dyDescent="0.25">
      <c r="A1064" s="1">
        <v>1059</v>
      </c>
      <c r="B1064" s="91">
        <v>12568</v>
      </c>
      <c r="C1064" s="76" t="s">
        <v>218</v>
      </c>
      <c r="D1064" s="76" t="s">
        <v>913</v>
      </c>
      <c r="E1064" s="76" t="s">
        <v>899</v>
      </c>
      <c r="F1064" s="76" t="s">
        <v>888</v>
      </c>
      <c r="G1064" s="76">
        <v>6</v>
      </c>
      <c r="O1064" s="92"/>
    </row>
    <row r="1065" spans="1:15" x14ac:dyDescent="0.25">
      <c r="A1065" s="1">
        <v>1060</v>
      </c>
      <c r="B1065" s="91">
        <v>12569</v>
      </c>
      <c r="C1065" s="76" t="s">
        <v>218</v>
      </c>
      <c r="D1065" s="76" t="s">
        <v>914</v>
      </c>
      <c r="E1065" s="76" t="s">
        <v>899</v>
      </c>
      <c r="F1065" s="76" t="s">
        <v>888</v>
      </c>
      <c r="G1065" s="76">
        <v>5</v>
      </c>
      <c r="O1065" s="92"/>
    </row>
    <row r="1066" spans="1:15" x14ac:dyDescent="0.25">
      <c r="A1066" s="1">
        <v>1061</v>
      </c>
      <c r="B1066" s="91">
        <v>12570</v>
      </c>
      <c r="C1066" s="76" t="s">
        <v>218</v>
      </c>
      <c r="D1066" s="76" t="s">
        <v>914</v>
      </c>
      <c r="E1066" s="76" t="s">
        <v>899</v>
      </c>
      <c r="F1066" s="76" t="s">
        <v>888</v>
      </c>
      <c r="G1066" s="76">
        <v>5</v>
      </c>
      <c r="O1066" s="92"/>
    </row>
    <row r="1067" spans="1:15" x14ac:dyDescent="0.25">
      <c r="A1067" s="1">
        <v>1062</v>
      </c>
      <c r="B1067" s="91">
        <v>12571</v>
      </c>
      <c r="C1067" s="76" t="s">
        <v>218</v>
      </c>
      <c r="D1067" s="76" t="s">
        <v>914</v>
      </c>
      <c r="E1067" s="76" t="s">
        <v>899</v>
      </c>
      <c r="F1067" s="76" t="s">
        <v>888</v>
      </c>
      <c r="G1067" s="76">
        <v>5</v>
      </c>
      <c r="O1067" s="92"/>
    </row>
    <row r="1068" spans="1:15" x14ac:dyDescent="0.25">
      <c r="A1068" s="1">
        <v>1063</v>
      </c>
      <c r="B1068" s="91">
        <v>12572</v>
      </c>
      <c r="C1068" s="76" t="s">
        <v>218</v>
      </c>
      <c r="D1068" s="76" t="s">
        <v>914</v>
      </c>
      <c r="E1068" s="76" t="s">
        <v>899</v>
      </c>
      <c r="F1068" s="76" t="s">
        <v>888</v>
      </c>
      <c r="G1068" s="76">
        <v>5</v>
      </c>
      <c r="O1068" s="92"/>
    </row>
    <row r="1069" spans="1:15" x14ac:dyDescent="0.25">
      <c r="A1069" s="1">
        <v>1064</v>
      </c>
      <c r="B1069" s="91">
        <v>12574</v>
      </c>
      <c r="C1069" s="76" t="s">
        <v>218</v>
      </c>
      <c r="D1069" s="76" t="s">
        <v>914</v>
      </c>
      <c r="E1069" s="76" t="s">
        <v>899</v>
      </c>
      <c r="F1069" s="76" t="s">
        <v>888</v>
      </c>
      <c r="G1069" s="76">
        <v>5</v>
      </c>
      <c r="O1069" s="92"/>
    </row>
    <row r="1070" spans="1:15" x14ac:dyDescent="0.25">
      <c r="A1070" s="1">
        <v>1065</v>
      </c>
      <c r="B1070" s="91">
        <v>12575</v>
      </c>
      <c r="C1070" s="76" t="s">
        <v>218</v>
      </c>
      <c r="D1070" s="76" t="s">
        <v>895</v>
      </c>
      <c r="E1070" s="76" t="s">
        <v>899</v>
      </c>
      <c r="F1070" s="76" t="s">
        <v>888</v>
      </c>
      <c r="G1070" s="76">
        <v>5</v>
      </c>
      <c r="O1070" s="92"/>
    </row>
    <row r="1071" spans="1:15" x14ac:dyDescent="0.25">
      <c r="A1071" s="1">
        <v>1066</v>
      </c>
      <c r="B1071" s="91">
        <v>12577</v>
      </c>
      <c r="C1071" s="76" t="s">
        <v>218</v>
      </c>
      <c r="D1071" s="76" t="s">
        <v>895</v>
      </c>
      <c r="E1071" s="76" t="s">
        <v>899</v>
      </c>
      <c r="F1071" s="76" t="s">
        <v>888</v>
      </c>
      <c r="G1071" s="76">
        <v>5</v>
      </c>
      <c r="O1071" s="92"/>
    </row>
    <row r="1072" spans="1:15" x14ac:dyDescent="0.25">
      <c r="A1072" s="1">
        <v>1067</v>
      </c>
      <c r="B1072" s="91">
        <v>12578</v>
      </c>
      <c r="C1072" s="76" t="s">
        <v>218</v>
      </c>
      <c r="D1072" s="76" t="s">
        <v>914</v>
      </c>
      <c r="E1072" s="76" t="s">
        <v>899</v>
      </c>
      <c r="F1072" s="76" t="s">
        <v>888</v>
      </c>
      <c r="G1072" s="76">
        <v>5</v>
      </c>
      <c r="O1072" s="92"/>
    </row>
    <row r="1073" spans="1:15" x14ac:dyDescent="0.25">
      <c r="A1073" s="1">
        <v>1068</v>
      </c>
      <c r="B1073" s="91">
        <v>12580</v>
      </c>
      <c r="C1073" s="76" t="s">
        <v>218</v>
      </c>
      <c r="D1073" s="76" t="s">
        <v>914</v>
      </c>
      <c r="E1073" s="76" t="s">
        <v>899</v>
      </c>
      <c r="F1073" s="76" t="s">
        <v>888</v>
      </c>
      <c r="G1073" s="76">
        <v>5</v>
      </c>
      <c r="O1073" s="92"/>
    </row>
    <row r="1074" spans="1:15" x14ac:dyDescent="0.25">
      <c r="A1074" s="1">
        <v>1069</v>
      </c>
      <c r="B1074" s="91">
        <v>12581</v>
      </c>
      <c r="C1074" s="76" t="s">
        <v>218</v>
      </c>
      <c r="D1074" s="76" t="s">
        <v>914</v>
      </c>
      <c r="E1074" s="76" t="s">
        <v>899</v>
      </c>
      <c r="F1074" s="76" t="s">
        <v>888</v>
      </c>
      <c r="G1074" s="76">
        <v>5</v>
      </c>
      <c r="O1074" s="92"/>
    </row>
    <row r="1075" spans="1:15" x14ac:dyDescent="0.25">
      <c r="A1075" s="1">
        <v>1070</v>
      </c>
      <c r="B1075" s="91">
        <v>12582</v>
      </c>
      <c r="C1075" s="76" t="s">
        <v>218</v>
      </c>
      <c r="D1075" s="76" t="s">
        <v>914</v>
      </c>
      <c r="E1075" s="76" t="s">
        <v>899</v>
      </c>
      <c r="F1075" s="76" t="s">
        <v>888</v>
      </c>
      <c r="G1075" s="76">
        <v>5</v>
      </c>
      <c r="O1075" s="92"/>
    </row>
    <row r="1076" spans="1:15" x14ac:dyDescent="0.25">
      <c r="A1076" s="1">
        <v>1071</v>
      </c>
      <c r="B1076" s="91">
        <v>12583</v>
      </c>
      <c r="C1076" s="76" t="s">
        <v>218</v>
      </c>
      <c r="D1076" s="76" t="s">
        <v>914</v>
      </c>
      <c r="E1076" s="76" t="s">
        <v>899</v>
      </c>
      <c r="F1076" s="76" t="s">
        <v>888</v>
      </c>
      <c r="G1076" s="76">
        <v>5</v>
      </c>
      <c r="O1076" s="92"/>
    </row>
    <row r="1077" spans="1:15" x14ac:dyDescent="0.25">
      <c r="A1077" s="1">
        <v>1072</v>
      </c>
      <c r="B1077" s="91">
        <v>12584</v>
      </c>
      <c r="C1077" s="76" t="s">
        <v>218</v>
      </c>
      <c r="D1077" s="76" t="s">
        <v>895</v>
      </c>
      <c r="E1077" s="76" t="s">
        <v>899</v>
      </c>
      <c r="F1077" s="76" t="s">
        <v>888</v>
      </c>
      <c r="G1077" s="76">
        <v>5</v>
      </c>
      <c r="O1077" s="92"/>
    </row>
    <row r="1078" spans="1:15" x14ac:dyDescent="0.25">
      <c r="A1078" s="1">
        <v>1073</v>
      </c>
      <c r="B1078" s="91">
        <v>12585</v>
      </c>
      <c r="C1078" s="76" t="s">
        <v>218</v>
      </c>
      <c r="D1078" s="76" t="s">
        <v>914</v>
      </c>
      <c r="E1078" s="76" t="s">
        <v>899</v>
      </c>
      <c r="F1078" s="76" t="s">
        <v>888</v>
      </c>
      <c r="G1078" s="76">
        <v>5</v>
      </c>
      <c r="O1078" s="92"/>
    </row>
    <row r="1079" spans="1:15" x14ac:dyDescent="0.25">
      <c r="A1079" s="1">
        <v>1074</v>
      </c>
      <c r="B1079" s="91">
        <v>12586</v>
      </c>
      <c r="C1079" s="76" t="s">
        <v>218</v>
      </c>
      <c r="D1079" s="76" t="s">
        <v>895</v>
      </c>
      <c r="E1079" s="76" t="s">
        <v>899</v>
      </c>
      <c r="F1079" s="76" t="s">
        <v>888</v>
      </c>
      <c r="G1079" s="76">
        <v>5</v>
      </c>
      <c r="O1079" s="92"/>
    </row>
    <row r="1080" spans="1:15" x14ac:dyDescent="0.25">
      <c r="A1080" s="1">
        <v>1075</v>
      </c>
      <c r="B1080" s="91">
        <v>12588</v>
      </c>
      <c r="C1080" s="76" t="s">
        <v>218</v>
      </c>
      <c r="D1080" s="76" t="s">
        <v>913</v>
      </c>
      <c r="E1080" s="76" t="s">
        <v>899</v>
      </c>
      <c r="F1080" s="76" t="s">
        <v>888</v>
      </c>
      <c r="G1080" s="76">
        <v>6</v>
      </c>
      <c r="O1080" s="92"/>
    </row>
    <row r="1081" spans="1:15" x14ac:dyDescent="0.25">
      <c r="A1081" s="1">
        <v>1076</v>
      </c>
      <c r="B1081" s="91">
        <v>12589</v>
      </c>
      <c r="C1081" s="76" t="s">
        <v>218</v>
      </c>
      <c r="D1081" s="76" t="s">
        <v>913</v>
      </c>
      <c r="E1081" s="76" t="s">
        <v>899</v>
      </c>
      <c r="F1081" s="76" t="s">
        <v>888</v>
      </c>
      <c r="G1081" s="76">
        <v>6</v>
      </c>
      <c r="O1081" s="92"/>
    </row>
    <row r="1082" spans="1:15" x14ac:dyDescent="0.25">
      <c r="A1082" s="1">
        <v>1077</v>
      </c>
      <c r="B1082" s="91">
        <v>12590</v>
      </c>
      <c r="C1082" s="76" t="s">
        <v>218</v>
      </c>
      <c r="D1082" s="76" t="s">
        <v>914</v>
      </c>
      <c r="E1082" s="76" t="s">
        <v>899</v>
      </c>
      <c r="F1082" s="76" t="s">
        <v>888</v>
      </c>
      <c r="G1082" s="76">
        <v>5</v>
      </c>
      <c r="O1082" s="92"/>
    </row>
    <row r="1083" spans="1:15" x14ac:dyDescent="0.25">
      <c r="A1083" s="1">
        <v>1078</v>
      </c>
      <c r="B1083" s="91">
        <v>12592</v>
      </c>
      <c r="C1083" s="76" t="s">
        <v>218</v>
      </c>
      <c r="D1083" s="76" t="s">
        <v>914</v>
      </c>
      <c r="E1083" s="76" t="s">
        <v>899</v>
      </c>
      <c r="F1083" s="76" t="s">
        <v>888</v>
      </c>
      <c r="G1083" s="76">
        <v>5</v>
      </c>
      <c r="O1083" s="92"/>
    </row>
    <row r="1084" spans="1:15" x14ac:dyDescent="0.25">
      <c r="A1084" s="1">
        <v>1079</v>
      </c>
      <c r="B1084" s="91">
        <v>12593</v>
      </c>
      <c r="C1084" s="76" t="s">
        <v>211</v>
      </c>
      <c r="D1084" s="76" t="s">
        <v>904</v>
      </c>
      <c r="E1084" s="76" t="s">
        <v>899</v>
      </c>
      <c r="F1084" s="76" t="s">
        <v>900</v>
      </c>
      <c r="G1084" s="76">
        <v>5</v>
      </c>
      <c r="O1084" s="92"/>
    </row>
    <row r="1085" spans="1:15" x14ac:dyDescent="0.25">
      <c r="A1085" s="1">
        <v>1080</v>
      </c>
      <c r="B1085" s="91">
        <v>12594</v>
      </c>
      <c r="C1085" s="76" t="s">
        <v>218</v>
      </c>
      <c r="D1085" s="76" t="s">
        <v>914</v>
      </c>
      <c r="E1085" s="76" t="s">
        <v>899</v>
      </c>
      <c r="F1085" s="76" t="s">
        <v>888</v>
      </c>
      <c r="G1085" s="76">
        <v>5</v>
      </c>
      <c r="O1085" s="92"/>
    </row>
    <row r="1086" spans="1:15" x14ac:dyDescent="0.25">
      <c r="A1086" s="1">
        <v>1081</v>
      </c>
      <c r="B1086" s="91">
        <v>12601</v>
      </c>
      <c r="C1086" s="76" t="s">
        <v>218</v>
      </c>
      <c r="D1086" s="76" t="s">
        <v>914</v>
      </c>
      <c r="E1086" s="76" t="s">
        <v>899</v>
      </c>
      <c r="F1086" s="76" t="s">
        <v>888</v>
      </c>
      <c r="G1086" s="76">
        <v>5</v>
      </c>
      <c r="O1086" s="92"/>
    </row>
    <row r="1087" spans="1:15" x14ac:dyDescent="0.25">
      <c r="A1087" s="1">
        <v>1082</v>
      </c>
      <c r="B1087" s="91">
        <v>12602</v>
      </c>
      <c r="C1087" s="76" t="s">
        <v>218</v>
      </c>
      <c r="D1087" s="76" t="s">
        <v>914</v>
      </c>
      <c r="E1087" s="76" t="s">
        <v>899</v>
      </c>
      <c r="F1087" s="76" t="s">
        <v>888</v>
      </c>
      <c r="G1087" s="76">
        <v>5</v>
      </c>
      <c r="O1087" s="92"/>
    </row>
    <row r="1088" spans="1:15" x14ac:dyDescent="0.25">
      <c r="A1088" s="1">
        <v>1083</v>
      </c>
      <c r="B1088" s="91">
        <v>12603</v>
      </c>
      <c r="C1088" s="76" t="s">
        <v>218</v>
      </c>
      <c r="D1088" s="76" t="s">
        <v>914</v>
      </c>
      <c r="E1088" s="76" t="s">
        <v>899</v>
      </c>
      <c r="F1088" s="76" t="s">
        <v>888</v>
      </c>
      <c r="G1088" s="76">
        <v>5</v>
      </c>
      <c r="O1088" s="92"/>
    </row>
    <row r="1089" spans="1:15" x14ac:dyDescent="0.25">
      <c r="A1089" s="1">
        <v>1084</v>
      </c>
      <c r="B1089" s="91">
        <v>12604</v>
      </c>
      <c r="C1089" s="76" t="s">
        <v>218</v>
      </c>
      <c r="D1089" s="76" t="s">
        <v>914</v>
      </c>
      <c r="E1089" s="76" t="s">
        <v>899</v>
      </c>
      <c r="F1089" s="76" t="s">
        <v>888</v>
      </c>
      <c r="G1089" s="76">
        <v>5</v>
      </c>
      <c r="O1089" s="92"/>
    </row>
    <row r="1090" spans="1:15" x14ac:dyDescent="0.25">
      <c r="A1090" s="1">
        <v>1085</v>
      </c>
      <c r="B1090" s="91">
        <v>12701</v>
      </c>
      <c r="C1090" s="76" t="s">
        <v>218</v>
      </c>
      <c r="D1090" s="76" t="s">
        <v>915</v>
      </c>
      <c r="E1090" s="76" t="s">
        <v>899</v>
      </c>
      <c r="F1090" s="76" t="s">
        <v>900</v>
      </c>
      <c r="G1090" s="76">
        <v>6</v>
      </c>
      <c r="O1090" s="92"/>
    </row>
    <row r="1091" spans="1:15" x14ac:dyDescent="0.25">
      <c r="A1091" s="1">
        <v>1086</v>
      </c>
      <c r="B1091" s="91">
        <v>12719</v>
      </c>
      <c r="C1091" s="76" t="s">
        <v>218</v>
      </c>
      <c r="D1091" s="76" t="s">
        <v>915</v>
      </c>
      <c r="E1091" s="76" t="s">
        <v>899</v>
      </c>
      <c r="F1091" s="76" t="s">
        <v>900</v>
      </c>
      <c r="G1091" s="76">
        <v>6</v>
      </c>
      <c r="O1091" s="92"/>
    </row>
    <row r="1092" spans="1:15" x14ac:dyDescent="0.25">
      <c r="A1092" s="1">
        <v>1087</v>
      </c>
      <c r="B1092" s="91">
        <v>12720</v>
      </c>
      <c r="C1092" s="76" t="s">
        <v>218</v>
      </c>
      <c r="D1092" s="76" t="s">
        <v>915</v>
      </c>
      <c r="E1092" s="76" t="s">
        <v>899</v>
      </c>
      <c r="F1092" s="76" t="s">
        <v>900</v>
      </c>
      <c r="G1092" s="76">
        <v>6</v>
      </c>
      <c r="O1092" s="92"/>
    </row>
    <row r="1093" spans="1:15" x14ac:dyDescent="0.25">
      <c r="A1093" s="1">
        <v>1088</v>
      </c>
      <c r="B1093" s="91">
        <v>12721</v>
      </c>
      <c r="C1093" s="76" t="s">
        <v>218</v>
      </c>
      <c r="D1093" s="76" t="s">
        <v>915</v>
      </c>
      <c r="E1093" s="76" t="s">
        <v>899</v>
      </c>
      <c r="F1093" s="76" t="s">
        <v>900</v>
      </c>
      <c r="G1093" s="76">
        <v>6</v>
      </c>
      <c r="O1093" s="92"/>
    </row>
    <row r="1094" spans="1:15" x14ac:dyDescent="0.25">
      <c r="A1094" s="1">
        <v>1089</v>
      </c>
      <c r="B1094" s="91">
        <v>12722</v>
      </c>
      <c r="C1094" s="76" t="s">
        <v>218</v>
      </c>
      <c r="D1094" s="76" t="s">
        <v>915</v>
      </c>
      <c r="E1094" s="76" t="s">
        <v>899</v>
      </c>
      <c r="F1094" s="76" t="s">
        <v>900</v>
      </c>
      <c r="G1094" s="76">
        <v>6</v>
      </c>
      <c r="O1094" s="92"/>
    </row>
    <row r="1095" spans="1:15" x14ac:dyDescent="0.25">
      <c r="A1095" s="1">
        <v>1090</v>
      </c>
      <c r="B1095" s="91">
        <v>12723</v>
      </c>
      <c r="C1095" s="76" t="s">
        <v>218</v>
      </c>
      <c r="D1095" s="76" t="s">
        <v>915</v>
      </c>
      <c r="E1095" s="76" t="s">
        <v>899</v>
      </c>
      <c r="F1095" s="76" t="s">
        <v>900</v>
      </c>
      <c r="G1095" s="76">
        <v>6</v>
      </c>
      <c r="O1095" s="92"/>
    </row>
    <row r="1096" spans="1:15" x14ac:dyDescent="0.25">
      <c r="A1096" s="1">
        <v>1091</v>
      </c>
      <c r="B1096" s="91">
        <v>12724</v>
      </c>
      <c r="C1096" s="76" t="s">
        <v>218</v>
      </c>
      <c r="D1096" s="76" t="s">
        <v>915</v>
      </c>
      <c r="E1096" s="76" t="s">
        <v>899</v>
      </c>
      <c r="F1096" s="76" t="s">
        <v>900</v>
      </c>
      <c r="G1096" s="76">
        <v>6</v>
      </c>
      <c r="O1096" s="92"/>
    </row>
    <row r="1097" spans="1:15" x14ac:dyDescent="0.25">
      <c r="A1097" s="1">
        <v>1092</v>
      </c>
      <c r="B1097" s="91">
        <v>12725</v>
      </c>
      <c r="C1097" s="76" t="s">
        <v>218</v>
      </c>
      <c r="D1097" s="76" t="s">
        <v>913</v>
      </c>
      <c r="E1097" s="76" t="s">
        <v>899</v>
      </c>
      <c r="F1097" s="76" t="s">
        <v>888</v>
      </c>
      <c r="G1097" s="76">
        <v>6</v>
      </c>
      <c r="O1097" s="92"/>
    </row>
    <row r="1098" spans="1:15" x14ac:dyDescent="0.25">
      <c r="A1098" s="1">
        <v>1093</v>
      </c>
      <c r="B1098" s="91">
        <v>12726</v>
      </c>
      <c r="C1098" s="76" t="s">
        <v>218</v>
      </c>
      <c r="D1098" s="76" t="s">
        <v>915</v>
      </c>
      <c r="E1098" s="76" t="s">
        <v>899</v>
      </c>
      <c r="F1098" s="76" t="s">
        <v>900</v>
      </c>
      <c r="G1098" s="76">
        <v>6</v>
      </c>
      <c r="O1098" s="92"/>
    </row>
    <row r="1099" spans="1:15" x14ac:dyDescent="0.25">
      <c r="A1099" s="1">
        <v>1094</v>
      </c>
      <c r="B1099" s="91">
        <v>12727</v>
      </c>
      <c r="C1099" s="76" t="s">
        <v>218</v>
      </c>
      <c r="D1099" s="76" t="s">
        <v>915</v>
      </c>
      <c r="E1099" s="76" t="s">
        <v>899</v>
      </c>
      <c r="F1099" s="76" t="s">
        <v>900</v>
      </c>
      <c r="G1099" s="76">
        <v>6</v>
      </c>
      <c r="O1099" s="92"/>
    </row>
    <row r="1100" spans="1:15" x14ac:dyDescent="0.25">
      <c r="A1100" s="1">
        <v>1095</v>
      </c>
      <c r="B1100" s="91">
        <v>12729</v>
      </c>
      <c r="C1100" s="76" t="s">
        <v>218</v>
      </c>
      <c r="D1100" s="76" t="s">
        <v>895</v>
      </c>
      <c r="E1100" s="76" t="s">
        <v>899</v>
      </c>
      <c r="F1100" s="76" t="s">
        <v>888</v>
      </c>
      <c r="G1100" s="76">
        <v>5</v>
      </c>
      <c r="O1100" s="92"/>
    </row>
    <row r="1101" spans="1:15" x14ac:dyDescent="0.25">
      <c r="A1101" s="1">
        <v>1096</v>
      </c>
      <c r="B1101" s="91">
        <v>12732</v>
      </c>
      <c r="C1101" s="76" t="s">
        <v>218</v>
      </c>
      <c r="D1101" s="76" t="s">
        <v>915</v>
      </c>
      <c r="E1101" s="76" t="s">
        <v>899</v>
      </c>
      <c r="F1101" s="76" t="s">
        <v>900</v>
      </c>
      <c r="G1101" s="76">
        <v>6</v>
      </c>
      <c r="O1101" s="92"/>
    </row>
    <row r="1102" spans="1:15" x14ac:dyDescent="0.25">
      <c r="A1102" s="1">
        <v>1097</v>
      </c>
      <c r="B1102" s="91">
        <v>12733</v>
      </c>
      <c r="C1102" s="76" t="s">
        <v>218</v>
      </c>
      <c r="D1102" s="76" t="s">
        <v>915</v>
      </c>
      <c r="E1102" s="76" t="s">
        <v>899</v>
      </c>
      <c r="F1102" s="76" t="s">
        <v>900</v>
      </c>
      <c r="G1102" s="76">
        <v>6</v>
      </c>
      <c r="O1102" s="92"/>
    </row>
    <row r="1103" spans="1:15" x14ac:dyDescent="0.25">
      <c r="A1103" s="1">
        <v>1098</v>
      </c>
      <c r="B1103" s="91">
        <v>12734</v>
      </c>
      <c r="C1103" s="76" t="s">
        <v>218</v>
      </c>
      <c r="D1103" s="76" t="s">
        <v>915</v>
      </c>
      <c r="E1103" s="76" t="s">
        <v>899</v>
      </c>
      <c r="F1103" s="76" t="s">
        <v>900</v>
      </c>
      <c r="G1103" s="76">
        <v>6</v>
      </c>
      <c r="O1103" s="92"/>
    </row>
    <row r="1104" spans="1:15" x14ac:dyDescent="0.25">
      <c r="A1104" s="1">
        <v>1099</v>
      </c>
      <c r="B1104" s="91">
        <v>12736</v>
      </c>
      <c r="C1104" s="76" t="s">
        <v>218</v>
      </c>
      <c r="D1104" s="76" t="s">
        <v>915</v>
      </c>
      <c r="E1104" s="76" t="s">
        <v>899</v>
      </c>
      <c r="F1104" s="76" t="s">
        <v>900</v>
      </c>
      <c r="G1104" s="76">
        <v>6</v>
      </c>
      <c r="O1104" s="92"/>
    </row>
    <row r="1105" spans="1:15" x14ac:dyDescent="0.25">
      <c r="A1105" s="1">
        <v>1100</v>
      </c>
      <c r="B1105" s="91">
        <v>12737</v>
      </c>
      <c r="C1105" s="76" t="s">
        <v>218</v>
      </c>
      <c r="D1105" s="76" t="s">
        <v>915</v>
      </c>
      <c r="E1105" s="76" t="s">
        <v>899</v>
      </c>
      <c r="F1105" s="76" t="s">
        <v>900</v>
      </c>
      <c r="G1105" s="76">
        <v>6</v>
      </c>
      <c r="O1105" s="92"/>
    </row>
    <row r="1106" spans="1:15" x14ac:dyDescent="0.25">
      <c r="A1106" s="1">
        <v>1101</v>
      </c>
      <c r="B1106" s="91">
        <v>12738</v>
      </c>
      <c r="C1106" s="76" t="s">
        <v>218</v>
      </c>
      <c r="D1106" s="76" t="s">
        <v>915</v>
      </c>
      <c r="E1106" s="76" t="s">
        <v>899</v>
      </c>
      <c r="F1106" s="76" t="s">
        <v>900</v>
      </c>
      <c r="G1106" s="76">
        <v>6</v>
      </c>
      <c r="O1106" s="92"/>
    </row>
    <row r="1107" spans="1:15" x14ac:dyDescent="0.25">
      <c r="A1107" s="1">
        <v>1102</v>
      </c>
      <c r="B1107" s="91">
        <v>12740</v>
      </c>
      <c r="C1107" s="76" t="s">
        <v>218</v>
      </c>
      <c r="D1107" s="76" t="s">
        <v>915</v>
      </c>
      <c r="E1107" s="76" t="s">
        <v>899</v>
      </c>
      <c r="F1107" s="76" t="s">
        <v>900</v>
      </c>
      <c r="G1107" s="76">
        <v>6</v>
      </c>
      <c r="O1107" s="92"/>
    </row>
    <row r="1108" spans="1:15" x14ac:dyDescent="0.25">
      <c r="A1108" s="1">
        <v>1103</v>
      </c>
      <c r="B1108" s="91">
        <v>12741</v>
      </c>
      <c r="C1108" s="76" t="s">
        <v>218</v>
      </c>
      <c r="D1108" s="76" t="s">
        <v>915</v>
      </c>
      <c r="E1108" s="76" t="s">
        <v>899</v>
      </c>
      <c r="F1108" s="76" t="s">
        <v>900</v>
      </c>
      <c r="G1108" s="76">
        <v>6</v>
      </c>
      <c r="O1108" s="92"/>
    </row>
    <row r="1109" spans="1:15" x14ac:dyDescent="0.25">
      <c r="A1109" s="1">
        <v>1104</v>
      </c>
      <c r="B1109" s="91">
        <v>12742</v>
      </c>
      <c r="C1109" s="76" t="s">
        <v>218</v>
      </c>
      <c r="D1109" s="76" t="s">
        <v>915</v>
      </c>
      <c r="E1109" s="76" t="s">
        <v>899</v>
      </c>
      <c r="F1109" s="76" t="s">
        <v>900</v>
      </c>
      <c r="G1109" s="76">
        <v>6</v>
      </c>
      <c r="O1109" s="92"/>
    </row>
    <row r="1110" spans="1:15" x14ac:dyDescent="0.25">
      <c r="A1110" s="1">
        <v>1105</v>
      </c>
      <c r="B1110" s="91">
        <v>12743</v>
      </c>
      <c r="C1110" s="76" t="s">
        <v>218</v>
      </c>
      <c r="D1110" s="76" t="s">
        <v>915</v>
      </c>
      <c r="E1110" s="76" t="s">
        <v>899</v>
      </c>
      <c r="F1110" s="76" t="s">
        <v>900</v>
      </c>
      <c r="G1110" s="76">
        <v>6</v>
      </c>
      <c r="O1110" s="92"/>
    </row>
    <row r="1111" spans="1:15" x14ac:dyDescent="0.25">
      <c r="A1111" s="1">
        <v>1106</v>
      </c>
      <c r="B1111" s="91">
        <v>12745</v>
      </c>
      <c r="C1111" s="76" t="s">
        <v>218</v>
      </c>
      <c r="D1111" s="76" t="s">
        <v>915</v>
      </c>
      <c r="E1111" s="76" t="s">
        <v>899</v>
      </c>
      <c r="F1111" s="76" t="s">
        <v>900</v>
      </c>
      <c r="G1111" s="76">
        <v>6</v>
      </c>
      <c r="O1111" s="92"/>
    </row>
    <row r="1112" spans="1:15" x14ac:dyDescent="0.25">
      <c r="A1112" s="1">
        <v>1107</v>
      </c>
      <c r="B1112" s="91">
        <v>12746</v>
      </c>
      <c r="C1112" s="76" t="s">
        <v>218</v>
      </c>
      <c r="D1112" s="76" t="s">
        <v>895</v>
      </c>
      <c r="E1112" s="76" t="s">
        <v>899</v>
      </c>
      <c r="F1112" s="76" t="s">
        <v>888</v>
      </c>
      <c r="G1112" s="76">
        <v>5</v>
      </c>
      <c r="O1112" s="92"/>
    </row>
    <row r="1113" spans="1:15" x14ac:dyDescent="0.25">
      <c r="A1113" s="1">
        <v>1108</v>
      </c>
      <c r="B1113" s="91">
        <v>12747</v>
      </c>
      <c r="C1113" s="76" t="s">
        <v>218</v>
      </c>
      <c r="D1113" s="76" t="s">
        <v>915</v>
      </c>
      <c r="E1113" s="76" t="s">
        <v>899</v>
      </c>
      <c r="F1113" s="76" t="s">
        <v>900</v>
      </c>
      <c r="G1113" s="76">
        <v>6</v>
      </c>
      <c r="O1113" s="92"/>
    </row>
    <row r="1114" spans="1:15" x14ac:dyDescent="0.25">
      <c r="A1114" s="1">
        <v>1109</v>
      </c>
      <c r="B1114" s="91">
        <v>12748</v>
      </c>
      <c r="C1114" s="76" t="s">
        <v>218</v>
      </c>
      <c r="D1114" s="76" t="s">
        <v>915</v>
      </c>
      <c r="E1114" s="76" t="s">
        <v>899</v>
      </c>
      <c r="F1114" s="76" t="s">
        <v>900</v>
      </c>
      <c r="G1114" s="76">
        <v>6</v>
      </c>
      <c r="O1114" s="92"/>
    </row>
    <row r="1115" spans="1:15" x14ac:dyDescent="0.25">
      <c r="A1115" s="1">
        <v>1110</v>
      </c>
      <c r="B1115" s="91">
        <v>12749</v>
      </c>
      <c r="C1115" s="76" t="s">
        <v>218</v>
      </c>
      <c r="D1115" s="76" t="s">
        <v>915</v>
      </c>
      <c r="E1115" s="76" t="s">
        <v>899</v>
      </c>
      <c r="F1115" s="76" t="s">
        <v>900</v>
      </c>
      <c r="G1115" s="76">
        <v>6</v>
      </c>
      <c r="O1115" s="92"/>
    </row>
    <row r="1116" spans="1:15" x14ac:dyDescent="0.25">
      <c r="A1116" s="1">
        <v>1111</v>
      </c>
      <c r="B1116" s="91">
        <v>12750</v>
      </c>
      <c r="C1116" s="76" t="s">
        <v>218</v>
      </c>
      <c r="D1116" s="76" t="s">
        <v>915</v>
      </c>
      <c r="E1116" s="76" t="s">
        <v>899</v>
      </c>
      <c r="F1116" s="76" t="s">
        <v>900</v>
      </c>
      <c r="G1116" s="76">
        <v>6</v>
      </c>
      <c r="O1116" s="92"/>
    </row>
    <row r="1117" spans="1:15" x14ac:dyDescent="0.25">
      <c r="A1117" s="1">
        <v>1112</v>
      </c>
      <c r="B1117" s="91">
        <v>12751</v>
      </c>
      <c r="C1117" s="76" t="s">
        <v>218</v>
      </c>
      <c r="D1117" s="76" t="s">
        <v>915</v>
      </c>
      <c r="E1117" s="76" t="s">
        <v>899</v>
      </c>
      <c r="F1117" s="76" t="s">
        <v>900</v>
      </c>
      <c r="G1117" s="76">
        <v>6</v>
      </c>
      <c r="O1117" s="92"/>
    </row>
    <row r="1118" spans="1:15" x14ac:dyDescent="0.25">
      <c r="A1118" s="1">
        <v>1113</v>
      </c>
      <c r="B1118" s="91">
        <v>12752</v>
      </c>
      <c r="C1118" s="76" t="s">
        <v>218</v>
      </c>
      <c r="D1118" s="76" t="s">
        <v>915</v>
      </c>
      <c r="E1118" s="76" t="s">
        <v>899</v>
      </c>
      <c r="F1118" s="76" t="s">
        <v>900</v>
      </c>
      <c r="G1118" s="76">
        <v>6</v>
      </c>
      <c r="O1118" s="92"/>
    </row>
    <row r="1119" spans="1:15" x14ac:dyDescent="0.25">
      <c r="A1119" s="1">
        <v>1114</v>
      </c>
      <c r="B1119" s="91">
        <v>12754</v>
      </c>
      <c r="C1119" s="76" t="s">
        <v>218</v>
      </c>
      <c r="D1119" s="76" t="s">
        <v>915</v>
      </c>
      <c r="E1119" s="76" t="s">
        <v>899</v>
      </c>
      <c r="F1119" s="76" t="s">
        <v>900</v>
      </c>
      <c r="G1119" s="76">
        <v>6</v>
      </c>
      <c r="O1119" s="92"/>
    </row>
    <row r="1120" spans="1:15" x14ac:dyDescent="0.25">
      <c r="A1120" s="1">
        <v>1115</v>
      </c>
      <c r="B1120" s="91">
        <v>12758</v>
      </c>
      <c r="C1120" s="76" t="s">
        <v>218</v>
      </c>
      <c r="D1120" s="76" t="s">
        <v>915</v>
      </c>
      <c r="E1120" s="76" t="s">
        <v>899</v>
      </c>
      <c r="F1120" s="76" t="s">
        <v>900</v>
      </c>
      <c r="G1120" s="76">
        <v>6</v>
      </c>
      <c r="O1120" s="92"/>
    </row>
    <row r="1121" spans="1:15" x14ac:dyDescent="0.25">
      <c r="A1121" s="1">
        <v>1116</v>
      </c>
      <c r="B1121" s="91">
        <v>12759</v>
      </c>
      <c r="C1121" s="76" t="s">
        <v>218</v>
      </c>
      <c r="D1121" s="76" t="s">
        <v>915</v>
      </c>
      <c r="E1121" s="76" t="s">
        <v>899</v>
      </c>
      <c r="F1121" s="76" t="s">
        <v>900</v>
      </c>
      <c r="G1121" s="76">
        <v>6</v>
      </c>
      <c r="O1121" s="92"/>
    </row>
    <row r="1122" spans="1:15" x14ac:dyDescent="0.25">
      <c r="A1122" s="1">
        <v>1117</v>
      </c>
      <c r="B1122" s="91">
        <v>12760</v>
      </c>
      <c r="C1122" s="76" t="s">
        <v>212</v>
      </c>
      <c r="D1122" s="76" t="s">
        <v>912</v>
      </c>
      <c r="E1122" s="76" t="s">
        <v>899</v>
      </c>
      <c r="F1122" s="76" t="s">
        <v>900</v>
      </c>
      <c r="G1122" s="76">
        <v>6</v>
      </c>
      <c r="O1122" s="92"/>
    </row>
    <row r="1123" spans="1:15" x14ac:dyDescent="0.25">
      <c r="A1123" s="1">
        <v>1118</v>
      </c>
      <c r="B1123" s="91">
        <v>12762</v>
      </c>
      <c r="C1123" s="76" t="s">
        <v>218</v>
      </c>
      <c r="D1123" s="76" t="s">
        <v>915</v>
      </c>
      <c r="E1123" s="76" t="s">
        <v>899</v>
      </c>
      <c r="F1123" s="76" t="s">
        <v>900</v>
      </c>
      <c r="G1123" s="76">
        <v>6</v>
      </c>
      <c r="O1123" s="92"/>
    </row>
    <row r="1124" spans="1:15" x14ac:dyDescent="0.25">
      <c r="A1124" s="1">
        <v>1119</v>
      </c>
      <c r="B1124" s="91">
        <v>12763</v>
      </c>
      <c r="C1124" s="76" t="s">
        <v>218</v>
      </c>
      <c r="D1124" s="76" t="s">
        <v>915</v>
      </c>
      <c r="E1124" s="76" t="s">
        <v>899</v>
      </c>
      <c r="F1124" s="76" t="s">
        <v>900</v>
      </c>
      <c r="G1124" s="76">
        <v>6</v>
      </c>
      <c r="O1124" s="92"/>
    </row>
    <row r="1125" spans="1:15" x14ac:dyDescent="0.25">
      <c r="A1125" s="1">
        <v>1120</v>
      </c>
      <c r="B1125" s="91">
        <v>12764</v>
      </c>
      <c r="C1125" s="76" t="s">
        <v>218</v>
      </c>
      <c r="D1125" s="76" t="s">
        <v>915</v>
      </c>
      <c r="E1125" s="76" t="s">
        <v>899</v>
      </c>
      <c r="F1125" s="76" t="s">
        <v>900</v>
      </c>
      <c r="G1125" s="76">
        <v>6</v>
      </c>
      <c r="O1125" s="92"/>
    </row>
    <row r="1126" spans="1:15" x14ac:dyDescent="0.25">
      <c r="A1126" s="1">
        <v>1121</v>
      </c>
      <c r="B1126" s="91">
        <v>12765</v>
      </c>
      <c r="C1126" s="76" t="s">
        <v>218</v>
      </c>
      <c r="D1126" s="76" t="s">
        <v>915</v>
      </c>
      <c r="E1126" s="76" t="s">
        <v>899</v>
      </c>
      <c r="F1126" s="76" t="s">
        <v>900</v>
      </c>
      <c r="G1126" s="76">
        <v>6</v>
      </c>
      <c r="O1126" s="92"/>
    </row>
    <row r="1127" spans="1:15" x14ac:dyDescent="0.25">
      <c r="A1127" s="1">
        <v>1122</v>
      </c>
      <c r="B1127" s="91">
        <v>12766</v>
      </c>
      <c r="C1127" s="76" t="s">
        <v>218</v>
      </c>
      <c r="D1127" s="76" t="s">
        <v>915</v>
      </c>
      <c r="E1127" s="76" t="s">
        <v>899</v>
      </c>
      <c r="F1127" s="76" t="s">
        <v>900</v>
      </c>
      <c r="G1127" s="76">
        <v>6</v>
      </c>
      <c r="O1127" s="92"/>
    </row>
    <row r="1128" spans="1:15" x14ac:dyDescent="0.25">
      <c r="A1128" s="1">
        <v>1123</v>
      </c>
      <c r="B1128" s="91">
        <v>12767</v>
      </c>
      <c r="C1128" s="76" t="s">
        <v>218</v>
      </c>
      <c r="D1128" s="76" t="s">
        <v>915</v>
      </c>
      <c r="E1128" s="76" t="s">
        <v>899</v>
      </c>
      <c r="F1128" s="76" t="s">
        <v>900</v>
      </c>
      <c r="G1128" s="76">
        <v>6</v>
      </c>
      <c r="O1128" s="92"/>
    </row>
    <row r="1129" spans="1:15" x14ac:dyDescent="0.25">
      <c r="A1129" s="1">
        <v>1124</v>
      </c>
      <c r="B1129" s="91">
        <v>12768</v>
      </c>
      <c r="C1129" s="76" t="s">
        <v>218</v>
      </c>
      <c r="D1129" s="76" t="s">
        <v>915</v>
      </c>
      <c r="E1129" s="76" t="s">
        <v>899</v>
      </c>
      <c r="F1129" s="76" t="s">
        <v>900</v>
      </c>
      <c r="G1129" s="76">
        <v>6</v>
      </c>
      <c r="O1129" s="92"/>
    </row>
    <row r="1130" spans="1:15" x14ac:dyDescent="0.25">
      <c r="A1130" s="1">
        <v>1125</v>
      </c>
      <c r="B1130" s="91">
        <v>12769</v>
      </c>
      <c r="C1130" s="76" t="s">
        <v>218</v>
      </c>
      <c r="D1130" s="76" t="s">
        <v>915</v>
      </c>
      <c r="E1130" s="76" t="s">
        <v>899</v>
      </c>
      <c r="F1130" s="76" t="s">
        <v>900</v>
      </c>
      <c r="G1130" s="76">
        <v>6</v>
      </c>
      <c r="O1130" s="92"/>
    </row>
    <row r="1131" spans="1:15" x14ac:dyDescent="0.25">
      <c r="A1131" s="1">
        <v>1126</v>
      </c>
      <c r="B1131" s="91">
        <v>12770</v>
      </c>
      <c r="C1131" s="76" t="s">
        <v>218</v>
      </c>
      <c r="D1131" s="76" t="s">
        <v>915</v>
      </c>
      <c r="E1131" s="76" t="s">
        <v>899</v>
      </c>
      <c r="F1131" s="76" t="s">
        <v>900</v>
      </c>
      <c r="G1131" s="76">
        <v>6</v>
      </c>
      <c r="O1131" s="92"/>
    </row>
    <row r="1132" spans="1:15" x14ac:dyDescent="0.25">
      <c r="A1132" s="1">
        <v>1127</v>
      </c>
      <c r="B1132" s="91">
        <v>12771</v>
      </c>
      <c r="C1132" s="76" t="s">
        <v>218</v>
      </c>
      <c r="D1132" s="76" t="s">
        <v>895</v>
      </c>
      <c r="E1132" s="76" t="s">
        <v>899</v>
      </c>
      <c r="F1132" s="76" t="s">
        <v>888</v>
      </c>
      <c r="G1132" s="76">
        <v>5</v>
      </c>
      <c r="O1132" s="92"/>
    </row>
    <row r="1133" spans="1:15" x14ac:dyDescent="0.25">
      <c r="A1133" s="1">
        <v>1128</v>
      </c>
      <c r="B1133" s="91">
        <v>12775</v>
      </c>
      <c r="C1133" s="76" t="s">
        <v>218</v>
      </c>
      <c r="D1133" s="76" t="s">
        <v>915</v>
      </c>
      <c r="E1133" s="76" t="s">
        <v>899</v>
      </c>
      <c r="F1133" s="76" t="s">
        <v>900</v>
      </c>
      <c r="G1133" s="76">
        <v>6</v>
      </c>
      <c r="O1133" s="92"/>
    </row>
    <row r="1134" spans="1:15" x14ac:dyDescent="0.25">
      <c r="A1134" s="1">
        <v>1129</v>
      </c>
      <c r="B1134" s="91">
        <v>12776</v>
      </c>
      <c r="C1134" s="76" t="s">
        <v>218</v>
      </c>
      <c r="D1134" s="76" t="s">
        <v>915</v>
      </c>
      <c r="E1134" s="76" t="s">
        <v>899</v>
      </c>
      <c r="F1134" s="76" t="s">
        <v>900</v>
      </c>
      <c r="G1134" s="76">
        <v>6</v>
      </c>
      <c r="O1134" s="92"/>
    </row>
    <row r="1135" spans="1:15" x14ac:dyDescent="0.25">
      <c r="A1135" s="1">
        <v>1130</v>
      </c>
      <c r="B1135" s="91">
        <v>12777</v>
      </c>
      <c r="C1135" s="76" t="s">
        <v>218</v>
      </c>
      <c r="D1135" s="76" t="s">
        <v>915</v>
      </c>
      <c r="E1135" s="76" t="s">
        <v>899</v>
      </c>
      <c r="F1135" s="76" t="s">
        <v>900</v>
      </c>
      <c r="G1135" s="76">
        <v>6</v>
      </c>
      <c r="O1135" s="92"/>
    </row>
    <row r="1136" spans="1:15" x14ac:dyDescent="0.25">
      <c r="A1136" s="1">
        <v>1131</v>
      </c>
      <c r="B1136" s="91">
        <v>12778</v>
      </c>
      <c r="C1136" s="76" t="s">
        <v>218</v>
      </c>
      <c r="D1136" s="76" t="s">
        <v>915</v>
      </c>
      <c r="E1136" s="76" t="s">
        <v>899</v>
      </c>
      <c r="F1136" s="76" t="s">
        <v>900</v>
      </c>
      <c r="G1136" s="76">
        <v>6</v>
      </c>
      <c r="O1136" s="92"/>
    </row>
    <row r="1137" spans="1:15" x14ac:dyDescent="0.25">
      <c r="A1137" s="1">
        <v>1132</v>
      </c>
      <c r="B1137" s="91">
        <v>12779</v>
      </c>
      <c r="C1137" s="76" t="s">
        <v>218</v>
      </c>
      <c r="D1137" s="76" t="s">
        <v>915</v>
      </c>
      <c r="E1137" s="76" t="s">
        <v>899</v>
      </c>
      <c r="F1137" s="76" t="s">
        <v>900</v>
      </c>
      <c r="G1137" s="76">
        <v>6</v>
      </c>
      <c r="O1137" s="92"/>
    </row>
    <row r="1138" spans="1:15" x14ac:dyDescent="0.25">
      <c r="A1138" s="1">
        <v>1133</v>
      </c>
      <c r="B1138" s="91">
        <v>12780</v>
      </c>
      <c r="C1138" s="76" t="s">
        <v>218</v>
      </c>
      <c r="D1138" s="76" t="s">
        <v>895</v>
      </c>
      <c r="E1138" s="76" t="s">
        <v>899</v>
      </c>
      <c r="F1138" s="76" t="s">
        <v>888</v>
      </c>
      <c r="G1138" s="76">
        <v>5</v>
      </c>
      <c r="O1138" s="92"/>
    </row>
    <row r="1139" spans="1:15" x14ac:dyDescent="0.25">
      <c r="A1139" s="1">
        <v>1134</v>
      </c>
      <c r="B1139" s="91">
        <v>12781</v>
      </c>
      <c r="C1139" s="76" t="s">
        <v>218</v>
      </c>
      <c r="D1139" s="76" t="s">
        <v>915</v>
      </c>
      <c r="E1139" s="76" t="s">
        <v>899</v>
      </c>
      <c r="F1139" s="76" t="s">
        <v>900</v>
      </c>
      <c r="G1139" s="76">
        <v>6</v>
      </c>
      <c r="O1139" s="92"/>
    </row>
    <row r="1140" spans="1:15" x14ac:dyDescent="0.25">
      <c r="A1140" s="1">
        <v>1135</v>
      </c>
      <c r="B1140" s="91">
        <v>12783</v>
      </c>
      <c r="C1140" s="76" t="s">
        <v>218</v>
      </c>
      <c r="D1140" s="76" t="s">
        <v>915</v>
      </c>
      <c r="E1140" s="76" t="s">
        <v>899</v>
      </c>
      <c r="F1140" s="76" t="s">
        <v>900</v>
      </c>
      <c r="G1140" s="76">
        <v>6</v>
      </c>
      <c r="O1140" s="92"/>
    </row>
    <row r="1141" spans="1:15" x14ac:dyDescent="0.25">
      <c r="A1141" s="1">
        <v>1136</v>
      </c>
      <c r="B1141" s="91">
        <v>12784</v>
      </c>
      <c r="C1141" s="76" t="s">
        <v>218</v>
      </c>
      <c r="D1141" s="76" t="s">
        <v>915</v>
      </c>
      <c r="E1141" s="76" t="s">
        <v>899</v>
      </c>
      <c r="F1141" s="76" t="s">
        <v>900</v>
      </c>
      <c r="G1141" s="76">
        <v>6</v>
      </c>
      <c r="O1141" s="92"/>
    </row>
    <row r="1142" spans="1:15" x14ac:dyDescent="0.25">
      <c r="A1142" s="1">
        <v>1137</v>
      </c>
      <c r="B1142" s="91">
        <v>12785</v>
      </c>
      <c r="C1142" s="76" t="s">
        <v>218</v>
      </c>
      <c r="D1142" s="76" t="s">
        <v>895</v>
      </c>
      <c r="E1142" s="76" t="s">
        <v>899</v>
      </c>
      <c r="F1142" s="76" t="s">
        <v>900</v>
      </c>
      <c r="G1142" s="76">
        <v>5</v>
      </c>
      <c r="O1142" s="92"/>
    </row>
    <row r="1143" spans="1:15" x14ac:dyDescent="0.25">
      <c r="A1143" s="1">
        <v>1138</v>
      </c>
      <c r="B1143" s="91">
        <v>12786</v>
      </c>
      <c r="C1143" s="76" t="s">
        <v>218</v>
      </c>
      <c r="D1143" s="76" t="s">
        <v>915</v>
      </c>
      <c r="E1143" s="76" t="s">
        <v>899</v>
      </c>
      <c r="F1143" s="76" t="s">
        <v>900</v>
      </c>
      <c r="G1143" s="76">
        <v>6</v>
      </c>
      <c r="O1143" s="92"/>
    </row>
    <row r="1144" spans="1:15" x14ac:dyDescent="0.25">
      <c r="A1144" s="1">
        <v>1139</v>
      </c>
      <c r="B1144" s="91">
        <v>12787</v>
      </c>
      <c r="C1144" s="76" t="s">
        <v>218</v>
      </c>
      <c r="D1144" s="76" t="s">
        <v>915</v>
      </c>
      <c r="E1144" s="76" t="s">
        <v>899</v>
      </c>
      <c r="F1144" s="76" t="s">
        <v>900</v>
      </c>
      <c r="G1144" s="76">
        <v>6</v>
      </c>
      <c r="O1144" s="92"/>
    </row>
    <row r="1145" spans="1:15" x14ac:dyDescent="0.25">
      <c r="A1145" s="1">
        <v>1140</v>
      </c>
      <c r="B1145" s="91">
        <v>12788</v>
      </c>
      <c r="C1145" s="76" t="s">
        <v>218</v>
      </c>
      <c r="D1145" s="76" t="s">
        <v>915</v>
      </c>
      <c r="E1145" s="76" t="s">
        <v>899</v>
      </c>
      <c r="F1145" s="76" t="s">
        <v>900</v>
      </c>
      <c r="G1145" s="76">
        <v>6</v>
      </c>
      <c r="O1145" s="92"/>
    </row>
    <row r="1146" spans="1:15" x14ac:dyDescent="0.25">
      <c r="A1146" s="1">
        <v>1141</v>
      </c>
      <c r="B1146" s="91">
        <v>12789</v>
      </c>
      <c r="C1146" s="76" t="s">
        <v>218</v>
      </c>
      <c r="D1146" s="76" t="s">
        <v>915</v>
      </c>
      <c r="E1146" s="76" t="s">
        <v>899</v>
      </c>
      <c r="F1146" s="76" t="s">
        <v>900</v>
      </c>
      <c r="G1146" s="76">
        <v>6</v>
      </c>
      <c r="O1146" s="92"/>
    </row>
    <row r="1147" spans="1:15" x14ac:dyDescent="0.25">
      <c r="A1147" s="1">
        <v>1142</v>
      </c>
      <c r="B1147" s="91">
        <v>12790</v>
      </c>
      <c r="C1147" s="76" t="s">
        <v>218</v>
      </c>
      <c r="D1147" s="76" t="s">
        <v>915</v>
      </c>
      <c r="E1147" s="76" t="s">
        <v>899</v>
      </c>
      <c r="F1147" s="76" t="s">
        <v>900</v>
      </c>
      <c r="G1147" s="76">
        <v>6</v>
      </c>
      <c r="O1147" s="92"/>
    </row>
    <row r="1148" spans="1:15" x14ac:dyDescent="0.25">
      <c r="A1148" s="1">
        <v>1143</v>
      </c>
      <c r="B1148" s="91">
        <v>12791</v>
      </c>
      <c r="C1148" s="76" t="s">
        <v>218</v>
      </c>
      <c r="D1148" s="76" t="s">
        <v>915</v>
      </c>
      <c r="E1148" s="76" t="s">
        <v>899</v>
      </c>
      <c r="F1148" s="76" t="s">
        <v>900</v>
      </c>
      <c r="G1148" s="76">
        <v>6</v>
      </c>
      <c r="O1148" s="92"/>
    </row>
    <row r="1149" spans="1:15" x14ac:dyDescent="0.25">
      <c r="A1149" s="1">
        <v>1144</v>
      </c>
      <c r="B1149" s="91">
        <v>12792</v>
      </c>
      <c r="C1149" s="76" t="s">
        <v>218</v>
      </c>
      <c r="D1149" s="76" t="s">
        <v>915</v>
      </c>
      <c r="E1149" s="76" t="s">
        <v>899</v>
      </c>
      <c r="F1149" s="76" t="s">
        <v>900</v>
      </c>
      <c r="G1149" s="76">
        <v>6</v>
      </c>
      <c r="O1149" s="92"/>
    </row>
    <row r="1150" spans="1:15" x14ac:dyDescent="0.25">
      <c r="A1150" s="1">
        <v>1145</v>
      </c>
      <c r="B1150" s="91">
        <v>12801</v>
      </c>
      <c r="C1150" s="76" t="s">
        <v>211</v>
      </c>
      <c r="D1150" s="76" t="s">
        <v>916</v>
      </c>
      <c r="E1150" s="76" t="s">
        <v>899</v>
      </c>
      <c r="F1150" s="76" t="s">
        <v>900</v>
      </c>
      <c r="G1150" s="76">
        <v>6</v>
      </c>
      <c r="O1150" s="92"/>
    </row>
    <row r="1151" spans="1:15" x14ac:dyDescent="0.25">
      <c r="A1151" s="1">
        <v>1146</v>
      </c>
      <c r="B1151" s="91">
        <v>12803</v>
      </c>
      <c r="C1151" s="76" t="s">
        <v>211</v>
      </c>
      <c r="D1151" s="76" t="s">
        <v>906</v>
      </c>
      <c r="E1151" s="76" t="s">
        <v>899</v>
      </c>
      <c r="F1151" s="76" t="s">
        <v>900</v>
      </c>
      <c r="G1151" s="76">
        <v>5</v>
      </c>
      <c r="O1151" s="92"/>
    </row>
    <row r="1152" spans="1:15" x14ac:dyDescent="0.25">
      <c r="A1152" s="1">
        <v>1147</v>
      </c>
      <c r="B1152" s="91">
        <v>12804</v>
      </c>
      <c r="C1152" s="76" t="s">
        <v>211</v>
      </c>
      <c r="D1152" s="76" t="s">
        <v>916</v>
      </c>
      <c r="E1152" s="76" t="s">
        <v>899</v>
      </c>
      <c r="F1152" s="76" t="s">
        <v>900</v>
      </c>
      <c r="G1152" s="76">
        <v>6</v>
      </c>
      <c r="O1152" s="92"/>
    </row>
    <row r="1153" spans="1:15" x14ac:dyDescent="0.25">
      <c r="A1153" s="1">
        <v>1148</v>
      </c>
      <c r="B1153" s="91">
        <v>12808</v>
      </c>
      <c r="C1153" s="76" t="s">
        <v>211</v>
      </c>
      <c r="D1153" s="76" t="s">
        <v>916</v>
      </c>
      <c r="E1153" s="76" t="s">
        <v>899</v>
      </c>
      <c r="F1153" s="76" t="s">
        <v>900</v>
      </c>
      <c r="G1153" s="76">
        <v>6</v>
      </c>
      <c r="O1153" s="92"/>
    </row>
    <row r="1154" spans="1:15" x14ac:dyDescent="0.25">
      <c r="A1154" s="1">
        <v>1149</v>
      </c>
      <c r="B1154" s="91">
        <v>12809</v>
      </c>
      <c r="C1154" s="76" t="s">
        <v>211</v>
      </c>
      <c r="D1154" s="76" t="s">
        <v>909</v>
      </c>
      <c r="E1154" s="76" t="s">
        <v>899</v>
      </c>
      <c r="F1154" s="76" t="s">
        <v>900</v>
      </c>
      <c r="G1154" s="76">
        <v>5</v>
      </c>
      <c r="O1154" s="92"/>
    </row>
    <row r="1155" spans="1:15" x14ac:dyDescent="0.25">
      <c r="A1155" s="1">
        <v>1150</v>
      </c>
      <c r="B1155" s="91">
        <v>12810</v>
      </c>
      <c r="C1155" s="76" t="s">
        <v>211</v>
      </c>
      <c r="D1155" s="76" t="s">
        <v>916</v>
      </c>
      <c r="E1155" s="76" t="s">
        <v>899</v>
      </c>
      <c r="F1155" s="76" t="s">
        <v>900</v>
      </c>
      <c r="G1155" s="76">
        <v>6</v>
      </c>
      <c r="O1155" s="92"/>
    </row>
    <row r="1156" spans="1:15" x14ac:dyDescent="0.25">
      <c r="A1156" s="1">
        <v>1151</v>
      </c>
      <c r="B1156" s="91">
        <v>12811</v>
      </c>
      <c r="C1156" s="76" t="s">
        <v>211</v>
      </c>
      <c r="D1156" s="76" t="s">
        <v>916</v>
      </c>
      <c r="E1156" s="76" t="s">
        <v>899</v>
      </c>
      <c r="F1156" s="76" t="s">
        <v>900</v>
      </c>
      <c r="G1156" s="76">
        <v>6</v>
      </c>
      <c r="O1156" s="92"/>
    </row>
    <row r="1157" spans="1:15" x14ac:dyDescent="0.25">
      <c r="A1157" s="1">
        <v>1152</v>
      </c>
      <c r="B1157" s="91">
        <v>12812</v>
      </c>
      <c r="C1157" s="76" t="s">
        <v>214</v>
      </c>
      <c r="D1157" s="76" t="s">
        <v>911</v>
      </c>
      <c r="E1157" s="76" t="s">
        <v>899</v>
      </c>
      <c r="F1157" s="76" t="s">
        <v>900</v>
      </c>
      <c r="G1157" s="76">
        <v>6</v>
      </c>
      <c r="O1157" s="92"/>
    </row>
    <row r="1158" spans="1:15" x14ac:dyDescent="0.25">
      <c r="A1158" s="1">
        <v>1153</v>
      </c>
      <c r="B1158" s="91">
        <v>12814</v>
      </c>
      <c r="C1158" s="76" t="s">
        <v>211</v>
      </c>
      <c r="D1158" s="76" t="s">
        <v>916</v>
      </c>
      <c r="E1158" s="76" t="s">
        <v>899</v>
      </c>
      <c r="F1158" s="76" t="s">
        <v>900</v>
      </c>
      <c r="G1158" s="76">
        <v>6</v>
      </c>
      <c r="O1158" s="92"/>
    </row>
    <row r="1159" spans="1:15" x14ac:dyDescent="0.25">
      <c r="A1159" s="1">
        <v>1154</v>
      </c>
      <c r="B1159" s="91">
        <v>12815</v>
      </c>
      <c r="C1159" s="76" t="s">
        <v>211</v>
      </c>
      <c r="D1159" s="76" t="s">
        <v>916</v>
      </c>
      <c r="E1159" s="76" t="s">
        <v>899</v>
      </c>
      <c r="F1159" s="76" t="s">
        <v>900</v>
      </c>
      <c r="G1159" s="76">
        <v>6</v>
      </c>
      <c r="O1159" s="92"/>
    </row>
    <row r="1160" spans="1:15" x14ac:dyDescent="0.25">
      <c r="A1160" s="1">
        <v>1155</v>
      </c>
      <c r="B1160" s="91">
        <v>12816</v>
      </c>
      <c r="C1160" s="76" t="s">
        <v>211</v>
      </c>
      <c r="D1160" s="76" t="s">
        <v>909</v>
      </c>
      <c r="E1160" s="76" t="s">
        <v>899</v>
      </c>
      <c r="F1160" s="76" t="s">
        <v>900</v>
      </c>
      <c r="G1160" s="76">
        <v>5</v>
      </c>
      <c r="O1160" s="92"/>
    </row>
    <row r="1161" spans="1:15" x14ac:dyDescent="0.25">
      <c r="A1161" s="1">
        <v>1156</v>
      </c>
      <c r="B1161" s="91">
        <v>12817</v>
      </c>
      <c r="C1161" s="76" t="s">
        <v>211</v>
      </c>
      <c r="D1161" s="76" t="s">
        <v>916</v>
      </c>
      <c r="E1161" s="76" t="s">
        <v>899</v>
      </c>
      <c r="F1161" s="76" t="s">
        <v>900</v>
      </c>
      <c r="G1161" s="76">
        <v>6</v>
      </c>
      <c r="O1161" s="92"/>
    </row>
    <row r="1162" spans="1:15" x14ac:dyDescent="0.25">
      <c r="A1162" s="1">
        <v>1157</v>
      </c>
      <c r="B1162" s="91">
        <v>12819</v>
      </c>
      <c r="C1162" s="76" t="s">
        <v>211</v>
      </c>
      <c r="D1162" s="76" t="s">
        <v>909</v>
      </c>
      <c r="E1162" s="76" t="s">
        <v>899</v>
      </c>
      <c r="F1162" s="76" t="s">
        <v>900</v>
      </c>
      <c r="G1162" s="76">
        <v>5</v>
      </c>
      <c r="O1162" s="92"/>
    </row>
    <row r="1163" spans="1:15" x14ac:dyDescent="0.25">
      <c r="A1163" s="1">
        <v>1158</v>
      </c>
      <c r="B1163" s="91">
        <v>12820</v>
      </c>
      <c r="C1163" s="76" t="s">
        <v>211</v>
      </c>
      <c r="D1163" s="76" t="s">
        <v>916</v>
      </c>
      <c r="E1163" s="76" t="s">
        <v>899</v>
      </c>
      <c r="F1163" s="76" t="s">
        <v>900</v>
      </c>
      <c r="G1163" s="76">
        <v>6</v>
      </c>
      <c r="O1163" s="92"/>
    </row>
    <row r="1164" spans="1:15" x14ac:dyDescent="0.25">
      <c r="A1164" s="1">
        <v>1159</v>
      </c>
      <c r="B1164" s="91">
        <v>12821</v>
      </c>
      <c r="C1164" s="76" t="s">
        <v>211</v>
      </c>
      <c r="D1164" s="76" t="s">
        <v>909</v>
      </c>
      <c r="E1164" s="76" t="s">
        <v>899</v>
      </c>
      <c r="F1164" s="76" t="s">
        <v>900</v>
      </c>
      <c r="G1164" s="76">
        <v>5</v>
      </c>
      <c r="O1164" s="92"/>
    </row>
    <row r="1165" spans="1:15" x14ac:dyDescent="0.25">
      <c r="A1165" s="1">
        <v>1160</v>
      </c>
      <c r="B1165" s="91">
        <v>12822</v>
      </c>
      <c r="C1165" s="76" t="s">
        <v>211</v>
      </c>
      <c r="D1165" s="76" t="s">
        <v>906</v>
      </c>
      <c r="E1165" s="76" t="s">
        <v>899</v>
      </c>
      <c r="F1165" s="76" t="s">
        <v>900</v>
      </c>
      <c r="G1165" s="76">
        <v>5</v>
      </c>
      <c r="O1165" s="92"/>
    </row>
    <row r="1166" spans="1:15" x14ac:dyDescent="0.25">
      <c r="A1166" s="1">
        <v>1161</v>
      </c>
      <c r="B1166" s="91">
        <v>12823</v>
      </c>
      <c r="C1166" s="76" t="s">
        <v>211</v>
      </c>
      <c r="D1166" s="76" t="s">
        <v>909</v>
      </c>
      <c r="E1166" s="76" t="s">
        <v>899</v>
      </c>
      <c r="F1166" s="76" t="s">
        <v>900</v>
      </c>
      <c r="G1166" s="76">
        <v>5</v>
      </c>
      <c r="O1166" s="92"/>
    </row>
    <row r="1167" spans="1:15" x14ac:dyDescent="0.25">
      <c r="A1167" s="1">
        <v>1162</v>
      </c>
      <c r="B1167" s="91">
        <v>12824</v>
      </c>
      <c r="C1167" s="76" t="s">
        <v>211</v>
      </c>
      <c r="D1167" s="76" t="s">
        <v>916</v>
      </c>
      <c r="E1167" s="76" t="s">
        <v>899</v>
      </c>
      <c r="F1167" s="76" t="s">
        <v>900</v>
      </c>
      <c r="G1167" s="76">
        <v>6</v>
      </c>
      <c r="O1167" s="92"/>
    </row>
    <row r="1168" spans="1:15" x14ac:dyDescent="0.25">
      <c r="A1168" s="1">
        <v>1163</v>
      </c>
      <c r="B1168" s="91">
        <v>12827</v>
      </c>
      <c r="C1168" s="76" t="s">
        <v>211</v>
      </c>
      <c r="D1168" s="76" t="s">
        <v>909</v>
      </c>
      <c r="E1168" s="76" t="s">
        <v>899</v>
      </c>
      <c r="F1168" s="76" t="s">
        <v>900</v>
      </c>
      <c r="G1168" s="76">
        <v>5</v>
      </c>
      <c r="O1168" s="92"/>
    </row>
    <row r="1169" spans="1:15" x14ac:dyDescent="0.25">
      <c r="A1169" s="1">
        <v>1164</v>
      </c>
      <c r="B1169" s="91">
        <v>12828</v>
      </c>
      <c r="C1169" s="76" t="s">
        <v>211</v>
      </c>
      <c r="D1169" s="76" t="s">
        <v>909</v>
      </c>
      <c r="E1169" s="76" t="s">
        <v>899</v>
      </c>
      <c r="F1169" s="76" t="s">
        <v>900</v>
      </c>
      <c r="G1169" s="76">
        <v>5</v>
      </c>
      <c r="O1169" s="92"/>
    </row>
    <row r="1170" spans="1:15" x14ac:dyDescent="0.25">
      <c r="A1170" s="1">
        <v>1165</v>
      </c>
      <c r="B1170" s="91">
        <v>12831</v>
      </c>
      <c r="C1170" s="76" t="s">
        <v>211</v>
      </c>
      <c r="D1170" s="76" t="s">
        <v>906</v>
      </c>
      <c r="E1170" s="76" t="s">
        <v>899</v>
      </c>
      <c r="F1170" s="76" t="s">
        <v>900</v>
      </c>
      <c r="G1170" s="76">
        <v>5</v>
      </c>
      <c r="O1170" s="92"/>
    </row>
    <row r="1171" spans="1:15" x14ac:dyDescent="0.25">
      <c r="A1171" s="1">
        <v>1166</v>
      </c>
      <c r="B1171" s="91">
        <v>12832</v>
      </c>
      <c r="C1171" s="76" t="s">
        <v>211</v>
      </c>
      <c r="D1171" s="76" t="s">
        <v>909</v>
      </c>
      <c r="E1171" s="76" t="s">
        <v>899</v>
      </c>
      <c r="F1171" s="76" t="s">
        <v>900</v>
      </c>
      <c r="G1171" s="76">
        <v>5</v>
      </c>
      <c r="O1171" s="92"/>
    </row>
    <row r="1172" spans="1:15" x14ac:dyDescent="0.25">
      <c r="A1172" s="1">
        <v>1167</v>
      </c>
      <c r="B1172" s="91">
        <v>12833</v>
      </c>
      <c r="C1172" s="76" t="s">
        <v>211</v>
      </c>
      <c r="D1172" s="76" t="s">
        <v>906</v>
      </c>
      <c r="E1172" s="76" t="s">
        <v>899</v>
      </c>
      <c r="F1172" s="76" t="s">
        <v>900</v>
      </c>
      <c r="G1172" s="76">
        <v>5</v>
      </c>
      <c r="O1172" s="92"/>
    </row>
    <row r="1173" spans="1:15" x14ac:dyDescent="0.25">
      <c r="A1173" s="1">
        <v>1168</v>
      </c>
      <c r="B1173" s="91">
        <v>12834</v>
      </c>
      <c r="C1173" s="76" t="s">
        <v>211</v>
      </c>
      <c r="D1173" s="76" t="s">
        <v>909</v>
      </c>
      <c r="E1173" s="76" t="s">
        <v>899</v>
      </c>
      <c r="F1173" s="76" t="s">
        <v>900</v>
      </c>
      <c r="G1173" s="76">
        <v>5</v>
      </c>
      <c r="O1173" s="92"/>
    </row>
    <row r="1174" spans="1:15" x14ac:dyDescent="0.25">
      <c r="A1174" s="1">
        <v>1169</v>
      </c>
      <c r="B1174" s="91">
        <v>12835</v>
      </c>
      <c r="C1174" s="76" t="s">
        <v>211</v>
      </c>
      <c r="D1174" s="76" t="s">
        <v>906</v>
      </c>
      <c r="E1174" s="76" t="s">
        <v>899</v>
      </c>
      <c r="F1174" s="76" t="s">
        <v>900</v>
      </c>
      <c r="G1174" s="76">
        <v>5</v>
      </c>
      <c r="O1174" s="92"/>
    </row>
    <row r="1175" spans="1:15" x14ac:dyDescent="0.25">
      <c r="A1175" s="1">
        <v>1170</v>
      </c>
      <c r="B1175" s="91">
        <v>12836</v>
      </c>
      <c r="C1175" s="76" t="s">
        <v>211</v>
      </c>
      <c r="D1175" s="76" t="s">
        <v>916</v>
      </c>
      <c r="E1175" s="76" t="s">
        <v>899</v>
      </c>
      <c r="F1175" s="76" t="s">
        <v>900</v>
      </c>
      <c r="G1175" s="76">
        <v>6</v>
      </c>
      <c r="O1175" s="92"/>
    </row>
    <row r="1176" spans="1:15" x14ac:dyDescent="0.25">
      <c r="A1176" s="1">
        <v>1171</v>
      </c>
      <c r="B1176" s="91">
        <v>12837</v>
      </c>
      <c r="C1176" s="76" t="s">
        <v>211</v>
      </c>
      <c r="D1176" s="76" t="s">
        <v>909</v>
      </c>
      <c r="E1176" s="76" t="s">
        <v>899</v>
      </c>
      <c r="F1176" s="76" t="s">
        <v>900</v>
      </c>
      <c r="G1176" s="76">
        <v>5</v>
      </c>
      <c r="O1176" s="92"/>
    </row>
    <row r="1177" spans="1:15" x14ac:dyDescent="0.25">
      <c r="A1177" s="1">
        <v>1172</v>
      </c>
      <c r="B1177" s="91">
        <v>12838</v>
      </c>
      <c r="C1177" s="76" t="s">
        <v>211</v>
      </c>
      <c r="D1177" s="76" t="s">
        <v>909</v>
      </c>
      <c r="E1177" s="76" t="s">
        <v>899</v>
      </c>
      <c r="F1177" s="76" t="s">
        <v>900</v>
      </c>
      <c r="G1177" s="76">
        <v>5</v>
      </c>
      <c r="O1177" s="92"/>
    </row>
    <row r="1178" spans="1:15" x14ac:dyDescent="0.25">
      <c r="A1178" s="1">
        <v>1173</v>
      </c>
      <c r="B1178" s="91">
        <v>12839</v>
      </c>
      <c r="C1178" s="76" t="s">
        <v>211</v>
      </c>
      <c r="D1178" s="76" t="s">
        <v>909</v>
      </c>
      <c r="E1178" s="76" t="s">
        <v>899</v>
      </c>
      <c r="F1178" s="76" t="s">
        <v>900</v>
      </c>
      <c r="G1178" s="76">
        <v>5</v>
      </c>
      <c r="O1178" s="92"/>
    </row>
    <row r="1179" spans="1:15" x14ac:dyDescent="0.25">
      <c r="A1179" s="1">
        <v>1174</v>
      </c>
      <c r="B1179" s="91">
        <v>12841</v>
      </c>
      <c r="C1179" s="76" t="s">
        <v>211</v>
      </c>
      <c r="D1179" s="76" t="s">
        <v>909</v>
      </c>
      <c r="E1179" s="76" t="s">
        <v>899</v>
      </c>
      <c r="F1179" s="76" t="s">
        <v>900</v>
      </c>
      <c r="G1179" s="76">
        <v>5</v>
      </c>
      <c r="O1179" s="92"/>
    </row>
    <row r="1180" spans="1:15" x14ac:dyDescent="0.25">
      <c r="A1180" s="1">
        <v>1175</v>
      </c>
      <c r="B1180" s="91">
        <v>12842</v>
      </c>
      <c r="C1180" s="76" t="s">
        <v>214</v>
      </c>
      <c r="D1180" s="76" t="s">
        <v>911</v>
      </c>
      <c r="E1180" s="76" t="s">
        <v>899</v>
      </c>
      <c r="F1180" s="76" t="s">
        <v>900</v>
      </c>
      <c r="G1180" s="76">
        <v>6</v>
      </c>
      <c r="O1180" s="92"/>
    </row>
    <row r="1181" spans="1:15" x14ac:dyDescent="0.25">
      <c r="A1181" s="1">
        <v>1176</v>
      </c>
      <c r="B1181" s="91">
        <v>12843</v>
      </c>
      <c r="C1181" s="76" t="s">
        <v>211</v>
      </c>
      <c r="D1181" s="76" t="s">
        <v>916</v>
      </c>
      <c r="E1181" s="76" t="s">
        <v>899</v>
      </c>
      <c r="F1181" s="76" t="s">
        <v>900</v>
      </c>
      <c r="G1181" s="76">
        <v>6</v>
      </c>
      <c r="O1181" s="92"/>
    </row>
    <row r="1182" spans="1:15" x14ac:dyDescent="0.25">
      <c r="A1182" s="1">
        <v>1177</v>
      </c>
      <c r="B1182" s="91">
        <v>12844</v>
      </c>
      <c r="C1182" s="76" t="s">
        <v>211</v>
      </c>
      <c r="D1182" s="76" t="s">
        <v>909</v>
      </c>
      <c r="E1182" s="76" t="s">
        <v>899</v>
      </c>
      <c r="F1182" s="76" t="s">
        <v>900</v>
      </c>
      <c r="G1182" s="76">
        <v>5</v>
      </c>
      <c r="O1182" s="92"/>
    </row>
    <row r="1183" spans="1:15" x14ac:dyDescent="0.25">
      <c r="A1183" s="1">
        <v>1178</v>
      </c>
      <c r="B1183" s="91">
        <v>12845</v>
      </c>
      <c r="C1183" s="76" t="s">
        <v>211</v>
      </c>
      <c r="D1183" s="76" t="s">
        <v>916</v>
      </c>
      <c r="E1183" s="76" t="s">
        <v>899</v>
      </c>
      <c r="F1183" s="76" t="s">
        <v>900</v>
      </c>
      <c r="G1183" s="76">
        <v>6</v>
      </c>
      <c r="O1183" s="92"/>
    </row>
    <row r="1184" spans="1:15" x14ac:dyDescent="0.25">
      <c r="A1184" s="1">
        <v>1179</v>
      </c>
      <c r="B1184" s="91">
        <v>12846</v>
      </c>
      <c r="C1184" s="76" t="s">
        <v>211</v>
      </c>
      <c r="D1184" s="76" t="s">
        <v>916</v>
      </c>
      <c r="E1184" s="76" t="s">
        <v>899</v>
      </c>
      <c r="F1184" s="76" t="s">
        <v>900</v>
      </c>
      <c r="G1184" s="76">
        <v>6</v>
      </c>
      <c r="O1184" s="92"/>
    </row>
    <row r="1185" spans="1:15" x14ac:dyDescent="0.25">
      <c r="A1185" s="1">
        <v>1180</v>
      </c>
      <c r="B1185" s="91">
        <v>12847</v>
      </c>
      <c r="C1185" s="76" t="s">
        <v>214</v>
      </c>
      <c r="D1185" s="76" t="s">
        <v>911</v>
      </c>
      <c r="E1185" s="76" t="s">
        <v>899</v>
      </c>
      <c r="F1185" s="76" t="s">
        <v>900</v>
      </c>
      <c r="G1185" s="76">
        <v>6</v>
      </c>
      <c r="O1185" s="92"/>
    </row>
    <row r="1186" spans="1:15" x14ac:dyDescent="0.25">
      <c r="A1186" s="1">
        <v>1181</v>
      </c>
      <c r="B1186" s="91">
        <v>12848</v>
      </c>
      <c r="C1186" s="76" t="s">
        <v>211</v>
      </c>
      <c r="D1186" s="76" t="s">
        <v>909</v>
      </c>
      <c r="E1186" s="76" t="s">
        <v>899</v>
      </c>
      <c r="F1186" s="76" t="s">
        <v>900</v>
      </c>
      <c r="G1186" s="76">
        <v>5</v>
      </c>
      <c r="O1186" s="92"/>
    </row>
    <row r="1187" spans="1:15" x14ac:dyDescent="0.25">
      <c r="A1187" s="1">
        <v>1182</v>
      </c>
      <c r="B1187" s="91">
        <v>12849</v>
      </c>
      <c r="C1187" s="76" t="s">
        <v>211</v>
      </c>
      <c r="D1187" s="76" t="s">
        <v>909</v>
      </c>
      <c r="E1187" s="76" t="s">
        <v>899</v>
      </c>
      <c r="F1187" s="76" t="s">
        <v>900</v>
      </c>
      <c r="G1187" s="76">
        <v>5</v>
      </c>
      <c r="O1187" s="92"/>
    </row>
    <row r="1188" spans="1:15" x14ac:dyDescent="0.25">
      <c r="A1188" s="1">
        <v>1183</v>
      </c>
      <c r="B1188" s="91">
        <v>12850</v>
      </c>
      <c r="C1188" s="76" t="s">
        <v>211</v>
      </c>
      <c r="D1188" s="76" t="s">
        <v>906</v>
      </c>
      <c r="E1188" s="76" t="s">
        <v>899</v>
      </c>
      <c r="F1188" s="76" t="s">
        <v>900</v>
      </c>
      <c r="G1188" s="76">
        <v>5</v>
      </c>
      <c r="O1188" s="92"/>
    </row>
    <row r="1189" spans="1:15" x14ac:dyDescent="0.25">
      <c r="A1189" s="1">
        <v>1184</v>
      </c>
      <c r="B1189" s="91">
        <v>12851</v>
      </c>
      <c r="C1189" s="76" t="s">
        <v>214</v>
      </c>
      <c r="D1189" s="76" t="s">
        <v>917</v>
      </c>
      <c r="E1189" s="76" t="s">
        <v>899</v>
      </c>
      <c r="F1189" s="76" t="s">
        <v>900</v>
      </c>
      <c r="G1189" s="76">
        <v>6</v>
      </c>
      <c r="O1189" s="92"/>
    </row>
    <row r="1190" spans="1:15" x14ac:dyDescent="0.25">
      <c r="A1190" s="1">
        <v>1185</v>
      </c>
      <c r="B1190" s="91">
        <v>12852</v>
      </c>
      <c r="C1190" s="76" t="s">
        <v>214</v>
      </c>
      <c r="D1190" s="76" t="s">
        <v>917</v>
      </c>
      <c r="E1190" s="76" t="s">
        <v>899</v>
      </c>
      <c r="F1190" s="76" t="s">
        <v>900</v>
      </c>
      <c r="G1190" s="76">
        <v>6</v>
      </c>
      <c r="O1190" s="92"/>
    </row>
    <row r="1191" spans="1:15" x14ac:dyDescent="0.25">
      <c r="A1191" s="1">
        <v>1186</v>
      </c>
      <c r="B1191" s="91">
        <v>12853</v>
      </c>
      <c r="C1191" s="76" t="s">
        <v>211</v>
      </c>
      <c r="D1191" s="76" t="s">
        <v>916</v>
      </c>
      <c r="E1191" s="76" t="s">
        <v>899</v>
      </c>
      <c r="F1191" s="76" t="s">
        <v>900</v>
      </c>
      <c r="G1191" s="76">
        <v>6</v>
      </c>
      <c r="O1191" s="92"/>
    </row>
    <row r="1192" spans="1:15" x14ac:dyDescent="0.25">
      <c r="A1192" s="1">
        <v>1187</v>
      </c>
      <c r="B1192" s="91">
        <v>12854</v>
      </c>
      <c r="C1192" s="76" t="s">
        <v>211</v>
      </c>
      <c r="D1192" s="76" t="s">
        <v>909</v>
      </c>
      <c r="E1192" s="76" t="s">
        <v>899</v>
      </c>
      <c r="F1192" s="76" t="s">
        <v>900</v>
      </c>
      <c r="G1192" s="76">
        <v>5</v>
      </c>
      <c r="O1192" s="92"/>
    </row>
    <row r="1193" spans="1:15" x14ac:dyDescent="0.25">
      <c r="A1193" s="1">
        <v>1188</v>
      </c>
      <c r="B1193" s="91">
        <v>12855</v>
      </c>
      <c r="C1193" s="76" t="s">
        <v>214</v>
      </c>
      <c r="D1193" s="76" t="s">
        <v>917</v>
      </c>
      <c r="E1193" s="76" t="s">
        <v>899</v>
      </c>
      <c r="F1193" s="76" t="s">
        <v>900</v>
      </c>
      <c r="G1193" s="76">
        <v>6</v>
      </c>
      <c r="O1193" s="92"/>
    </row>
    <row r="1194" spans="1:15" x14ac:dyDescent="0.25">
      <c r="A1194" s="1">
        <v>1189</v>
      </c>
      <c r="B1194" s="91">
        <v>12856</v>
      </c>
      <c r="C1194" s="76" t="s">
        <v>211</v>
      </c>
      <c r="D1194" s="76" t="s">
        <v>916</v>
      </c>
      <c r="E1194" s="76" t="s">
        <v>899</v>
      </c>
      <c r="F1194" s="76" t="s">
        <v>900</v>
      </c>
      <c r="G1194" s="76">
        <v>6</v>
      </c>
      <c r="O1194" s="92"/>
    </row>
    <row r="1195" spans="1:15" x14ac:dyDescent="0.25">
      <c r="A1195" s="1">
        <v>1190</v>
      </c>
      <c r="B1195" s="91">
        <v>12857</v>
      </c>
      <c r="C1195" s="76" t="s">
        <v>214</v>
      </c>
      <c r="D1195" s="76" t="s">
        <v>917</v>
      </c>
      <c r="E1195" s="76" t="s">
        <v>899</v>
      </c>
      <c r="F1195" s="76" t="s">
        <v>900</v>
      </c>
      <c r="G1195" s="76">
        <v>6</v>
      </c>
      <c r="O1195" s="92"/>
    </row>
    <row r="1196" spans="1:15" x14ac:dyDescent="0.25">
      <c r="A1196" s="1">
        <v>1191</v>
      </c>
      <c r="B1196" s="91">
        <v>12858</v>
      </c>
      <c r="C1196" s="76" t="s">
        <v>214</v>
      </c>
      <c r="D1196" s="76" t="s">
        <v>917</v>
      </c>
      <c r="E1196" s="76" t="s">
        <v>899</v>
      </c>
      <c r="F1196" s="76" t="s">
        <v>900</v>
      </c>
      <c r="G1196" s="76">
        <v>6</v>
      </c>
      <c r="O1196" s="92"/>
    </row>
    <row r="1197" spans="1:15" x14ac:dyDescent="0.25">
      <c r="A1197" s="1">
        <v>1192</v>
      </c>
      <c r="B1197" s="91">
        <v>12859</v>
      </c>
      <c r="C1197" s="76" t="s">
        <v>211</v>
      </c>
      <c r="D1197" s="76" t="s">
        <v>906</v>
      </c>
      <c r="E1197" s="76" t="s">
        <v>899</v>
      </c>
      <c r="F1197" s="76" t="s">
        <v>900</v>
      </c>
      <c r="G1197" s="76">
        <v>5</v>
      </c>
      <c r="O1197" s="92"/>
    </row>
    <row r="1198" spans="1:15" x14ac:dyDescent="0.25">
      <c r="A1198" s="1">
        <v>1193</v>
      </c>
      <c r="B1198" s="91">
        <v>12860</v>
      </c>
      <c r="C1198" s="76" t="s">
        <v>211</v>
      </c>
      <c r="D1198" s="76" t="s">
        <v>916</v>
      </c>
      <c r="E1198" s="76" t="s">
        <v>899</v>
      </c>
      <c r="F1198" s="76" t="s">
        <v>900</v>
      </c>
      <c r="G1198" s="76">
        <v>6</v>
      </c>
      <c r="O1198" s="92"/>
    </row>
    <row r="1199" spans="1:15" x14ac:dyDescent="0.25">
      <c r="A1199" s="1">
        <v>1194</v>
      </c>
      <c r="B1199" s="91">
        <v>12861</v>
      </c>
      <c r="C1199" s="76" t="s">
        <v>211</v>
      </c>
      <c r="D1199" s="76" t="s">
        <v>909</v>
      </c>
      <c r="E1199" s="76" t="s">
        <v>899</v>
      </c>
      <c r="F1199" s="76" t="s">
        <v>900</v>
      </c>
      <c r="G1199" s="76">
        <v>5</v>
      </c>
      <c r="O1199" s="92"/>
    </row>
    <row r="1200" spans="1:15" x14ac:dyDescent="0.25">
      <c r="A1200" s="1">
        <v>1195</v>
      </c>
      <c r="B1200" s="91">
        <v>12862</v>
      </c>
      <c r="C1200" s="76" t="s">
        <v>211</v>
      </c>
      <c r="D1200" s="76" t="s">
        <v>916</v>
      </c>
      <c r="E1200" s="76" t="s">
        <v>899</v>
      </c>
      <c r="F1200" s="76" t="s">
        <v>900</v>
      </c>
      <c r="G1200" s="76">
        <v>6</v>
      </c>
      <c r="O1200" s="92"/>
    </row>
    <row r="1201" spans="1:15" x14ac:dyDescent="0.25">
      <c r="A1201" s="1">
        <v>1196</v>
      </c>
      <c r="B1201" s="91">
        <v>12863</v>
      </c>
      <c r="C1201" s="76" t="s">
        <v>211</v>
      </c>
      <c r="D1201" s="76" t="s">
        <v>906</v>
      </c>
      <c r="E1201" s="76" t="s">
        <v>899</v>
      </c>
      <c r="F1201" s="76" t="s">
        <v>900</v>
      </c>
      <c r="G1201" s="76">
        <v>5</v>
      </c>
      <c r="O1201" s="92"/>
    </row>
    <row r="1202" spans="1:15" x14ac:dyDescent="0.25">
      <c r="A1202" s="1">
        <v>1197</v>
      </c>
      <c r="B1202" s="91">
        <v>12864</v>
      </c>
      <c r="C1202" s="76" t="s">
        <v>214</v>
      </c>
      <c r="D1202" s="76" t="s">
        <v>911</v>
      </c>
      <c r="E1202" s="76" t="s">
        <v>899</v>
      </c>
      <c r="F1202" s="76" t="s">
        <v>900</v>
      </c>
      <c r="G1202" s="76">
        <v>6</v>
      </c>
      <c r="O1202" s="92"/>
    </row>
    <row r="1203" spans="1:15" x14ac:dyDescent="0.25">
      <c r="A1203" s="1">
        <v>1198</v>
      </c>
      <c r="B1203" s="91">
        <v>12865</v>
      </c>
      <c r="C1203" s="76" t="s">
        <v>211</v>
      </c>
      <c r="D1203" s="76" t="s">
        <v>909</v>
      </c>
      <c r="E1203" s="76" t="s">
        <v>899</v>
      </c>
      <c r="F1203" s="76" t="s">
        <v>900</v>
      </c>
      <c r="G1203" s="76">
        <v>5</v>
      </c>
      <c r="O1203" s="92"/>
    </row>
    <row r="1204" spans="1:15" x14ac:dyDescent="0.25">
      <c r="A1204" s="1">
        <v>1199</v>
      </c>
      <c r="B1204" s="91">
        <v>12866</v>
      </c>
      <c r="C1204" s="76" t="s">
        <v>211</v>
      </c>
      <c r="D1204" s="76" t="s">
        <v>906</v>
      </c>
      <c r="E1204" s="76" t="s">
        <v>899</v>
      </c>
      <c r="F1204" s="76" t="s">
        <v>900</v>
      </c>
      <c r="G1204" s="76">
        <v>5</v>
      </c>
      <c r="O1204" s="92"/>
    </row>
    <row r="1205" spans="1:15" x14ac:dyDescent="0.25">
      <c r="A1205" s="1">
        <v>1200</v>
      </c>
      <c r="B1205" s="91">
        <v>12870</v>
      </c>
      <c r="C1205" s="76" t="s">
        <v>214</v>
      </c>
      <c r="D1205" s="76" t="s">
        <v>917</v>
      </c>
      <c r="E1205" s="76" t="s">
        <v>899</v>
      </c>
      <c r="F1205" s="76" t="s">
        <v>900</v>
      </c>
      <c r="G1205" s="76">
        <v>6</v>
      </c>
      <c r="O1205" s="92"/>
    </row>
    <row r="1206" spans="1:15" x14ac:dyDescent="0.25">
      <c r="A1206" s="1">
        <v>1201</v>
      </c>
      <c r="B1206" s="91">
        <v>12871</v>
      </c>
      <c r="C1206" s="76" t="s">
        <v>211</v>
      </c>
      <c r="D1206" s="76" t="s">
        <v>906</v>
      </c>
      <c r="E1206" s="76" t="s">
        <v>899</v>
      </c>
      <c r="F1206" s="76" t="s">
        <v>900</v>
      </c>
      <c r="G1206" s="76">
        <v>5</v>
      </c>
      <c r="O1206" s="92"/>
    </row>
    <row r="1207" spans="1:15" x14ac:dyDescent="0.25">
      <c r="A1207" s="1">
        <v>1202</v>
      </c>
      <c r="B1207" s="91">
        <v>12872</v>
      </c>
      <c r="C1207" s="76" t="s">
        <v>214</v>
      </c>
      <c r="D1207" s="76" t="s">
        <v>917</v>
      </c>
      <c r="E1207" s="76" t="s">
        <v>899</v>
      </c>
      <c r="F1207" s="76" t="s">
        <v>900</v>
      </c>
      <c r="G1207" s="76">
        <v>6</v>
      </c>
      <c r="O1207" s="92"/>
    </row>
    <row r="1208" spans="1:15" x14ac:dyDescent="0.25">
      <c r="A1208" s="1">
        <v>1203</v>
      </c>
      <c r="B1208" s="91">
        <v>12873</v>
      </c>
      <c r="C1208" s="76" t="s">
        <v>211</v>
      </c>
      <c r="D1208" s="76" t="s">
        <v>909</v>
      </c>
      <c r="E1208" s="76" t="s">
        <v>899</v>
      </c>
      <c r="F1208" s="76" t="s">
        <v>900</v>
      </c>
      <c r="G1208" s="76">
        <v>5</v>
      </c>
      <c r="O1208" s="92"/>
    </row>
    <row r="1209" spans="1:15" x14ac:dyDescent="0.25">
      <c r="A1209" s="1">
        <v>1204</v>
      </c>
      <c r="B1209" s="91">
        <v>12874</v>
      </c>
      <c r="C1209" s="76" t="s">
        <v>211</v>
      </c>
      <c r="D1209" s="76" t="s">
        <v>916</v>
      </c>
      <c r="E1209" s="76" t="s">
        <v>899</v>
      </c>
      <c r="F1209" s="76" t="s">
        <v>900</v>
      </c>
      <c r="G1209" s="76">
        <v>6</v>
      </c>
      <c r="O1209" s="92"/>
    </row>
    <row r="1210" spans="1:15" x14ac:dyDescent="0.25">
      <c r="A1210" s="1">
        <v>1205</v>
      </c>
      <c r="B1210" s="91">
        <v>12878</v>
      </c>
      <c r="C1210" s="76" t="s">
        <v>211</v>
      </c>
      <c r="D1210" s="76" t="s">
        <v>916</v>
      </c>
      <c r="E1210" s="76" t="s">
        <v>899</v>
      </c>
      <c r="F1210" s="76" t="s">
        <v>900</v>
      </c>
      <c r="G1210" s="76">
        <v>6</v>
      </c>
      <c r="O1210" s="92"/>
    </row>
    <row r="1211" spans="1:15" x14ac:dyDescent="0.25">
      <c r="A1211" s="1">
        <v>1206</v>
      </c>
      <c r="B1211" s="91">
        <v>12879</v>
      </c>
      <c r="C1211" s="76" t="s">
        <v>214</v>
      </c>
      <c r="D1211" s="76" t="s">
        <v>917</v>
      </c>
      <c r="E1211" s="76" t="s">
        <v>899</v>
      </c>
      <c r="F1211" s="76" t="s">
        <v>900</v>
      </c>
      <c r="G1211" s="76">
        <v>6</v>
      </c>
      <c r="O1211" s="92"/>
    </row>
    <row r="1212" spans="1:15" x14ac:dyDescent="0.25">
      <c r="A1212" s="1">
        <v>1207</v>
      </c>
      <c r="B1212" s="91">
        <v>12883</v>
      </c>
      <c r="C1212" s="76" t="s">
        <v>214</v>
      </c>
      <c r="D1212" s="76" t="s">
        <v>917</v>
      </c>
      <c r="E1212" s="76" t="s">
        <v>899</v>
      </c>
      <c r="F1212" s="76" t="s">
        <v>900</v>
      </c>
      <c r="G1212" s="76">
        <v>6</v>
      </c>
      <c r="O1212" s="92"/>
    </row>
    <row r="1213" spans="1:15" x14ac:dyDescent="0.25">
      <c r="A1213" s="1">
        <v>1208</v>
      </c>
      <c r="B1213" s="91">
        <v>12884</v>
      </c>
      <c r="C1213" s="76" t="s">
        <v>211</v>
      </c>
      <c r="D1213" s="76" t="s">
        <v>906</v>
      </c>
      <c r="E1213" s="76" t="s">
        <v>899</v>
      </c>
      <c r="F1213" s="76" t="s">
        <v>900</v>
      </c>
      <c r="G1213" s="76">
        <v>5</v>
      </c>
      <c r="O1213" s="92"/>
    </row>
    <row r="1214" spans="1:15" x14ac:dyDescent="0.25">
      <c r="A1214" s="1">
        <v>1209</v>
      </c>
      <c r="B1214" s="91">
        <v>12885</v>
      </c>
      <c r="C1214" s="76" t="s">
        <v>211</v>
      </c>
      <c r="D1214" s="76" t="s">
        <v>916</v>
      </c>
      <c r="E1214" s="76" t="s">
        <v>899</v>
      </c>
      <c r="F1214" s="76" t="s">
        <v>900</v>
      </c>
      <c r="G1214" s="76">
        <v>6</v>
      </c>
      <c r="O1214" s="92"/>
    </row>
    <row r="1215" spans="1:15" x14ac:dyDescent="0.25">
      <c r="A1215" s="1">
        <v>1210</v>
      </c>
      <c r="B1215" s="91">
        <v>12886</v>
      </c>
      <c r="C1215" s="76" t="s">
        <v>211</v>
      </c>
      <c r="D1215" s="76" t="s">
        <v>916</v>
      </c>
      <c r="E1215" s="76" t="s">
        <v>899</v>
      </c>
      <c r="F1215" s="76" t="s">
        <v>900</v>
      </c>
      <c r="G1215" s="76">
        <v>6</v>
      </c>
      <c r="O1215" s="92"/>
    </row>
    <row r="1216" spans="1:15" x14ac:dyDescent="0.25">
      <c r="A1216" s="1">
        <v>1211</v>
      </c>
      <c r="B1216" s="91">
        <v>12887</v>
      </c>
      <c r="C1216" s="76" t="s">
        <v>211</v>
      </c>
      <c r="D1216" s="76" t="s">
        <v>909</v>
      </c>
      <c r="E1216" s="76" t="s">
        <v>899</v>
      </c>
      <c r="F1216" s="76" t="s">
        <v>900</v>
      </c>
      <c r="G1216" s="76">
        <v>5</v>
      </c>
      <c r="O1216" s="92"/>
    </row>
    <row r="1217" spans="1:15" x14ac:dyDescent="0.25">
      <c r="A1217" s="1">
        <v>1212</v>
      </c>
      <c r="B1217" s="91">
        <v>12901</v>
      </c>
      <c r="C1217" s="76" t="s">
        <v>214</v>
      </c>
      <c r="D1217" s="76" t="s">
        <v>918</v>
      </c>
      <c r="E1217" s="76" t="s">
        <v>899</v>
      </c>
      <c r="F1217" s="76" t="s">
        <v>900</v>
      </c>
      <c r="G1217" s="76">
        <v>6</v>
      </c>
      <c r="O1217" s="92"/>
    </row>
    <row r="1218" spans="1:15" x14ac:dyDescent="0.25">
      <c r="A1218" s="1">
        <v>1213</v>
      </c>
      <c r="B1218" s="91">
        <v>12903</v>
      </c>
      <c r="C1218" s="76" t="s">
        <v>214</v>
      </c>
      <c r="D1218" s="76" t="s">
        <v>918</v>
      </c>
      <c r="E1218" s="76" t="s">
        <v>899</v>
      </c>
      <c r="F1218" s="76" t="s">
        <v>900</v>
      </c>
      <c r="G1218" s="76">
        <v>6</v>
      </c>
      <c r="O1218" s="92"/>
    </row>
    <row r="1219" spans="1:15" x14ac:dyDescent="0.25">
      <c r="A1219" s="1">
        <v>1214</v>
      </c>
      <c r="B1219" s="91">
        <v>12910</v>
      </c>
      <c r="C1219" s="76" t="s">
        <v>214</v>
      </c>
      <c r="D1219" s="76" t="s">
        <v>918</v>
      </c>
      <c r="E1219" s="76" t="s">
        <v>899</v>
      </c>
      <c r="F1219" s="76" t="s">
        <v>900</v>
      </c>
      <c r="G1219" s="76">
        <v>6</v>
      </c>
      <c r="O1219" s="92"/>
    </row>
    <row r="1220" spans="1:15" x14ac:dyDescent="0.25">
      <c r="A1220" s="1">
        <v>1215</v>
      </c>
      <c r="B1220" s="91">
        <v>12911</v>
      </c>
      <c r="C1220" s="76" t="s">
        <v>214</v>
      </c>
      <c r="D1220" s="76" t="s">
        <v>918</v>
      </c>
      <c r="E1220" s="76" t="s">
        <v>899</v>
      </c>
      <c r="F1220" s="76" t="s">
        <v>900</v>
      </c>
      <c r="G1220" s="76">
        <v>6</v>
      </c>
      <c r="O1220" s="92"/>
    </row>
    <row r="1221" spans="1:15" x14ac:dyDescent="0.25">
      <c r="A1221" s="1">
        <v>1216</v>
      </c>
      <c r="B1221" s="91">
        <v>12912</v>
      </c>
      <c r="C1221" s="76" t="s">
        <v>214</v>
      </c>
      <c r="D1221" s="76" t="s">
        <v>918</v>
      </c>
      <c r="E1221" s="76" t="s">
        <v>899</v>
      </c>
      <c r="F1221" s="76" t="s">
        <v>900</v>
      </c>
      <c r="G1221" s="76">
        <v>6</v>
      </c>
      <c r="O1221" s="92"/>
    </row>
    <row r="1222" spans="1:15" x14ac:dyDescent="0.25">
      <c r="A1222" s="1">
        <v>1217</v>
      </c>
      <c r="B1222" s="91">
        <v>12913</v>
      </c>
      <c r="C1222" s="76" t="s">
        <v>214</v>
      </c>
      <c r="D1222" s="76" t="s">
        <v>917</v>
      </c>
      <c r="E1222" s="76" t="s">
        <v>899</v>
      </c>
      <c r="F1222" s="76" t="s">
        <v>900</v>
      </c>
      <c r="G1222" s="76">
        <v>6</v>
      </c>
      <c r="O1222" s="92"/>
    </row>
    <row r="1223" spans="1:15" x14ac:dyDescent="0.25">
      <c r="A1223" s="1">
        <v>1218</v>
      </c>
      <c r="B1223" s="91">
        <v>12914</v>
      </c>
      <c r="C1223" s="76" t="s">
        <v>214</v>
      </c>
      <c r="D1223" s="76" t="s">
        <v>919</v>
      </c>
      <c r="E1223" s="76" t="s">
        <v>899</v>
      </c>
      <c r="F1223" s="76" t="s">
        <v>900</v>
      </c>
      <c r="G1223" s="76">
        <v>6</v>
      </c>
      <c r="O1223" s="92"/>
    </row>
    <row r="1224" spans="1:15" x14ac:dyDescent="0.25">
      <c r="A1224" s="1">
        <v>1219</v>
      </c>
      <c r="B1224" s="91">
        <v>12915</v>
      </c>
      <c r="C1224" s="76" t="s">
        <v>214</v>
      </c>
      <c r="D1224" s="76" t="s">
        <v>919</v>
      </c>
      <c r="E1224" s="76" t="s">
        <v>899</v>
      </c>
      <c r="F1224" s="76" t="s">
        <v>900</v>
      </c>
      <c r="G1224" s="76">
        <v>6</v>
      </c>
      <c r="O1224" s="92"/>
    </row>
    <row r="1225" spans="1:15" x14ac:dyDescent="0.25">
      <c r="A1225" s="1">
        <v>1220</v>
      </c>
      <c r="B1225" s="91">
        <v>12916</v>
      </c>
      <c r="C1225" s="76" t="s">
        <v>214</v>
      </c>
      <c r="D1225" s="76" t="s">
        <v>919</v>
      </c>
      <c r="E1225" s="76" t="s">
        <v>899</v>
      </c>
      <c r="F1225" s="76" t="s">
        <v>900</v>
      </c>
      <c r="G1225" s="76">
        <v>6</v>
      </c>
      <c r="O1225" s="92"/>
    </row>
    <row r="1226" spans="1:15" x14ac:dyDescent="0.25">
      <c r="A1226" s="1">
        <v>1221</v>
      </c>
      <c r="B1226" s="91">
        <v>12917</v>
      </c>
      <c r="C1226" s="76" t="s">
        <v>214</v>
      </c>
      <c r="D1226" s="76" t="s">
        <v>919</v>
      </c>
      <c r="E1226" s="76" t="s">
        <v>899</v>
      </c>
      <c r="F1226" s="76" t="s">
        <v>900</v>
      </c>
      <c r="G1226" s="76">
        <v>6</v>
      </c>
      <c r="O1226" s="92"/>
    </row>
    <row r="1227" spans="1:15" x14ac:dyDescent="0.25">
      <c r="A1227" s="1">
        <v>1222</v>
      </c>
      <c r="B1227" s="91">
        <v>12918</v>
      </c>
      <c r="C1227" s="76" t="s">
        <v>214</v>
      </c>
      <c r="D1227" s="76" t="s">
        <v>918</v>
      </c>
      <c r="E1227" s="76" t="s">
        <v>899</v>
      </c>
      <c r="F1227" s="76" t="s">
        <v>900</v>
      </c>
      <c r="G1227" s="76">
        <v>6</v>
      </c>
      <c r="O1227" s="92"/>
    </row>
    <row r="1228" spans="1:15" x14ac:dyDescent="0.25">
      <c r="A1228" s="1">
        <v>1223</v>
      </c>
      <c r="B1228" s="91">
        <v>12919</v>
      </c>
      <c r="C1228" s="76" t="s">
        <v>214</v>
      </c>
      <c r="D1228" s="76" t="s">
        <v>918</v>
      </c>
      <c r="E1228" s="76" t="s">
        <v>899</v>
      </c>
      <c r="F1228" s="76" t="s">
        <v>900</v>
      </c>
      <c r="G1228" s="76">
        <v>6</v>
      </c>
      <c r="O1228" s="92"/>
    </row>
    <row r="1229" spans="1:15" x14ac:dyDescent="0.25">
      <c r="A1229" s="1">
        <v>1224</v>
      </c>
      <c r="B1229" s="91">
        <v>12920</v>
      </c>
      <c r="C1229" s="76" t="s">
        <v>214</v>
      </c>
      <c r="D1229" s="76" t="s">
        <v>919</v>
      </c>
      <c r="E1229" s="76" t="s">
        <v>899</v>
      </c>
      <c r="F1229" s="76" t="s">
        <v>900</v>
      </c>
      <c r="G1229" s="76">
        <v>6</v>
      </c>
      <c r="O1229" s="92"/>
    </row>
    <row r="1230" spans="1:15" x14ac:dyDescent="0.25">
      <c r="A1230" s="1">
        <v>1225</v>
      </c>
      <c r="B1230" s="91">
        <v>12921</v>
      </c>
      <c r="C1230" s="76" t="s">
        <v>214</v>
      </c>
      <c r="D1230" s="76" t="s">
        <v>918</v>
      </c>
      <c r="E1230" s="76" t="s">
        <v>899</v>
      </c>
      <c r="F1230" s="76" t="s">
        <v>900</v>
      </c>
      <c r="G1230" s="76">
        <v>6</v>
      </c>
      <c r="O1230" s="92"/>
    </row>
    <row r="1231" spans="1:15" x14ac:dyDescent="0.25">
      <c r="A1231" s="1">
        <v>1226</v>
      </c>
      <c r="B1231" s="91">
        <v>12922</v>
      </c>
      <c r="C1231" s="76" t="s">
        <v>214</v>
      </c>
      <c r="D1231" s="76" t="s">
        <v>920</v>
      </c>
      <c r="E1231" s="76" t="s">
        <v>899</v>
      </c>
      <c r="F1231" s="76" t="s">
        <v>900</v>
      </c>
      <c r="G1231" s="76">
        <v>6</v>
      </c>
      <c r="O1231" s="92"/>
    </row>
    <row r="1232" spans="1:15" x14ac:dyDescent="0.25">
      <c r="A1232" s="1">
        <v>1227</v>
      </c>
      <c r="B1232" s="91">
        <v>12923</v>
      </c>
      <c r="C1232" s="76" t="s">
        <v>214</v>
      </c>
      <c r="D1232" s="76" t="s">
        <v>918</v>
      </c>
      <c r="E1232" s="76" t="s">
        <v>899</v>
      </c>
      <c r="F1232" s="76" t="s">
        <v>900</v>
      </c>
      <c r="G1232" s="76">
        <v>6</v>
      </c>
      <c r="O1232" s="92"/>
    </row>
    <row r="1233" spans="1:15" x14ac:dyDescent="0.25">
      <c r="A1233" s="1">
        <v>1228</v>
      </c>
      <c r="B1233" s="91">
        <v>12924</v>
      </c>
      <c r="C1233" s="76" t="s">
        <v>214</v>
      </c>
      <c r="D1233" s="76" t="s">
        <v>918</v>
      </c>
      <c r="E1233" s="76" t="s">
        <v>899</v>
      </c>
      <c r="F1233" s="76" t="s">
        <v>900</v>
      </c>
      <c r="G1233" s="76">
        <v>6</v>
      </c>
      <c r="O1233" s="92"/>
    </row>
    <row r="1234" spans="1:15" x14ac:dyDescent="0.25">
      <c r="A1234" s="1">
        <v>1229</v>
      </c>
      <c r="B1234" s="91">
        <v>12926</v>
      </c>
      <c r="C1234" s="76" t="s">
        <v>214</v>
      </c>
      <c r="D1234" s="76" t="s">
        <v>919</v>
      </c>
      <c r="E1234" s="76" t="s">
        <v>899</v>
      </c>
      <c r="F1234" s="76" t="s">
        <v>900</v>
      </c>
      <c r="G1234" s="76">
        <v>6</v>
      </c>
      <c r="O1234" s="92"/>
    </row>
    <row r="1235" spans="1:15" x14ac:dyDescent="0.25">
      <c r="A1235" s="1">
        <v>1230</v>
      </c>
      <c r="B1235" s="91">
        <v>12927</v>
      </c>
      <c r="C1235" s="76" t="s">
        <v>214</v>
      </c>
      <c r="D1235" s="76" t="s">
        <v>920</v>
      </c>
      <c r="E1235" s="76" t="s">
        <v>899</v>
      </c>
      <c r="F1235" s="76" t="s">
        <v>900</v>
      </c>
      <c r="G1235" s="76">
        <v>6</v>
      </c>
      <c r="O1235" s="92"/>
    </row>
    <row r="1236" spans="1:15" x14ac:dyDescent="0.25">
      <c r="A1236" s="1">
        <v>1231</v>
      </c>
      <c r="B1236" s="91">
        <v>12928</v>
      </c>
      <c r="C1236" s="76" t="s">
        <v>214</v>
      </c>
      <c r="D1236" s="76" t="s">
        <v>917</v>
      </c>
      <c r="E1236" s="76" t="s">
        <v>899</v>
      </c>
      <c r="F1236" s="76" t="s">
        <v>900</v>
      </c>
      <c r="G1236" s="76">
        <v>6</v>
      </c>
      <c r="O1236" s="92"/>
    </row>
    <row r="1237" spans="1:15" x14ac:dyDescent="0.25">
      <c r="A1237" s="1">
        <v>1232</v>
      </c>
      <c r="B1237" s="91">
        <v>12929</v>
      </c>
      <c r="C1237" s="76" t="s">
        <v>214</v>
      </c>
      <c r="D1237" s="76" t="s">
        <v>918</v>
      </c>
      <c r="E1237" s="76" t="s">
        <v>899</v>
      </c>
      <c r="F1237" s="76" t="s">
        <v>900</v>
      </c>
      <c r="G1237" s="76">
        <v>6</v>
      </c>
      <c r="O1237" s="92"/>
    </row>
    <row r="1238" spans="1:15" x14ac:dyDescent="0.25">
      <c r="A1238" s="1">
        <v>1233</v>
      </c>
      <c r="B1238" s="91">
        <v>12930</v>
      </c>
      <c r="C1238" s="76" t="s">
        <v>214</v>
      </c>
      <c r="D1238" s="76" t="s">
        <v>919</v>
      </c>
      <c r="E1238" s="76" t="s">
        <v>899</v>
      </c>
      <c r="F1238" s="76" t="s">
        <v>900</v>
      </c>
      <c r="G1238" s="76">
        <v>6</v>
      </c>
      <c r="O1238" s="92"/>
    </row>
    <row r="1239" spans="1:15" x14ac:dyDescent="0.25">
      <c r="A1239" s="1">
        <v>1234</v>
      </c>
      <c r="B1239" s="91">
        <v>12932</v>
      </c>
      <c r="C1239" s="76" t="s">
        <v>214</v>
      </c>
      <c r="D1239" s="76" t="s">
        <v>917</v>
      </c>
      <c r="E1239" s="76" t="s">
        <v>899</v>
      </c>
      <c r="F1239" s="76" t="s">
        <v>900</v>
      </c>
      <c r="G1239" s="76">
        <v>6</v>
      </c>
      <c r="O1239" s="92"/>
    </row>
    <row r="1240" spans="1:15" x14ac:dyDescent="0.25">
      <c r="A1240" s="1">
        <v>1235</v>
      </c>
      <c r="B1240" s="91">
        <v>12933</v>
      </c>
      <c r="C1240" s="76" t="s">
        <v>214</v>
      </c>
      <c r="D1240" s="76" t="s">
        <v>918</v>
      </c>
      <c r="E1240" s="76" t="s">
        <v>899</v>
      </c>
      <c r="F1240" s="76" t="s">
        <v>900</v>
      </c>
      <c r="G1240" s="76">
        <v>6</v>
      </c>
      <c r="O1240" s="92"/>
    </row>
    <row r="1241" spans="1:15" x14ac:dyDescent="0.25">
      <c r="A1241" s="1">
        <v>1236</v>
      </c>
      <c r="B1241" s="91">
        <v>12934</v>
      </c>
      <c r="C1241" s="76" t="s">
        <v>214</v>
      </c>
      <c r="D1241" s="76" t="s">
        <v>918</v>
      </c>
      <c r="E1241" s="76" t="s">
        <v>899</v>
      </c>
      <c r="F1241" s="76" t="s">
        <v>900</v>
      </c>
      <c r="G1241" s="76">
        <v>6</v>
      </c>
      <c r="O1241" s="92"/>
    </row>
    <row r="1242" spans="1:15" x14ac:dyDescent="0.25">
      <c r="A1242" s="1">
        <v>1237</v>
      </c>
      <c r="B1242" s="91">
        <v>12935</v>
      </c>
      <c r="C1242" s="76" t="s">
        <v>214</v>
      </c>
      <c r="D1242" s="76" t="s">
        <v>918</v>
      </c>
      <c r="E1242" s="76" t="s">
        <v>899</v>
      </c>
      <c r="F1242" s="76" t="s">
        <v>900</v>
      </c>
      <c r="G1242" s="76">
        <v>6</v>
      </c>
      <c r="O1242" s="92"/>
    </row>
    <row r="1243" spans="1:15" x14ac:dyDescent="0.25">
      <c r="A1243" s="1">
        <v>1238</v>
      </c>
      <c r="B1243" s="91">
        <v>12936</v>
      </c>
      <c r="C1243" s="76" t="s">
        <v>214</v>
      </c>
      <c r="D1243" s="76" t="s">
        <v>917</v>
      </c>
      <c r="E1243" s="76" t="s">
        <v>899</v>
      </c>
      <c r="F1243" s="76" t="s">
        <v>900</v>
      </c>
      <c r="G1243" s="76">
        <v>6</v>
      </c>
      <c r="O1243" s="92"/>
    </row>
    <row r="1244" spans="1:15" x14ac:dyDescent="0.25">
      <c r="A1244" s="1">
        <v>1239</v>
      </c>
      <c r="B1244" s="91">
        <v>12937</v>
      </c>
      <c r="C1244" s="76" t="s">
        <v>214</v>
      </c>
      <c r="D1244" s="76" t="s">
        <v>919</v>
      </c>
      <c r="E1244" s="76" t="s">
        <v>899</v>
      </c>
      <c r="F1244" s="76" t="s">
        <v>900</v>
      </c>
      <c r="G1244" s="76">
        <v>6</v>
      </c>
      <c r="O1244" s="92"/>
    </row>
    <row r="1245" spans="1:15" x14ac:dyDescent="0.25">
      <c r="A1245" s="1">
        <v>1240</v>
      </c>
      <c r="B1245" s="91">
        <v>12939</v>
      </c>
      <c r="C1245" s="76" t="s">
        <v>214</v>
      </c>
      <c r="D1245" s="76" t="s">
        <v>919</v>
      </c>
      <c r="E1245" s="76" t="s">
        <v>899</v>
      </c>
      <c r="F1245" s="76" t="s">
        <v>900</v>
      </c>
      <c r="G1245" s="76">
        <v>6</v>
      </c>
      <c r="O1245" s="92"/>
    </row>
    <row r="1246" spans="1:15" x14ac:dyDescent="0.25">
      <c r="A1246" s="1">
        <v>1241</v>
      </c>
      <c r="B1246" s="91">
        <v>12941</v>
      </c>
      <c r="C1246" s="76" t="s">
        <v>214</v>
      </c>
      <c r="D1246" s="76" t="s">
        <v>917</v>
      </c>
      <c r="E1246" s="76" t="s">
        <v>899</v>
      </c>
      <c r="F1246" s="76" t="s">
        <v>900</v>
      </c>
      <c r="G1246" s="76">
        <v>6</v>
      </c>
      <c r="O1246" s="92"/>
    </row>
    <row r="1247" spans="1:15" x14ac:dyDescent="0.25">
      <c r="A1247" s="1">
        <v>1242</v>
      </c>
      <c r="B1247" s="91">
        <v>12942</v>
      </c>
      <c r="C1247" s="76" t="s">
        <v>214</v>
      </c>
      <c r="D1247" s="76" t="s">
        <v>917</v>
      </c>
      <c r="E1247" s="76" t="s">
        <v>899</v>
      </c>
      <c r="F1247" s="76" t="s">
        <v>900</v>
      </c>
      <c r="G1247" s="76">
        <v>6</v>
      </c>
      <c r="O1247" s="92"/>
    </row>
    <row r="1248" spans="1:15" x14ac:dyDescent="0.25">
      <c r="A1248" s="1">
        <v>1243</v>
      </c>
      <c r="B1248" s="91">
        <v>12943</v>
      </c>
      <c r="C1248" s="76" t="s">
        <v>214</v>
      </c>
      <c r="D1248" s="76" t="s">
        <v>917</v>
      </c>
      <c r="E1248" s="76" t="s">
        <v>899</v>
      </c>
      <c r="F1248" s="76" t="s">
        <v>900</v>
      </c>
      <c r="G1248" s="76">
        <v>6</v>
      </c>
      <c r="O1248" s="92"/>
    </row>
    <row r="1249" spans="1:15" x14ac:dyDescent="0.25">
      <c r="A1249" s="1">
        <v>1244</v>
      </c>
      <c r="B1249" s="91">
        <v>12944</v>
      </c>
      <c r="C1249" s="76" t="s">
        <v>214</v>
      </c>
      <c r="D1249" s="76" t="s">
        <v>917</v>
      </c>
      <c r="E1249" s="76" t="s">
        <v>899</v>
      </c>
      <c r="F1249" s="76" t="s">
        <v>900</v>
      </c>
      <c r="G1249" s="76">
        <v>6</v>
      </c>
      <c r="O1249" s="92"/>
    </row>
    <row r="1250" spans="1:15" x14ac:dyDescent="0.25">
      <c r="A1250" s="1">
        <v>1245</v>
      </c>
      <c r="B1250" s="91">
        <v>12945</v>
      </c>
      <c r="C1250" s="76" t="s">
        <v>214</v>
      </c>
      <c r="D1250" s="76" t="s">
        <v>919</v>
      </c>
      <c r="E1250" s="76" t="s">
        <v>899</v>
      </c>
      <c r="F1250" s="76" t="s">
        <v>900</v>
      </c>
      <c r="G1250" s="76">
        <v>6</v>
      </c>
      <c r="O1250" s="92"/>
    </row>
    <row r="1251" spans="1:15" x14ac:dyDescent="0.25">
      <c r="A1251" s="1">
        <v>1246</v>
      </c>
      <c r="B1251" s="91">
        <v>12946</v>
      </c>
      <c r="C1251" s="76" t="s">
        <v>214</v>
      </c>
      <c r="D1251" s="76" t="s">
        <v>917</v>
      </c>
      <c r="E1251" s="76" t="s">
        <v>899</v>
      </c>
      <c r="F1251" s="76" t="s">
        <v>900</v>
      </c>
      <c r="G1251" s="76">
        <v>6</v>
      </c>
      <c r="O1251" s="92"/>
    </row>
    <row r="1252" spans="1:15" x14ac:dyDescent="0.25">
      <c r="A1252" s="1">
        <v>1247</v>
      </c>
      <c r="B1252" s="91">
        <v>12949</v>
      </c>
      <c r="C1252" s="76" t="s">
        <v>214</v>
      </c>
      <c r="D1252" s="76" t="s">
        <v>920</v>
      </c>
      <c r="E1252" s="76" t="s">
        <v>899</v>
      </c>
      <c r="F1252" s="76" t="s">
        <v>900</v>
      </c>
      <c r="G1252" s="76">
        <v>6</v>
      </c>
      <c r="O1252" s="92"/>
    </row>
    <row r="1253" spans="1:15" x14ac:dyDescent="0.25">
      <c r="A1253" s="1">
        <v>1248</v>
      </c>
      <c r="B1253" s="91">
        <v>12950</v>
      </c>
      <c r="C1253" s="76" t="s">
        <v>214</v>
      </c>
      <c r="D1253" s="76" t="s">
        <v>917</v>
      </c>
      <c r="E1253" s="76" t="s">
        <v>899</v>
      </c>
      <c r="F1253" s="76" t="s">
        <v>900</v>
      </c>
      <c r="G1253" s="76">
        <v>6</v>
      </c>
      <c r="O1253" s="92"/>
    </row>
    <row r="1254" spans="1:15" x14ac:dyDescent="0.25">
      <c r="A1254" s="1">
        <v>1249</v>
      </c>
      <c r="B1254" s="91">
        <v>12952</v>
      </c>
      <c r="C1254" s="76" t="s">
        <v>214</v>
      </c>
      <c r="D1254" s="76" t="s">
        <v>918</v>
      </c>
      <c r="E1254" s="76" t="s">
        <v>899</v>
      </c>
      <c r="F1254" s="76" t="s">
        <v>900</v>
      </c>
      <c r="G1254" s="76">
        <v>6</v>
      </c>
      <c r="O1254" s="92"/>
    </row>
    <row r="1255" spans="1:15" x14ac:dyDescent="0.25">
      <c r="A1255" s="1">
        <v>1250</v>
      </c>
      <c r="B1255" s="91">
        <v>12953</v>
      </c>
      <c r="C1255" s="76" t="s">
        <v>214</v>
      </c>
      <c r="D1255" s="76" t="s">
        <v>919</v>
      </c>
      <c r="E1255" s="76" t="s">
        <v>899</v>
      </c>
      <c r="F1255" s="76" t="s">
        <v>900</v>
      </c>
      <c r="G1255" s="76">
        <v>6</v>
      </c>
      <c r="O1255" s="92"/>
    </row>
    <row r="1256" spans="1:15" x14ac:dyDescent="0.25">
      <c r="A1256" s="1">
        <v>1251</v>
      </c>
      <c r="B1256" s="91">
        <v>12955</v>
      </c>
      <c r="C1256" s="76" t="s">
        <v>214</v>
      </c>
      <c r="D1256" s="76" t="s">
        <v>918</v>
      </c>
      <c r="E1256" s="76" t="s">
        <v>899</v>
      </c>
      <c r="F1256" s="76" t="s">
        <v>900</v>
      </c>
      <c r="G1256" s="76">
        <v>6</v>
      </c>
      <c r="O1256" s="92"/>
    </row>
    <row r="1257" spans="1:15" x14ac:dyDescent="0.25">
      <c r="A1257" s="1">
        <v>1252</v>
      </c>
      <c r="B1257" s="91">
        <v>12956</v>
      </c>
      <c r="C1257" s="76" t="s">
        <v>214</v>
      </c>
      <c r="D1257" s="76" t="s">
        <v>917</v>
      </c>
      <c r="E1257" s="76" t="s">
        <v>899</v>
      </c>
      <c r="F1257" s="76" t="s">
        <v>900</v>
      </c>
      <c r="G1257" s="76">
        <v>6</v>
      </c>
      <c r="O1257" s="92"/>
    </row>
    <row r="1258" spans="1:15" x14ac:dyDescent="0.25">
      <c r="A1258" s="1">
        <v>1253</v>
      </c>
      <c r="B1258" s="91">
        <v>12957</v>
      </c>
      <c r="C1258" s="76" t="s">
        <v>214</v>
      </c>
      <c r="D1258" s="76" t="s">
        <v>919</v>
      </c>
      <c r="E1258" s="76" t="s">
        <v>899</v>
      </c>
      <c r="F1258" s="76" t="s">
        <v>900</v>
      </c>
      <c r="G1258" s="76">
        <v>6</v>
      </c>
      <c r="O1258" s="92"/>
    </row>
    <row r="1259" spans="1:15" x14ac:dyDescent="0.25">
      <c r="A1259" s="1">
        <v>1254</v>
      </c>
      <c r="B1259" s="91">
        <v>12958</v>
      </c>
      <c r="C1259" s="76" t="s">
        <v>214</v>
      </c>
      <c r="D1259" s="76" t="s">
        <v>918</v>
      </c>
      <c r="E1259" s="76" t="s">
        <v>899</v>
      </c>
      <c r="F1259" s="76" t="s">
        <v>900</v>
      </c>
      <c r="G1259" s="76">
        <v>6</v>
      </c>
      <c r="O1259" s="92"/>
    </row>
    <row r="1260" spans="1:15" x14ac:dyDescent="0.25">
      <c r="A1260" s="1">
        <v>1255</v>
      </c>
      <c r="B1260" s="91">
        <v>12959</v>
      </c>
      <c r="C1260" s="76" t="s">
        <v>214</v>
      </c>
      <c r="D1260" s="76" t="s">
        <v>918</v>
      </c>
      <c r="E1260" s="76" t="s">
        <v>899</v>
      </c>
      <c r="F1260" s="76" t="s">
        <v>900</v>
      </c>
      <c r="G1260" s="76">
        <v>6</v>
      </c>
      <c r="O1260" s="92"/>
    </row>
    <row r="1261" spans="1:15" x14ac:dyDescent="0.25">
      <c r="A1261" s="1">
        <v>1256</v>
      </c>
      <c r="B1261" s="91">
        <v>12960</v>
      </c>
      <c r="C1261" s="76" t="s">
        <v>214</v>
      </c>
      <c r="D1261" s="76" t="s">
        <v>917</v>
      </c>
      <c r="E1261" s="76" t="s">
        <v>899</v>
      </c>
      <c r="F1261" s="76" t="s">
        <v>900</v>
      </c>
      <c r="G1261" s="76">
        <v>6</v>
      </c>
      <c r="O1261" s="92"/>
    </row>
    <row r="1262" spans="1:15" x14ac:dyDescent="0.25">
      <c r="A1262" s="1">
        <v>1257</v>
      </c>
      <c r="B1262" s="91">
        <v>12961</v>
      </c>
      <c r="C1262" s="76" t="s">
        <v>214</v>
      </c>
      <c r="D1262" s="76" t="s">
        <v>917</v>
      </c>
      <c r="E1262" s="76" t="s">
        <v>899</v>
      </c>
      <c r="F1262" s="76" t="s">
        <v>900</v>
      </c>
      <c r="G1262" s="76">
        <v>6</v>
      </c>
      <c r="O1262" s="92"/>
    </row>
    <row r="1263" spans="1:15" x14ac:dyDescent="0.25">
      <c r="A1263" s="1">
        <v>1258</v>
      </c>
      <c r="B1263" s="91">
        <v>12962</v>
      </c>
      <c r="C1263" s="76" t="s">
        <v>214</v>
      </c>
      <c r="D1263" s="76" t="s">
        <v>918</v>
      </c>
      <c r="E1263" s="76" t="s">
        <v>899</v>
      </c>
      <c r="F1263" s="76" t="s">
        <v>900</v>
      </c>
      <c r="G1263" s="76">
        <v>6</v>
      </c>
      <c r="O1263" s="92"/>
    </row>
    <row r="1264" spans="1:15" x14ac:dyDescent="0.25">
      <c r="A1264" s="1">
        <v>1259</v>
      </c>
      <c r="B1264" s="91">
        <v>12964</v>
      </c>
      <c r="C1264" s="76" t="s">
        <v>214</v>
      </c>
      <c r="D1264" s="76" t="s">
        <v>917</v>
      </c>
      <c r="E1264" s="76" t="s">
        <v>899</v>
      </c>
      <c r="F1264" s="76" t="s">
        <v>900</v>
      </c>
      <c r="G1264" s="76">
        <v>6</v>
      </c>
      <c r="O1264" s="92"/>
    </row>
    <row r="1265" spans="1:15" x14ac:dyDescent="0.25">
      <c r="A1265" s="1">
        <v>1260</v>
      </c>
      <c r="B1265" s="91">
        <v>12965</v>
      </c>
      <c r="C1265" s="76" t="s">
        <v>214</v>
      </c>
      <c r="D1265" s="76" t="s">
        <v>920</v>
      </c>
      <c r="E1265" s="76" t="s">
        <v>899</v>
      </c>
      <c r="F1265" s="76" t="s">
        <v>900</v>
      </c>
      <c r="G1265" s="76">
        <v>6</v>
      </c>
      <c r="O1265" s="92"/>
    </row>
    <row r="1266" spans="1:15" x14ac:dyDescent="0.25">
      <c r="A1266" s="1">
        <v>1261</v>
      </c>
      <c r="B1266" s="91">
        <v>12966</v>
      </c>
      <c r="C1266" s="76" t="s">
        <v>214</v>
      </c>
      <c r="D1266" s="76" t="s">
        <v>919</v>
      </c>
      <c r="E1266" s="76" t="s">
        <v>899</v>
      </c>
      <c r="F1266" s="76" t="s">
        <v>900</v>
      </c>
      <c r="G1266" s="76">
        <v>6</v>
      </c>
      <c r="O1266" s="92"/>
    </row>
    <row r="1267" spans="1:15" x14ac:dyDescent="0.25">
      <c r="A1267" s="1">
        <v>1262</v>
      </c>
      <c r="B1267" s="91">
        <v>12967</v>
      </c>
      <c r="C1267" s="76" t="s">
        <v>214</v>
      </c>
      <c r="D1267" s="76" t="s">
        <v>920</v>
      </c>
      <c r="E1267" s="76" t="s">
        <v>899</v>
      </c>
      <c r="F1267" s="76" t="s">
        <v>900</v>
      </c>
      <c r="G1267" s="76">
        <v>6</v>
      </c>
      <c r="O1267" s="92"/>
    </row>
    <row r="1268" spans="1:15" x14ac:dyDescent="0.25">
      <c r="A1268" s="1">
        <v>1263</v>
      </c>
      <c r="B1268" s="91">
        <v>12969</v>
      </c>
      <c r="C1268" s="76" t="s">
        <v>214</v>
      </c>
      <c r="D1268" s="76" t="s">
        <v>919</v>
      </c>
      <c r="E1268" s="76" t="s">
        <v>899</v>
      </c>
      <c r="F1268" s="76" t="s">
        <v>900</v>
      </c>
      <c r="G1268" s="76">
        <v>6</v>
      </c>
      <c r="O1268" s="92"/>
    </row>
    <row r="1269" spans="1:15" x14ac:dyDescent="0.25">
      <c r="A1269" s="1">
        <v>1264</v>
      </c>
      <c r="B1269" s="91">
        <v>12970</v>
      </c>
      <c r="C1269" s="76" t="s">
        <v>214</v>
      </c>
      <c r="D1269" s="76" t="s">
        <v>919</v>
      </c>
      <c r="E1269" s="76" t="s">
        <v>899</v>
      </c>
      <c r="F1269" s="76" t="s">
        <v>900</v>
      </c>
      <c r="G1269" s="76">
        <v>6</v>
      </c>
      <c r="O1269" s="92"/>
    </row>
    <row r="1270" spans="1:15" x14ac:dyDescent="0.25">
      <c r="A1270" s="1">
        <v>1265</v>
      </c>
      <c r="B1270" s="91">
        <v>12972</v>
      </c>
      <c r="C1270" s="76" t="s">
        <v>214</v>
      </c>
      <c r="D1270" s="76" t="s">
        <v>918</v>
      </c>
      <c r="E1270" s="76" t="s">
        <v>899</v>
      </c>
      <c r="F1270" s="76" t="s">
        <v>900</v>
      </c>
      <c r="G1270" s="76">
        <v>6</v>
      </c>
      <c r="O1270" s="92"/>
    </row>
    <row r="1271" spans="1:15" x14ac:dyDescent="0.25">
      <c r="A1271" s="1">
        <v>1266</v>
      </c>
      <c r="B1271" s="91">
        <v>12973</v>
      </c>
      <c r="C1271" s="76" t="s">
        <v>214</v>
      </c>
      <c r="D1271" s="76" t="s">
        <v>920</v>
      </c>
      <c r="E1271" s="76" t="s">
        <v>899</v>
      </c>
      <c r="F1271" s="76" t="s">
        <v>900</v>
      </c>
      <c r="G1271" s="76">
        <v>6</v>
      </c>
      <c r="O1271" s="92"/>
    </row>
    <row r="1272" spans="1:15" x14ac:dyDescent="0.25">
      <c r="A1272" s="1">
        <v>1267</v>
      </c>
      <c r="B1272" s="91">
        <v>12974</v>
      </c>
      <c r="C1272" s="76" t="s">
        <v>214</v>
      </c>
      <c r="D1272" s="76" t="s">
        <v>917</v>
      </c>
      <c r="E1272" s="76" t="s">
        <v>899</v>
      </c>
      <c r="F1272" s="76" t="s">
        <v>900</v>
      </c>
      <c r="G1272" s="76">
        <v>6</v>
      </c>
      <c r="O1272" s="92"/>
    </row>
    <row r="1273" spans="1:15" x14ac:dyDescent="0.25">
      <c r="A1273" s="1">
        <v>1268</v>
      </c>
      <c r="B1273" s="91">
        <v>12975</v>
      </c>
      <c r="C1273" s="76" t="s">
        <v>214</v>
      </c>
      <c r="D1273" s="76" t="s">
        <v>917</v>
      </c>
      <c r="E1273" s="76" t="s">
        <v>899</v>
      </c>
      <c r="F1273" s="76" t="s">
        <v>900</v>
      </c>
      <c r="G1273" s="76">
        <v>6</v>
      </c>
      <c r="O1273" s="92"/>
    </row>
    <row r="1274" spans="1:15" x14ac:dyDescent="0.25">
      <c r="A1274" s="1">
        <v>1269</v>
      </c>
      <c r="B1274" s="91">
        <v>12976</v>
      </c>
      <c r="C1274" s="76" t="s">
        <v>214</v>
      </c>
      <c r="D1274" s="76" t="s">
        <v>919</v>
      </c>
      <c r="E1274" s="76" t="s">
        <v>899</v>
      </c>
      <c r="F1274" s="76" t="s">
        <v>900</v>
      </c>
      <c r="G1274" s="76">
        <v>6</v>
      </c>
      <c r="O1274" s="92"/>
    </row>
    <row r="1275" spans="1:15" x14ac:dyDescent="0.25">
      <c r="A1275" s="1">
        <v>1270</v>
      </c>
      <c r="B1275" s="91">
        <v>12977</v>
      </c>
      <c r="C1275" s="76" t="s">
        <v>214</v>
      </c>
      <c r="D1275" s="76" t="s">
        <v>917</v>
      </c>
      <c r="E1275" s="76" t="s">
        <v>899</v>
      </c>
      <c r="F1275" s="76" t="s">
        <v>900</v>
      </c>
      <c r="G1275" s="76">
        <v>6</v>
      </c>
      <c r="O1275" s="92"/>
    </row>
    <row r="1276" spans="1:15" x14ac:dyDescent="0.25">
      <c r="A1276" s="1">
        <v>1271</v>
      </c>
      <c r="B1276" s="91">
        <v>12978</v>
      </c>
      <c r="C1276" s="76" t="s">
        <v>214</v>
      </c>
      <c r="D1276" s="76" t="s">
        <v>918</v>
      </c>
      <c r="E1276" s="76" t="s">
        <v>899</v>
      </c>
      <c r="F1276" s="76" t="s">
        <v>900</v>
      </c>
      <c r="G1276" s="76">
        <v>6</v>
      </c>
      <c r="O1276" s="92"/>
    </row>
    <row r="1277" spans="1:15" x14ac:dyDescent="0.25">
      <c r="A1277" s="1">
        <v>1272</v>
      </c>
      <c r="B1277" s="91">
        <v>12979</v>
      </c>
      <c r="C1277" s="76" t="s">
        <v>214</v>
      </c>
      <c r="D1277" s="76" t="s">
        <v>918</v>
      </c>
      <c r="E1277" s="76" t="s">
        <v>899</v>
      </c>
      <c r="F1277" s="76" t="s">
        <v>900</v>
      </c>
      <c r="G1277" s="76">
        <v>6</v>
      </c>
      <c r="O1277" s="92"/>
    </row>
    <row r="1278" spans="1:15" x14ac:dyDescent="0.25">
      <c r="A1278" s="1">
        <v>1273</v>
      </c>
      <c r="B1278" s="91">
        <v>12980</v>
      </c>
      <c r="C1278" s="76" t="s">
        <v>214</v>
      </c>
      <c r="D1278" s="76" t="s">
        <v>919</v>
      </c>
      <c r="E1278" s="76" t="s">
        <v>899</v>
      </c>
      <c r="F1278" s="76" t="s">
        <v>900</v>
      </c>
      <c r="G1278" s="76">
        <v>6</v>
      </c>
      <c r="O1278" s="92"/>
    </row>
    <row r="1279" spans="1:15" x14ac:dyDescent="0.25">
      <c r="A1279" s="1">
        <v>1274</v>
      </c>
      <c r="B1279" s="91">
        <v>12981</v>
      </c>
      <c r="C1279" s="76" t="s">
        <v>214</v>
      </c>
      <c r="D1279" s="76" t="s">
        <v>918</v>
      </c>
      <c r="E1279" s="76" t="s">
        <v>899</v>
      </c>
      <c r="F1279" s="76" t="s">
        <v>900</v>
      </c>
      <c r="G1279" s="76">
        <v>6</v>
      </c>
      <c r="O1279" s="92"/>
    </row>
    <row r="1280" spans="1:15" x14ac:dyDescent="0.25">
      <c r="A1280" s="1">
        <v>1275</v>
      </c>
      <c r="B1280" s="91">
        <v>12983</v>
      </c>
      <c r="C1280" s="76" t="s">
        <v>214</v>
      </c>
      <c r="D1280" s="76" t="s">
        <v>919</v>
      </c>
      <c r="E1280" s="76" t="s">
        <v>899</v>
      </c>
      <c r="F1280" s="76" t="s">
        <v>900</v>
      </c>
      <c r="G1280" s="76">
        <v>6</v>
      </c>
      <c r="O1280" s="92"/>
    </row>
    <row r="1281" spans="1:15" x14ac:dyDescent="0.25">
      <c r="A1281" s="1">
        <v>1276</v>
      </c>
      <c r="B1281" s="91">
        <v>12985</v>
      </c>
      <c r="C1281" s="76" t="s">
        <v>214</v>
      </c>
      <c r="D1281" s="76" t="s">
        <v>918</v>
      </c>
      <c r="E1281" s="76" t="s">
        <v>899</v>
      </c>
      <c r="F1281" s="76" t="s">
        <v>900</v>
      </c>
      <c r="G1281" s="76">
        <v>6</v>
      </c>
      <c r="O1281" s="92"/>
    </row>
    <row r="1282" spans="1:15" x14ac:dyDescent="0.25">
      <c r="A1282" s="1">
        <v>1277</v>
      </c>
      <c r="B1282" s="91">
        <v>12986</v>
      </c>
      <c r="C1282" s="76" t="s">
        <v>214</v>
      </c>
      <c r="D1282" s="76" t="s">
        <v>919</v>
      </c>
      <c r="E1282" s="76" t="s">
        <v>899</v>
      </c>
      <c r="F1282" s="76" t="s">
        <v>900</v>
      </c>
      <c r="G1282" s="76">
        <v>6</v>
      </c>
      <c r="O1282" s="92"/>
    </row>
    <row r="1283" spans="1:15" x14ac:dyDescent="0.25">
      <c r="A1283" s="1">
        <v>1278</v>
      </c>
      <c r="B1283" s="91">
        <v>12987</v>
      </c>
      <c r="C1283" s="76" t="s">
        <v>214</v>
      </c>
      <c r="D1283" s="76" t="s">
        <v>917</v>
      </c>
      <c r="E1283" s="76" t="s">
        <v>899</v>
      </c>
      <c r="F1283" s="76" t="s">
        <v>900</v>
      </c>
      <c r="G1283" s="76">
        <v>6</v>
      </c>
      <c r="O1283" s="92"/>
    </row>
    <row r="1284" spans="1:15" x14ac:dyDescent="0.25">
      <c r="A1284" s="1">
        <v>1279</v>
      </c>
      <c r="B1284" s="91">
        <v>12989</v>
      </c>
      <c r="C1284" s="76" t="s">
        <v>214</v>
      </c>
      <c r="D1284" s="76" t="s">
        <v>919</v>
      </c>
      <c r="E1284" s="76" t="s">
        <v>899</v>
      </c>
      <c r="F1284" s="76" t="s">
        <v>900</v>
      </c>
      <c r="G1284" s="76">
        <v>6</v>
      </c>
      <c r="O1284" s="92"/>
    </row>
    <row r="1285" spans="1:15" x14ac:dyDescent="0.25">
      <c r="A1285" s="1">
        <v>1280</v>
      </c>
      <c r="B1285" s="91">
        <v>12992</v>
      </c>
      <c r="C1285" s="76" t="s">
        <v>214</v>
      </c>
      <c r="D1285" s="76" t="s">
        <v>918</v>
      </c>
      <c r="E1285" s="76" t="s">
        <v>899</v>
      </c>
      <c r="F1285" s="76" t="s">
        <v>900</v>
      </c>
      <c r="G1285" s="76">
        <v>6</v>
      </c>
      <c r="O1285" s="92"/>
    </row>
    <row r="1286" spans="1:15" x14ac:dyDescent="0.25">
      <c r="A1286" s="1">
        <v>1281</v>
      </c>
      <c r="B1286" s="91">
        <v>12993</v>
      </c>
      <c r="C1286" s="76" t="s">
        <v>214</v>
      </c>
      <c r="D1286" s="76" t="s">
        <v>917</v>
      </c>
      <c r="E1286" s="76" t="s">
        <v>899</v>
      </c>
      <c r="F1286" s="76" t="s">
        <v>900</v>
      </c>
      <c r="G1286" s="76">
        <v>6</v>
      </c>
      <c r="O1286" s="92"/>
    </row>
    <row r="1287" spans="1:15" x14ac:dyDescent="0.25">
      <c r="A1287" s="1">
        <v>1282</v>
      </c>
      <c r="B1287" s="91">
        <v>12995</v>
      </c>
      <c r="C1287" s="76" t="s">
        <v>214</v>
      </c>
      <c r="D1287" s="76" t="s">
        <v>919</v>
      </c>
      <c r="E1287" s="76" t="s">
        <v>899</v>
      </c>
      <c r="F1287" s="76" t="s">
        <v>900</v>
      </c>
      <c r="G1287" s="76">
        <v>6</v>
      </c>
      <c r="O1287" s="92"/>
    </row>
    <row r="1288" spans="1:15" x14ac:dyDescent="0.25">
      <c r="A1288" s="1">
        <v>1283</v>
      </c>
      <c r="B1288" s="91">
        <v>12996</v>
      </c>
      <c r="C1288" s="76" t="s">
        <v>214</v>
      </c>
      <c r="D1288" s="76" t="s">
        <v>917</v>
      </c>
      <c r="E1288" s="76" t="s">
        <v>899</v>
      </c>
      <c r="F1288" s="76" t="s">
        <v>900</v>
      </c>
      <c r="G1288" s="76">
        <v>6</v>
      </c>
      <c r="O1288" s="92"/>
    </row>
    <row r="1289" spans="1:15" x14ac:dyDescent="0.25">
      <c r="A1289" s="1">
        <v>1284</v>
      </c>
      <c r="B1289" s="91">
        <v>12997</v>
      </c>
      <c r="C1289" s="76" t="s">
        <v>214</v>
      </c>
      <c r="D1289" s="76" t="s">
        <v>917</v>
      </c>
      <c r="E1289" s="76" t="s">
        <v>899</v>
      </c>
      <c r="F1289" s="76" t="s">
        <v>900</v>
      </c>
      <c r="G1289" s="76">
        <v>6</v>
      </c>
      <c r="O1289" s="92"/>
    </row>
    <row r="1290" spans="1:15" x14ac:dyDescent="0.25">
      <c r="A1290" s="1">
        <v>1285</v>
      </c>
      <c r="B1290" s="91">
        <v>12998</v>
      </c>
      <c r="C1290" s="76" t="s">
        <v>214</v>
      </c>
      <c r="D1290" s="76" t="s">
        <v>917</v>
      </c>
      <c r="E1290" s="76" t="s">
        <v>899</v>
      </c>
      <c r="F1290" s="76" t="s">
        <v>900</v>
      </c>
      <c r="G1290" s="76">
        <v>6</v>
      </c>
      <c r="O1290" s="92"/>
    </row>
    <row r="1291" spans="1:15" x14ac:dyDescent="0.25">
      <c r="A1291" s="1">
        <v>1286</v>
      </c>
      <c r="B1291" s="91">
        <v>13020</v>
      </c>
      <c r="C1291" s="76" t="s">
        <v>219</v>
      </c>
      <c r="D1291" s="76" t="s">
        <v>921</v>
      </c>
      <c r="E1291" s="76" t="s">
        <v>899</v>
      </c>
      <c r="F1291" s="76" t="s">
        <v>900</v>
      </c>
      <c r="G1291" s="76">
        <v>5</v>
      </c>
      <c r="O1291" s="92"/>
    </row>
    <row r="1292" spans="1:15" x14ac:dyDescent="0.25">
      <c r="A1292" s="1">
        <v>1287</v>
      </c>
      <c r="B1292" s="91">
        <v>13021</v>
      </c>
      <c r="C1292" s="76" t="s">
        <v>219</v>
      </c>
      <c r="D1292" s="76" t="s">
        <v>922</v>
      </c>
      <c r="E1292" s="76" t="s">
        <v>899</v>
      </c>
      <c r="F1292" s="76" t="s">
        <v>900</v>
      </c>
      <c r="G1292" s="76">
        <v>5</v>
      </c>
      <c r="O1292" s="92"/>
    </row>
    <row r="1293" spans="1:15" x14ac:dyDescent="0.25">
      <c r="A1293" s="1">
        <v>1288</v>
      </c>
      <c r="B1293" s="91">
        <v>13022</v>
      </c>
      <c r="C1293" s="76" t="s">
        <v>219</v>
      </c>
      <c r="D1293" s="76" t="s">
        <v>922</v>
      </c>
      <c r="E1293" s="76" t="s">
        <v>899</v>
      </c>
      <c r="F1293" s="76" t="s">
        <v>900</v>
      </c>
      <c r="G1293" s="76">
        <v>5</v>
      </c>
      <c r="O1293" s="92"/>
    </row>
    <row r="1294" spans="1:15" x14ac:dyDescent="0.25">
      <c r="A1294" s="1">
        <v>1289</v>
      </c>
      <c r="B1294" s="91">
        <v>13024</v>
      </c>
      <c r="C1294" s="76" t="s">
        <v>219</v>
      </c>
      <c r="D1294" s="76" t="s">
        <v>922</v>
      </c>
      <c r="E1294" s="76" t="s">
        <v>899</v>
      </c>
      <c r="F1294" s="76" t="s">
        <v>900</v>
      </c>
      <c r="G1294" s="76">
        <v>5</v>
      </c>
      <c r="O1294" s="92"/>
    </row>
    <row r="1295" spans="1:15" x14ac:dyDescent="0.25">
      <c r="A1295" s="1">
        <v>1290</v>
      </c>
      <c r="B1295" s="91">
        <v>13026</v>
      </c>
      <c r="C1295" s="76" t="s">
        <v>219</v>
      </c>
      <c r="D1295" s="76" t="s">
        <v>922</v>
      </c>
      <c r="E1295" s="76" t="s">
        <v>899</v>
      </c>
      <c r="F1295" s="76" t="s">
        <v>900</v>
      </c>
      <c r="G1295" s="76">
        <v>5</v>
      </c>
      <c r="O1295" s="92"/>
    </row>
    <row r="1296" spans="1:15" x14ac:dyDescent="0.25">
      <c r="A1296" s="1">
        <v>1291</v>
      </c>
      <c r="B1296" s="91">
        <v>13027</v>
      </c>
      <c r="C1296" s="76" t="s">
        <v>219</v>
      </c>
      <c r="D1296" s="76" t="s">
        <v>921</v>
      </c>
      <c r="E1296" s="76" t="s">
        <v>899</v>
      </c>
      <c r="F1296" s="76" t="s">
        <v>900</v>
      </c>
      <c r="G1296" s="76">
        <v>5</v>
      </c>
      <c r="O1296" s="92"/>
    </row>
    <row r="1297" spans="1:15" x14ac:dyDescent="0.25">
      <c r="A1297" s="1">
        <v>1292</v>
      </c>
      <c r="B1297" s="91">
        <v>13028</v>
      </c>
      <c r="C1297" s="76" t="s">
        <v>219</v>
      </c>
      <c r="D1297" s="76" t="s">
        <v>923</v>
      </c>
      <c r="E1297" s="76" t="s">
        <v>899</v>
      </c>
      <c r="F1297" s="76" t="s">
        <v>900</v>
      </c>
      <c r="G1297" s="76">
        <v>5</v>
      </c>
      <c r="O1297" s="92"/>
    </row>
    <row r="1298" spans="1:15" x14ac:dyDescent="0.25">
      <c r="A1298" s="1">
        <v>1293</v>
      </c>
      <c r="B1298" s="91">
        <v>13029</v>
      </c>
      <c r="C1298" s="76" t="s">
        <v>219</v>
      </c>
      <c r="D1298" s="76" t="s">
        <v>921</v>
      </c>
      <c r="E1298" s="76" t="s">
        <v>899</v>
      </c>
      <c r="F1298" s="76" t="s">
        <v>900</v>
      </c>
      <c r="G1298" s="76">
        <v>5</v>
      </c>
      <c r="O1298" s="92"/>
    </row>
    <row r="1299" spans="1:15" x14ac:dyDescent="0.25">
      <c r="A1299" s="1">
        <v>1294</v>
      </c>
      <c r="B1299" s="91">
        <v>13030</v>
      </c>
      <c r="C1299" s="76" t="s">
        <v>219</v>
      </c>
      <c r="D1299" s="76" t="s">
        <v>924</v>
      </c>
      <c r="E1299" s="76" t="s">
        <v>899</v>
      </c>
      <c r="F1299" s="76" t="s">
        <v>900</v>
      </c>
      <c r="G1299" s="76">
        <v>6</v>
      </c>
      <c r="O1299" s="92"/>
    </row>
    <row r="1300" spans="1:15" x14ac:dyDescent="0.25">
      <c r="A1300" s="1">
        <v>1295</v>
      </c>
      <c r="B1300" s="91">
        <v>13031</v>
      </c>
      <c r="C1300" s="76" t="s">
        <v>219</v>
      </c>
      <c r="D1300" s="76" t="s">
        <v>921</v>
      </c>
      <c r="E1300" s="76" t="s">
        <v>899</v>
      </c>
      <c r="F1300" s="76" t="s">
        <v>900</v>
      </c>
      <c r="G1300" s="76">
        <v>5</v>
      </c>
      <c r="O1300" s="92"/>
    </row>
    <row r="1301" spans="1:15" x14ac:dyDescent="0.25">
      <c r="A1301" s="1">
        <v>1296</v>
      </c>
      <c r="B1301" s="91">
        <v>13032</v>
      </c>
      <c r="C1301" s="76" t="s">
        <v>219</v>
      </c>
      <c r="D1301" s="76" t="s">
        <v>924</v>
      </c>
      <c r="E1301" s="76" t="s">
        <v>899</v>
      </c>
      <c r="F1301" s="76" t="s">
        <v>900</v>
      </c>
      <c r="G1301" s="76">
        <v>6</v>
      </c>
      <c r="O1301" s="92"/>
    </row>
    <row r="1302" spans="1:15" x14ac:dyDescent="0.25">
      <c r="A1302" s="1">
        <v>1297</v>
      </c>
      <c r="B1302" s="91">
        <v>13033</v>
      </c>
      <c r="C1302" s="76" t="s">
        <v>219</v>
      </c>
      <c r="D1302" s="76" t="s">
        <v>922</v>
      </c>
      <c r="E1302" s="76" t="s">
        <v>899</v>
      </c>
      <c r="F1302" s="76" t="s">
        <v>900</v>
      </c>
      <c r="G1302" s="76">
        <v>5</v>
      </c>
      <c r="O1302" s="92"/>
    </row>
    <row r="1303" spans="1:15" x14ac:dyDescent="0.25">
      <c r="A1303" s="1">
        <v>1298</v>
      </c>
      <c r="B1303" s="91">
        <v>13034</v>
      </c>
      <c r="C1303" s="76" t="s">
        <v>219</v>
      </c>
      <c r="D1303" s="76" t="s">
        <v>922</v>
      </c>
      <c r="E1303" s="76" t="s">
        <v>899</v>
      </c>
      <c r="F1303" s="76" t="s">
        <v>900</v>
      </c>
      <c r="G1303" s="76">
        <v>5</v>
      </c>
      <c r="O1303" s="92"/>
    </row>
    <row r="1304" spans="1:15" x14ac:dyDescent="0.25">
      <c r="A1304" s="1">
        <v>1299</v>
      </c>
      <c r="B1304" s="91">
        <v>13035</v>
      </c>
      <c r="C1304" s="76" t="s">
        <v>219</v>
      </c>
      <c r="D1304" s="76" t="s">
        <v>924</v>
      </c>
      <c r="E1304" s="76" t="s">
        <v>899</v>
      </c>
      <c r="F1304" s="76" t="s">
        <v>900</v>
      </c>
      <c r="G1304" s="76">
        <v>6</v>
      </c>
      <c r="O1304" s="92"/>
    </row>
    <row r="1305" spans="1:15" x14ac:dyDescent="0.25">
      <c r="A1305" s="1">
        <v>1300</v>
      </c>
      <c r="B1305" s="91">
        <v>13036</v>
      </c>
      <c r="C1305" s="76" t="s">
        <v>219</v>
      </c>
      <c r="D1305" s="76" t="s">
        <v>923</v>
      </c>
      <c r="E1305" s="76" t="s">
        <v>899</v>
      </c>
      <c r="F1305" s="76" t="s">
        <v>900</v>
      </c>
      <c r="G1305" s="76">
        <v>5</v>
      </c>
      <c r="O1305" s="92"/>
    </row>
    <row r="1306" spans="1:15" x14ac:dyDescent="0.25">
      <c r="A1306" s="1">
        <v>1301</v>
      </c>
      <c r="B1306" s="91">
        <v>13037</v>
      </c>
      <c r="C1306" s="76" t="s">
        <v>219</v>
      </c>
      <c r="D1306" s="76" t="s">
        <v>924</v>
      </c>
      <c r="E1306" s="76" t="s">
        <v>899</v>
      </c>
      <c r="F1306" s="76" t="s">
        <v>900</v>
      </c>
      <c r="G1306" s="76">
        <v>6</v>
      </c>
      <c r="O1306" s="92"/>
    </row>
    <row r="1307" spans="1:15" x14ac:dyDescent="0.25">
      <c r="A1307" s="1">
        <v>1302</v>
      </c>
      <c r="B1307" s="91">
        <v>13039</v>
      </c>
      <c r="C1307" s="76" t="s">
        <v>219</v>
      </c>
      <c r="D1307" s="76" t="s">
        <v>921</v>
      </c>
      <c r="E1307" s="76" t="s">
        <v>899</v>
      </c>
      <c r="F1307" s="76" t="s">
        <v>900</v>
      </c>
      <c r="G1307" s="76">
        <v>5</v>
      </c>
      <c r="O1307" s="92"/>
    </row>
    <row r="1308" spans="1:15" x14ac:dyDescent="0.25">
      <c r="A1308" s="1">
        <v>1303</v>
      </c>
      <c r="B1308" s="91">
        <v>13040</v>
      </c>
      <c r="C1308" s="76" t="s">
        <v>219</v>
      </c>
      <c r="D1308" s="76" t="s">
        <v>925</v>
      </c>
      <c r="E1308" s="76" t="s">
        <v>899</v>
      </c>
      <c r="F1308" s="76" t="s">
        <v>900</v>
      </c>
      <c r="G1308" s="76">
        <v>5</v>
      </c>
      <c r="O1308" s="92"/>
    </row>
    <row r="1309" spans="1:15" x14ac:dyDescent="0.25">
      <c r="A1309" s="1">
        <v>1304</v>
      </c>
      <c r="B1309" s="91">
        <v>13041</v>
      </c>
      <c r="C1309" s="76" t="s">
        <v>219</v>
      </c>
      <c r="D1309" s="76" t="s">
        <v>921</v>
      </c>
      <c r="E1309" s="76" t="s">
        <v>899</v>
      </c>
      <c r="F1309" s="76" t="s">
        <v>900</v>
      </c>
      <c r="G1309" s="76">
        <v>5</v>
      </c>
      <c r="O1309" s="92"/>
    </row>
    <row r="1310" spans="1:15" x14ac:dyDescent="0.25">
      <c r="A1310" s="1">
        <v>1305</v>
      </c>
      <c r="B1310" s="91">
        <v>13042</v>
      </c>
      <c r="C1310" s="76" t="s">
        <v>219</v>
      </c>
      <c r="D1310" s="76" t="s">
        <v>926</v>
      </c>
      <c r="E1310" s="76" t="s">
        <v>899</v>
      </c>
      <c r="F1310" s="76" t="s">
        <v>900</v>
      </c>
      <c r="G1310" s="76">
        <v>6</v>
      </c>
      <c r="O1310" s="92"/>
    </row>
    <row r="1311" spans="1:15" x14ac:dyDescent="0.25">
      <c r="A1311" s="1">
        <v>1306</v>
      </c>
      <c r="B1311" s="91">
        <v>13043</v>
      </c>
      <c r="C1311" s="76" t="s">
        <v>219</v>
      </c>
      <c r="D1311" s="76" t="s">
        <v>924</v>
      </c>
      <c r="E1311" s="76" t="s">
        <v>899</v>
      </c>
      <c r="F1311" s="76" t="s">
        <v>900</v>
      </c>
      <c r="G1311" s="76">
        <v>6</v>
      </c>
      <c r="O1311" s="92"/>
    </row>
    <row r="1312" spans="1:15" x14ac:dyDescent="0.25">
      <c r="A1312" s="1">
        <v>1307</v>
      </c>
      <c r="B1312" s="91">
        <v>13044</v>
      </c>
      <c r="C1312" s="76" t="s">
        <v>219</v>
      </c>
      <c r="D1312" s="76" t="s">
        <v>923</v>
      </c>
      <c r="E1312" s="76" t="s">
        <v>899</v>
      </c>
      <c r="F1312" s="76" t="s">
        <v>900</v>
      </c>
      <c r="G1312" s="76">
        <v>5</v>
      </c>
      <c r="O1312" s="92"/>
    </row>
    <row r="1313" spans="1:15" x14ac:dyDescent="0.25">
      <c r="A1313" s="1">
        <v>1308</v>
      </c>
      <c r="B1313" s="91">
        <v>13045</v>
      </c>
      <c r="C1313" s="76" t="s">
        <v>219</v>
      </c>
      <c r="D1313" s="76" t="s">
        <v>925</v>
      </c>
      <c r="E1313" s="76" t="s">
        <v>899</v>
      </c>
      <c r="F1313" s="76" t="s">
        <v>900</v>
      </c>
      <c r="G1313" s="76">
        <v>5</v>
      </c>
      <c r="O1313" s="92"/>
    </row>
    <row r="1314" spans="1:15" x14ac:dyDescent="0.25">
      <c r="A1314" s="1">
        <v>1309</v>
      </c>
      <c r="B1314" s="91">
        <v>13051</v>
      </c>
      <c r="C1314" s="76" t="s">
        <v>219</v>
      </c>
      <c r="D1314" s="76" t="s">
        <v>921</v>
      </c>
      <c r="E1314" s="76" t="s">
        <v>899</v>
      </c>
      <c r="F1314" s="76" t="s">
        <v>900</v>
      </c>
      <c r="G1314" s="76">
        <v>5</v>
      </c>
      <c r="O1314" s="92"/>
    </row>
    <row r="1315" spans="1:15" x14ac:dyDescent="0.25">
      <c r="A1315" s="1">
        <v>1310</v>
      </c>
      <c r="B1315" s="91">
        <v>13052</v>
      </c>
      <c r="C1315" s="76" t="s">
        <v>219</v>
      </c>
      <c r="D1315" s="76" t="s">
        <v>924</v>
      </c>
      <c r="E1315" s="76" t="s">
        <v>899</v>
      </c>
      <c r="F1315" s="76" t="s">
        <v>900</v>
      </c>
      <c r="G1315" s="76">
        <v>6</v>
      </c>
      <c r="O1315" s="92"/>
    </row>
    <row r="1316" spans="1:15" x14ac:dyDescent="0.25">
      <c r="A1316" s="1">
        <v>1311</v>
      </c>
      <c r="B1316" s="91">
        <v>13053</v>
      </c>
      <c r="C1316" s="76" t="s">
        <v>212</v>
      </c>
      <c r="D1316" s="76" t="s">
        <v>927</v>
      </c>
      <c r="E1316" s="76" t="s">
        <v>899</v>
      </c>
      <c r="F1316" s="76" t="s">
        <v>900</v>
      </c>
      <c r="G1316" s="76">
        <v>6</v>
      </c>
      <c r="O1316" s="92"/>
    </row>
    <row r="1317" spans="1:15" x14ac:dyDescent="0.25">
      <c r="A1317" s="1">
        <v>1312</v>
      </c>
      <c r="B1317" s="91">
        <v>13054</v>
      </c>
      <c r="C1317" s="76" t="s">
        <v>219</v>
      </c>
      <c r="D1317" s="76" t="s">
        <v>926</v>
      </c>
      <c r="E1317" s="76" t="s">
        <v>899</v>
      </c>
      <c r="F1317" s="76" t="s">
        <v>900</v>
      </c>
      <c r="G1317" s="76">
        <v>6</v>
      </c>
      <c r="O1317" s="92"/>
    </row>
    <row r="1318" spans="1:15" x14ac:dyDescent="0.25">
      <c r="A1318" s="1">
        <v>1313</v>
      </c>
      <c r="B1318" s="91">
        <v>13056</v>
      </c>
      <c r="C1318" s="76" t="s">
        <v>219</v>
      </c>
      <c r="D1318" s="76" t="s">
        <v>925</v>
      </c>
      <c r="E1318" s="76" t="s">
        <v>899</v>
      </c>
      <c r="F1318" s="76" t="s">
        <v>900</v>
      </c>
      <c r="G1318" s="76">
        <v>5</v>
      </c>
      <c r="O1318" s="92"/>
    </row>
    <row r="1319" spans="1:15" x14ac:dyDescent="0.25">
      <c r="A1319" s="1">
        <v>1314</v>
      </c>
      <c r="B1319" s="91">
        <v>13057</v>
      </c>
      <c r="C1319" s="76" t="s">
        <v>219</v>
      </c>
      <c r="D1319" s="76" t="s">
        <v>921</v>
      </c>
      <c r="E1319" s="76" t="s">
        <v>899</v>
      </c>
      <c r="F1319" s="76" t="s">
        <v>900</v>
      </c>
      <c r="G1319" s="76">
        <v>5</v>
      </c>
      <c r="O1319" s="92"/>
    </row>
    <row r="1320" spans="1:15" x14ac:dyDescent="0.25">
      <c r="A1320" s="1">
        <v>1315</v>
      </c>
      <c r="B1320" s="91">
        <v>13060</v>
      </c>
      <c r="C1320" s="76" t="s">
        <v>219</v>
      </c>
      <c r="D1320" s="76" t="s">
        <v>921</v>
      </c>
      <c r="E1320" s="76" t="s">
        <v>899</v>
      </c>
      <c r="F1320" s="76" t="s">
        <v>900</v>
      </c>
      <c r="G1320" s="76">
        <v>5</v>
      </c>
      <c r="O1320" s="92"/>
    </row>
    <row r="1321" spans="1:15" x14ac:dyDescent="0.25">
      <c r="A1321" s="1">
        <v>1316</v>
      </c>
      <c r="B1321" s="91">
        <v>13061</v>
      </c>
      <c r="C1321" s="76" t="s">
        <v>219</v>
      </c>
      <c r="D1321" s="76" t="s">
        <v>924</v>
      </c>
      <c r="E1321" s="76" t="s">
        <v>899</v>
      </c>
      <c r="F1321" s="76" t="s">
        <v>900</v>
      </c>
      <c r="G1321" s="76">
        <v>6</v>
      </c>
      <c r="O1321" s="92"/>
    </row>
    <row r="1322" spans="1:15" x14ac:dyDescent="0.25">
      <c r="A1322" s="1">
        <v>1317</v>
      </c>
      <c r="B1322" s="91">
        <v>13062</v>
      </c>
      <c r="C1322" s="76" t="s">
        <v>212</v>
      </c>
      <c r="D1322" s="76" t="s">
        <v>927</v>
      </c>
      <c r="E1322" s="76" t="s">
        <v>899</v>
      </c>
      <c r="F1322" s="76" t="s">
        <v>900</v>
      </c>
      <c r="G1322" s="76">
        <v>6</v>
      </c>
      <c r="O1322" s="92"/>
    </row>
    <row r="1323" spans="1:15" x14ac:dyDescent="0.25">
      <c r="A1323" s="1">
        <v>1318</v>
      </c>
      <c r="B1323" s="91">
        <v>13063</v>
      </c>
      <c r="C1323" s="76" t="s">
        <v>219</v>
      </c>
      <c r="D1323" s="76" t="s">
        <v>921</v>
      </c>
      <c r="E1323" s="76" t="s">
        <v>899</v>
      </c>
      <c r="F1323" s="76" t="s">
        <v>900</v>
      </c>
      <c r="G1323" s="76">
        <v>5</v>
      </c>
      <c r="O1323" s="92"/>
    </row>
    <row r="1324" spans="1:15" x14ac:dyDescent="0.25">
      <c r="A1324" s="1">
        <v>1319</v>
      </c>
      <c r="B1324" s="91">
        <v>13064</v>
      </c>
      <c r="C1324" s="76" t="s">
        <v>219</v>
      </c>
      <c r="D1324" s="76" t="s">
        <v>922</v>
      </c>
      <c r="E1324" s="76" t="s">
        <v>899</v>
      </c>
      <c r="F1324" s="76" t="s">
        <v>900</v>
      </c>
      <c r="G1324" s="76">
        <v>5</v>
      </c>
      <c r="O1324" s="92"/>
    </row>
    <row r="1325" spans="1:15" x14ac:dyDescent="0.25">
      <c r="A1325" s="1">
        <v>1320</v>
      </c>
      <c r="B1325" s="91">
        <v>13065</v>
      </c>
      <c r="C1325" s="76" t="s">
        <v>219</v>
      </c>
      <c r="D1325" s="76" t="s">
        <v>928</v>
      </c>
      <c r="E1325" s="76" t="s">
        <v>899</v>
      </c>
      <c r="F1325" s="76" t="s">
        <v>900</v>
      </c>
      <c r="G1325" s="76">
        <v>5</v>
      </c>
      <c r="O1325" s="92"/>
    </row>
    <row r="1326" spans="1:15" x14ac:dyDescent="0.25">
      <c r="A1326" s="1">
        <v>1321</v>
      </c>
      <c r="B1326" s="91">
        <v>13066</v>
      </c>
      <c r="C1326" s="76" t="s">
        <v>219</v>
      </c>
      <c r="D1326" s="76" t="s">
        <v>921</v>
      </c>
      <c r="E1326" s="76" t="s">
        <v>899</v>
      </c>
      <c r="F1326" s="76" t="s">
        <v>900</v>
      </c>
      <c r="G1326" s="76">
        <v>5</v>
      </c>
      <c r="O1326" s="92"/>
    </row>
    <row r="1327" spans="1:15" x14ac:dyDescent="0.25">
      <c r="A1327" s="1">
        <v>1322</v>
      </c>
      <c r="B1327" s="91">
        <v>13068</v>
      </c>
      <c r="C1327" s="76" t="s">
        <v>212</v>
      </c>
      <c r="D1327" s="76" t="s">
        <v>927</v>
      </c>
      <c r="E1327" s="76" t="s">
        <v>899</v>
      </c>
      <c r="F1327" s="76" t="s">
        <v>900</v>
      </c>
      <c r="G1327" s="76">
        <v>6</v>
      </c>
      <c r="O1327" s="92"/>
    </row>
    <row r="1328" spans="1:15" x14ac:dyDescent="0.25">
      <c r="A1328" s="1">
        <v>1323</v>
      </c>
      <c r="B1328" s="91">
        <v>13069</v>
      </c>
      <c r="C1328" s="76" t="s">
        <v>219</v>
      </c>
      <c r="D1328" s="76" t="s">
        <v>923</v>
      </c>
      <c r="E1328" s="76" t="s">
        <v>899</v>
      </c>
      <c r="F1328" s="76" t="s">
        <v>900</v>
      </c>
      <c r="G1328" s="76">
        <v>5</v>
      </c>
      <c r="O1328" s="92"/>
    </row>
    <row r="1329" spans="1:15" x14ac:dyDescent="0.25">
      <c r="A1329" s="1">
        <v>1324</v>
      </c>
      <c r="B1329" s="91">
        <v>13071</v>
      </c>
      <c r="C1329" s="76" t="s">
        <v>219</v>
      </c>
      <c r="D1329" s="76" t="s">
        <v>922</v>
      </c>
      <c r="E1329" s="76" t="s">
        <v>899</v>
      </c>
      <c r="F1329" s="76" t="s">
        <v>900</v>
      </c>
      <c r="G1329" s="76">
        <v>5</v>
      </c>
      <c r="O1329" s="92"/>
    </row>
    <row r="1330" spans="1:15" x14ac:dyDescent="0.25">
      <c r="A1330" s="1">
        <v>1325</v>
      </c>
      <c r="B1330" s="91">
        <v>13072</v>
      </c>
      <c r="C1330" s="76" t="s">
        <v>219</v>
      </c>
      <c r="D1330" s="76" t="s">
        <v>924</v>
      </c>
      <c r="E1330" s="76" t="s">
        <v>899</v>
      </c>
      <c r="F1330" s="76" t="s">
        <v>900</v>
      </c>
      <c r="G1330" s="76">
        <v>6</v>
      </c>
      <c r="O1330" s="92"/>
    </row>
    <row r="1331" spans="1:15" x14ac:dyDescent="0.25">
      <c r="A1331" s="1">
        <v>1326</v>
      </c>
      <c r="B1331" s="91">
        <v>13073</v>
      </c>
      <c r="C1331" s="76" t="s">
        <v>212</v>
      </c>
      <c r="D1331" s="76" t="s">
        <v>927</v>
      </c>
      <c r="E1331" s="76" t="s">
        <v>899</v>
      </c>
      <c r="F1331" s="76" t="s">
        <v>900</v>
      </c>
      <c r="G1331" s="76">
        <v>6</v>
      </c>
      <c r="O1331" s="92"/>
    </row>
    <row r="1332" spans="1:15" x14ac:dyDescent="0.25">
      <c r="A1332" s="1">
        <v>1327</v>
      </c>
      <c r="B1332" s="91">
        <v>13074</v>
      </c>
      <c r="C1332" s="76" t="s">
        <v>219</v>
      </c>
      <c r="D1332" s="76" t="s">
        <v>923</v>
      </c>
      <c r="E1332" s="76" t="s">
        <v>899</v>
      </c>
      <c r="F1332" s="76" t="s">
        <v>900</v>
      </c>
      <c r="G1332" s="76">
        <v>5</v>
      </c>
      <c r="O1332" s="92"/>
    </row>
    <row r="1333" spans="1:15" x14ac:dyDescent="0.25">
      <c r="A1333" s="1">
        <v>1328</v>
      </c>
      <c r="B1333" s="91">
        <v>13076</v>
      </c>
      <c r="C1333" s="76" t="s">
        <v>219</v>
      </c>
      <c r="D1333" s="76" t="s">
        <v>923</v>
      </c>
      <c r="E1333" s="76" t="s">
        <v>899</v>
      </c>
      <c r="F1333" s="76" t="s">
        <v>900</v>
      </c>
      <c r="G1333" s="76">
        <v>5</v>
      </c>
      <c r="O1333" s="92"/>
    </row>
    <row r="1334" spans="1:15" x14ac:dyDescent="0.25">
      <c r="A1334" s="1">
        <v>1329</v>
      </c>
      <c r="B1334" s="91">
        <v>13077</v>
      </c>
      <c r="C1334" s="76" t="s">
        <v>219</v>
      </c>
      <c r="D1334" s="76" t="s">
        <v>925</v>
      </c>
      <c r="E1334" s="76" t="s">
        <v>899</v>
      </c>
      <c r="F1334" s="76" t="s">
        <v>900</v>
      </c>
      <c r="G1334" s="76">
        <v>5</v>
      </c>
      <c r="O1334" s="92"/>
    </row>
    <row r="1335" spans="1:15" x14ac:dyDescent="0.25">
      <c r="A1335" s="1">
        <v>1330</v>
      </c>
      <c r="B1335" s="91">
        <v>13078</v>
      </c>
      <c r="C1335" s="76" t="s">
        <v>219</v>
      </c>
      <c r="D1335" s="76" t="s">
        <v>921</v>
      </c>
      <c r="E1335" s="76" t="s">
        <v>899</v>
      </c>
      <c r="F1335" s="76" t="s">
        <v>900</v>
      </c>
      <c r="G1335" s="76">
        <v>5</v>
      </c>
      <c r="O1335" s="92"/>
    </row>
    <row r="1336" spans="1:15" x14ac:dyDescent="0.25">
      <c r="A1336" s="1">
        <v>1331</v>
      </c>
      <c r="B1336" s="91">
        <v>13080</v>
      </c>
      <c r="C1336" s="76" t="s">
        <v>219</v>
      </c>
      <c r="D1336" s="76" t="s">
        <v>921</v>
      </c>
      <c r="E1336" s="76" t="s">
        <v>899</v>
      </c>
      <c r="F1336" s="76" t="s">
        <v>900</v>
      </c>
      <c r="G1336" s="76">
        <v>5</v>
      </c>
      <c r="O1336" s="92"/>
    </row>
    <row r="1337" spans="1:15" x14ac:dyDescent="0.25">
      <c r="A1337" s="1">
        <v>1332</v>
      </c>
      <c r="B1337" s="91">
        <v>13081</v>
      </c>
      <c r="C1337" s="76" t="s">
        <v>219</v>
      </c>
      <c r="D1337" s="76" t="s">
        <v>922</v>
      </c>
      <c r="E1337" s="76" t="s">
        <v>899</v>
      </c>
      <c r="F1337" s="76" t="s">
        <v>900</v>
      </c>
      <c r="G1337" s="76">
        <v>5</v>
      </c>
      <c r="O1337" s="92"/>
    </row>
    <row r="1338" spans="1:15" x14ac:dyDescent="0.25">
      <c r="A1338" s="1">
        <v>1333</v>
      </c>
      <c r="B1338" s="91">
        <v>13082</v>
      </c>
      <c r="C1338" s="76" t="s">
        <v>219</v>
      </c>
      <c r="D1338" s="76" t="s">
        <v>924</v>
      </c>
      <c r="E1338" s="76" t="s">
        <v>899</v>
      </c>
      <c r="F1338" s="76" t="s">
        <v>900</v>
      </c>
      <c r="G1338" s="76">
        <v>6</v>
      </c>
      <c r="O1338" s="92"/>
    </row>
    <row r="1339" spans="1:15" x14ac:dyDescent="0.25">
      <c r="A1339" s="1">
        <v>1334</v>
      </c>
      <c r="B1339" s="91">
        <v>13083</v>
      </c>
      <c r="C1339" s="76" t="s">
        <v>219</v>
      </c>
      <c r="D1339" s="76" t="s">
        <v>923</v>
      </c>
      <c r="E1339" s="76" t="s">
        <v>899</v>
      </c>
      <c r="F1339" s="76" t="s">
        <v>900</v>
      </c>
      <c r="G1339" s="76">
        <v>5</v>
      </c>
      <c r="O1339" s="92"/>
    </row>
    <row r="1340" spans="1:15" x14ac:dyDescent="0.25">
      <c r="A1340" s="1">
        <v>1335</v>
      </c>
      <c r="B1340" s="91">
        <v>13084</v>
      </c>
      <c r="C1340" s="76" t="s">
        <v>219</v>
      </c>
      <c r="D1340" s="76" t="s">
        <v>921</v>
      </c>
      <c r="E1340" s="76" t="s">
        <v>899</v>
      </c>
      <c r="F1340" s="76" t="s">
        <v>900</v>
      </c>
      <c r="G1340" s="76">
        <v>5</v>
      </c>
      <c r="O1340" s="92"/>
    </row>
    <row r="1341" spans="1:15" x14ac:dyDescent="0.25">
      <c r="A1341" s="1">
        <v>1336</v>
      </c>
      <c r="B1341" s="91">
        <v>13087</v>
      </c>
      <c r="C1341" s="76" t="s">
        <v>219</v>
      </c>
      <c r="D1341" s="76" t="s">
        <v>925</v>
      </c>
      <c r="E1341" s="76" t="s">
        <v>899</v>
      </c>
      <c r="F1341" s="76" t="s">
        <v>900</v>
      </c>
      <c r="G1341" s="76">
        <v>5</v>
      </c>
      <c r="O1341" s="92"/>
    </row>
    <row r="1342" spans="1:15" x14ac:dyDescent="0.25">
      <c r="A1342" s="1">
        <v>1337</v>
      </c>
      <c r="B1342" s="91">
        <v>13088</v>
      </c>
      <c r="C1342" s="76" t="s">
        <v>219</v>
      </c>
      <c r="D1342" s="76" t="s">
        <v>921</v>
      </c>
      <c r="E1342" s="76" t="s">
        <v>899</v>
      </c>
      <c r="F1342" s="76" t="s">
        <v>900</v>
      </c>
      <c r="G1342" s="76">
        <v>5</v>
      </c>
      <c r="O1342" s="92"/>
    </row>
    <row r="1343" spans="1:15" x14ac:dyDescent="0.25">
      <c r="A1343" s="1">
        <v>1338</v>
      </c>
      <c r="B1343" s="91">
        <v>13089</v>
      </c>
      <c r="C1343" s="76" t="s">
        <v>219</v>
      </c>
      <c r="D1343" s="76" t="s">
        <v>921</v>
      </c>
      <c r="E1343" s="76" t="s">
        <v>899</v>
      </c>
      <c r="F1343" s="76" t="s">
        <v>900</v>
      </c>
      <c r="G1343" s="76">
        <v>5</v>
      </c>
      <c r="O1343" s="92"/>
    </row>
    <row r="1344" spans="1:15" x14ac:dyDescent="0.25">
      <c r="A1344" s="1">
        <v>1339</v>
      </c>
      <c r="B1344" s="91">
        <v>13090</v>
      </c>
      <c r="C1344" s="76" t="s">
        <v>219</v>
      </c>
      <c r="D1344" s="76" t="s">
        <v>921</v>
      </c>
      <c r="E1344" s="76" t="s">
        <v>899</v>
      </c>
      <c r="F1344" s="76" t="s">
        <v>900</v>
      </c>
      <c r="G1344" s="76">
        <v>5</v>
      </c>
      <c r="O1344" s="92"/>
    </row>
    <row r="1345" spans="1:15" x14ac:dyDescent="0.25">
      <c r="A1345" s="1">
        <v>1340</v>
      </c>
      <c r="B1345" s="91">
        <v>13092</v>
      </c>
      <c r="C1345" s="76" t="s">
        <v>219</v>
      </c>
      <c r="D1345" s="76" t="s">
        <v>922</v>
      </c>
      <c r="E1345" s="76" t="s">
        <v>899</v>
      </c>
      <c r="F1345" s="76" t="s">
        <v>900</v>
      </c>
      <c r="G1345" s="76">
        <v>5</v>
      </c>
      <c r="O1345" s="92"/>
    </row>
    <row r="1346" spans="1:15" x14ac:dyDescent="0.25">
      <c r="A1346" s="1">
        <v>1341</v>
      </c>
      <c r="B1346" s="91">
        <v>13093</v>
      </c>
      <c r="C1346" s="76" t="s">
        <v>219</v>
      </c>
      <c r="D1346" s="76" t="s">
        <v>923</v>
      </c>
      <c r="E1346" s="76" t="s">
        <v>899</v>
      </c>
      <c r="F1346" s="76" t="s">
        <v>900</v>
      </c>
      <c r="G1346" s="76">
        <v>5</v>
      </c>
      <c r="O1346" s="92"/>
    </row>
    <row r="1347" spans="1:15" x14ac:dyDescent="0.25">
      <c r="A1347" s="1">
        <v>1342</v>
      </c>
      <c r="B1347" s="91">
        <v>13101</v>
      </c>
      <c r="C1347" s="76" t="s">
        <v>219</v>
      </c>
      <c r="D1347" s="76" t="s">
        <v>925</v>
      </c>
      <c r="E1347" s="76" t="s">
        <v>899</v>
      </c>
      <c r="F1347" s="76" t="s">
        <v>900</v>
      </c>
      <c r="G1347" s="76">
        <v>5</v>
      </c>
      <c r="O1347" s="92"/>
    </row>
    <row r="1348" spans="1:15" x14ac:dyDescent="0.25">
      <c r="A1348" s="1">
        <v>1343</v>
      </c>
      <c r="B1348" s="91">
        <v>13102</v>
      </c>
      <c r="C1348" s="76" t="s">
        <v>212</v>
      </c>
      <c r="D1348" s="76" t="s">
        <v>927</v>
      </c>
      <c r="E1348" s="76" t="s">
        <v>899</v>
      </c>
      <c r="F1348" s="76" t="s">
        <v>900</v>
      </c>
      <c r="G1348" s="76">
        <v>6</v>
      </c>
      <c r="O1348" s="92"/>
    </row>
    <row r="1349" spans="1:15" x14ac:dyDescent="0.25">
      <c r="A1349" s="1">
        <v>1344</v>
      </c>
      <c r="B1349" s="91">
        <v>13103</v>
      </c>
      <c r="C1349" s="76" t="s">
        <v>219</v>
      </c>
      <c r="D1349" s="76" t="s">
        <v>923</v>
      </c>
      <c r="E1349" s="76" t="s">
        <v>899</v>
      </c>
      <c r="F1349" s="76" t="s">
        <v>900</v>
      </c>
      <c r="G1349" s="76">
        <v>5</v>
      </c>
      <c r="O1349" s="92"/>
    </row>
    <row r="1350" spans="1:15" x14ac:dyDescent="0.25">
      <c r="A1350" s="1">
        <v>1345</v>
      </c>
      <c r="B1350" s="91">
        <v>13104</v>
      </c>
      <c r="C1350" s="76" t="s">
        <v>219</v>
      </c>
      <c r="D1350" s="76" t="s">
        <v>921</v>
      </c>
      <c r="E1350" s="76" t="s">
        <v>899</v>
      </c>
      <c r="F1350" s="76" t="s">
        <v>900</v>
      </c>
      <c r="G1350" s="76">
        <v>5</v>
      </c>
      <c r="O1350" s="92"/>
    </row>
    <row r="1351" spans="1:15" x14ac:dyDescent="0.25">
      <c r="A1351" s="1">
        <v>1346</v>
      </c>
      <c r="B1351" s="91">
        <v>13107</v>
      </c>
      <c r="C1351" s="76" t="s">
        <v>219</v>
      </c>
      <c r="D1351" s="76" t="s">
        <v>923</v>
      </c>
      <c r="E1351" s="76" t="s">
        <v>899</v>
      </c>
      <c r="F1351" s="76" t="s">
        <v>900</v>
      </c>
      <c r="G1351" s="76">
        <v>5</v>
      </c>
      <c r="O1351" s="92"/>
    </row>
    <row r="1352" spans="1:15" x14ac:dyDescent="0.25">
      <c r="A1352" s="1">
        <v>1347</v>
      </c>
      <c r="B1352" s="91">
        <v>13108</v>
      </c>
      <c r="C1352" s="76" t="s">
        <v>219</v>
      </c>
      <c r="D1352" s="76" t="s">
        <v>921</v>
      </c>
      <c r="E1352" s="76" t="s">
        <v>899</v>
      </c>
      <c r="F1352" s="76" t="s">
        <v>900</v>
      </c>
      <c r="G1352" s="76">
        <v>5</v>
      </c>
      <c r="O1352" s="92"/>
    </row>
    <row r="1353" spans="1:15" x14ac:dyDescent="0.25">
      <c r="A1353" s="1">
        <v>1348</v>
      </c>
      <c r="B1353" s="91">
        <v>13110</v>
      </c>
      <c r="C1353" s="76" t="s">
        <v>219</v>
      </c>
      <c r="D1353" s="76" t="s">
        <v>921</v>
      </c>
      <c r="E1353" s="76" t="s">
        <v>899</v>
      </c>
      <c r="F1353" s="76" t="s">
        <v>900</v>
      </c>
      <c r="G1353" s="76">
        <v>5</v>
      </c>
      <c r="O1353" s="92"/>
    </row>
    <row r="1354" spans="1:15" x14ac:dyDescent="0.25">
      <c r="A1354" s="1">
        <v>1349</v>
      </c>
      <c r="B1354" s="91">
        <v>13111</v>
      </c>
      <c r="C1354" s="76" t="s">
        <v>219</v>
      </c>
      <c r="D1354" s="76" t="s">
        <v>922</v>
      </c>
      <c r="E1354" s="76" t="s">
        <v>899</v>
      </c>
      <c r="F1354" s="76" t="s">
        <v>900</v>
      </c>
      <c r="G1354" s="76">
        <v>5</v>
      </c>
      <c r="O1354" s="92"/>
    </row>
    <row r="1355" spans="1:15" x14ac:dyDescent="0.25">
      <c r="A1355" s="1">
        <v>1350</v>
      </c>
      <c r="B1355" s="91">
        <v>13112</v>
      </c>
      <c r="C1355" s="76" t="s">
        <v>219</v>
      </c>
      <c r="D1355" s="76" t="s">
        <v>921</v>
      </c>
      <c r="E1355" s="76" t="s">
        <v>899</v>
      </c>
      <c r="F1355" s="76" t="s">
        <v>900</v>
      </c>
      <c r="G1355" s="76">
        <v>5</v>
      </c>
      <c r="O1355" s="92"/>
    </row>
    <row r="1356" spans="1:15" x14ac:dyDescent="0.25">
      <c r="A1356" s="1">
        <v>1351</v>
      </c>
      <c r="B1356" s="91">
        <v>13113</v>
      </c>
      <c r="C1356" s="76" t="s">
        <v>219</v>
      </c>
      <c r="D1356" s="76" t="s">
        <v>922</v>
      </c>
      <c r="E1356" s="76" t="s">
        <v>899</v>
      </c>
      <c r="F1356" s="76" t="s">
        <v>900</v>
      </c>
      <c r="G1356" s="76">
        <v>5</v>
      </c>
      <c r="O1356" s="92"/>
    </row>
    <row r="1357" spans="1:15" x14ac:dyDescent="0.25">
      <c r="A1357" s="1">
        <v>1352</v>
      </c>
      <c r="B1357" s="91">
        <v>13114</v>
      </c>
      <c r="C1357" s="76" t="s">
        <v>219</v>
      </c>
      <c r="D1357" s="76" t="s">
        <v>923</v>
      </c>
      <c r="E1357" s="76" t="s">
        <v>899</v>
      </c>
      <c r="F1357" s="76" t="s">
        <v>900</v>
      </c>
      <c r="G1357" s="76">
        <v>5</v>
      </c>
      <c r="O1357" s="92"/>
    </row>
    <row r="1358" spans="1:15" x14ac:dyDescent="0.25">
      <c r="A1358" s="1">
        <v>1353</v>
      </c>
      <c r="B1358" s="91">
        <v>13115</v>
      </c>
      <c r="C1358" s="76" t="s">
        <v>219</v>
      </c>
      <c r="D1358" s="76" t="s">
        <v>923</v>
      </c>
      <c r="E1358" s="76" t="s">
        <v>899</v>
      </c>
      <c r="F1358" s="76" t="s">
        <v>900</v>
      </c>
      <c r="G1358" s="76">
        <v>5</v>
      </c>
      <c r="O1358" s="92"/>
    </row>
    <row r="1359" spans="1:15" x14ac:dyDescent="0.25">
      <c r="A1359" s="1">
        <v>1354</v>
      </c>
      <c r="B1359" s="91">
        <v>13116</v>
      </c>
      <c r="C1359" s="76" t="s">
        <v>219</v>
      </c>
      <c r="D1359" s="76" t="s">
        <v>921</v>
      </c>
      <c r="E1359" s="76" t="s">
        <v>899</v>
      </c>
      <c r="F1359" s="76" t="s">
        <v>900</v>
      </c>
      <c r="G1359" s="76">
        <v>5</v>
      </c>
      <c r="O1359" s="92"/>
    </row>
    <row r="1360" spans="1:15" x14ac:dyDescent="0.25">
      <c r="A1360" s="1">
        <v>1355</v>
      </c>
      <c r="B1360" s="91">
        <v>13117</v>
      </c>
      <c r="C1360" s="76" t="s">
        <v>219</v>
      </c>
      <c r="D1360" s="76" t="s">
        <v>922</v>
      </c>
      <c r="E1360" s="76" t="s">
        <v>899</v>
      </c>
      <c r="F1360" s="76" t="s">
        <v>900</v>
      </c>
      <c r="G1360" s="76">
        <v>5</v>
      </c>
      <c r="O1360" s="92"/>
    </row>
    <row r="1361" spans="1:15" x14ac:dyDescent="0.25">
      <c r="A1361" s="1">
        <v>1356</v>
      </c>
      <c r="B1361" s="91">
        <v>13118</v>
      </c>
      <c r="C1361" s="76" t="s">
        <v>219</v>
      </c>
      <c r="D1361" s="76" t="s">
        <v>922</v>
      </c>
      <c r="E1361" s="76" t="s">
        <v>899</v>
      </c>
      <c r="F1361" s="76" t="s">
        <v>900</v>
      </c>
      <c r="G1361" s="76">
        <v>5</v>
      </c>
      <c r="O1361" s="92"/>
    </row>
    <row r="1362" spans="1:15" x14ac:dyDescent="0.25">
      <c r="A1362" s="1">
        <v>1357</v>
      </c>
      <c r="B1362" s="91">
        <v>13119</v>
      </c>
      <c r="C1362" s="76" t="s">
        <v>219</v>
      </c>
      <c r="D1362" s="76" t="s">
        <v>921</v>
      </c>
      <c r="E1362" s="76" t="s">
        <v>899</v>
      </c>
      <c r="F1362" s="76" t="s">
        <v>900</v>
      </c>
      <c r="G1362" s="76">
        <v>5</v>
      </c>
      <c r="O1362" s="92"/>
    </row>
    <row r="1363" spans="1:15" x14ac:dyDescent="0.25">
      <c r="A1363" s="1">
        <v>1358</v>
      </c>
      <c r="B1363" s="91">
        <v>13120</v>
      </c>
      <c r="C1363" s="76" t="s">
        <v>219</v>
      </c>
      <c r="D1363" s="76" t="s">
        <v>921</v>
      </c>
      <c r="E1363" s="76" t="s">
        <v>899</v>
      </c>
      <c r="F1363" s="76" t="s">
        <v>900</v>
      </c>
      <c r="G1363" s="76">
        <v>5</v>
      </c>
      <c r="O1363" s="92"/>
    </row>
    <row r="1364" spans="1:15" x14ac:dyDescent="0.25">
      <c r="A1364" s="1">
        <v>1359</v>
      </c>
      <c r="B1364" s="91">
        <v>13121</v>
      </c>
      <c r="C1364" s="76" t="s">
        <v>219</v>
      </c>
      <c r="D1364" s="76" t="s">
        <v>923</v>
      </c>
      <c r="E1364" s="76" t="s">
        <v>899</v>
      </c>
      <c r="F1364" s="76" t="s">
        <v>900</v>
      </c>
      <c r="G1364" s="76">
        <v>5</v>
      </c>
      <c r="O1364" s="92"/>
    </row>
    <row r="1365" spans="1:15" x14ac:dyDescent="0.25">
      <c r="A1365" s="1">
        <v>1360</v>
      </c>
      <c r="B1365" s="91">
        <v>13122</v>
      </c>
      <c r="C1365" s="76" t="s">
        <v>219</v>
      </c>
      <c r="D1365" s="76" t="s">
        <v>924</v>
      </c>
      <c r="E1365" s="76" t="s">
        <v>899</v>
      </c>
      <c r="F1365" s="76" t="s">
        <v>900</v>
      </c>
      <c r="G1365" s="76">
        <v>6</v>
      </c>
      <c r="O1365" s="92"/>
    </row>
    <row r="1366" spans="1:15" x14ac:dyDescent="0.25">
      <c r="A1366" s="1">
        <v>1361</v>
      </c>
      <c r="B1366" s="91">
        <v>13123</v>
      </c>
      <c r="C1366" s="76" t="s">
        <v>219</v>
      </c>
      <c r="D1366" s="76" t="s">
        <v>926</v>
      </c>
      <c r="E1366" s="76" t="s">
        <v>899</v>
      </c>
      <c r="F1366" s="76" t="s">
        <v>900</v>
      </c>
      <c r="G1366" s="76">
        <v>6</v>
      </c>
      <c r="O1366" s="92"/>
    </row>
    <row r="1367" spans="1:15" x14ac:dyDescent="0.25">
      <c r="A1367" s="1">
        <v>1362</v>
      </c>
      <c r="B1367" s="91">
        <v>13124</v>
      </c>
      <c r="C1367" s="76" t="s">
        <v>212</v>
      </c>
      <c r="D1367" s="76" t="s">
        <v>929</v>
      </c>
      <c r="E1367" s="76" t="s">
        <v>899</v>
      </c>
      <c r="F1367" s="76" t="s">
        <v>900</v>
      </c>
      <c r="G1367" s="76">
        <v>6</v>
      </c>
      <c r="O1367" s="92"/>
    </row>
    <row r="1368" spans="1:15" x14ac:dyDescent="0.25">
      <c r="A1368" s="1">
        <v>1363</v>
      </c>
      <c r="B1368" s="91">
        <v>13126</v>
      </c>
      <c r="C1368" s="76" t="s">
        <v>219</v>
      </c>
      <c r="D1368" s="76" t="s">
        <v>923</v>
      </c>
      <c r="E1368" s="76" t="s">
        <v>899</v>
      </c>
      <c r="F1368" s="76" t="s">
        <v>900</v>
      </c>
      <c r="G1368" s="76">
        <v>5</v>
      </c>
      <c r="O1368" s="92"/>
    </row>
    <row r="1369" spans="1:15" x14ac:dyDescent="0.25">
      <c r="A1369" s="1">
        <v>1364</v>
      </c>
      <c r="B1369" s="91">
        <v>13131</v>
      </c>
      <c r="C1369" s="76" t="s">
        <v>219</v>
      </c>
      <c r="D1369" s="76" t="s">
        <v>923</v>
      </c>
      <c r="E1369" s="76" t="s">
        <v>899</v>
      </c>
      <c r="F1369" s="76" t="s">
        <v>900</v>
      </c>
      <c r="G1369" s="76">
        <v>5</v>
      </c>
      <c r="O1369" s="92"/>
    </row>
    <row r="1370" spans="1:15" x14ac:dyDescent="0.25">
      <c r="A1370" s="1">
        <v>1365</v>
      </c>
      <c r="B1370" s="91">
        <v>13132</v>
      </c>
      <c r="C1370" s="76" t="s">
        <v>219</v>
      </c>
      <c r="D1370" s="76" t="s">
        <v>923</v>
      </c>
      <c r="E1370" s="76" t="s">
        <v>899</v>
      </c>
      <c r="F1370" s="76" t="s">
        <v>900</v>
      </c>
      <c r="G1370" s="76">
        <v>5</v>
      </c>
      <c r="O1370" s="92"/>
    </row>
    <row r="1371" spans="1:15" x14ac:dyDescent="0.25">
      <c r="A1371" s="1">
        <v>1366</v>
      </c>
      <c r="B1371" s="91">
        <v>13134</v>
      </c>
      <c r="C1371" s="76" t="s">
        <v>219</v>
      </c>
      <c r="D1371" s="76" t="s">
        <v>924</v>
      </c>
      <c r="E1371" s="76" t="s">
        <v>899</v>
      </c>
      <c r="F1371" s="76" t="s">
        <v>900</v>
      </c>
      <c r="G1371" s="76">
        <v>6</v>
      </c>
      <c r="O1371" s="92"/>
    </row>
    <row r="1372" spans="1:15" x14ac:dyDescent="0.25">
      <c r="A1372" s="1">
        <v>1367</v>
      </c>
      <c r="B1372" s="91">
        <v>13135</v>
      </c>
      <c r="C1372" s="76" t="s">
        <v>219</v>
      </c>
      <c r="D1372" s="76" t="s">
        <v>923</v>
      </c>
      <c r="E1372" s="76" t="s">
        <v>899</v>
      </c>
      <c r="F1372" s="76" t="s">
        <v>900</v>
      </c>
      <c r="G1372" s="76">
        <v>5</v>
      </c>
      <c r="O1372" s="92"/>
    </row>
    <row r="1373" spans="1:15" x14ac:dyDescent="0.25">
      <c r="A1373" s="1">
        <v>1368</v>
      </c>
      <c r="B1373" s="91">
        <v>13136</v>
      </c>
      <c r="C1373" s="76" t="s">
        <v>212</v>
      </c>
      <c r="D1373" s="76" t="s">
        <v>929</v>
      </c>
      <c r="E1373" s="76" t="s">
        <v>899</v>
      </c>
      <c r="F1373" s="76" t="s">
        <v>900</v>
      </c>
      <c r="G1373" s="76">
        <v>6</v>
      </c>
      <c r="O1373" s="92"/>
    </row>
    <row r="1374" spans="1:15" x14ac:dyDescent="0.25">
      <c r="A1374" s="1">
        <v>1369</v>
      </c>
      <c r="B1374" s="91">
        <v>13137</v>
      </c>
      <c r="C1374" s="76" t="s">
        <v>219</v>
      </c>
      <c r="D1374" s="76" t="s">
        <v>921</v>
      </c>
      <c r="E1374" s="76" t="s">
        <v>899</v>
      </c>
      <c r="F1374" s="76" t="s">
        <v>900</v>
      </c>
      <c r="G1374" s="76">
        <v>5</v>
      </c>
      <c r="O1374" s="92"/>
    </row>
    <row r="1375" spans="1:15" x14ac:dyDescent="0.25">
      <c r="A1375" s="1">
        <v>1370</v>
      </c>
      <c r="B1375" s="91">
        <v>13138</v>
      </c>
      <c r="C1375" s="76" t="s">
        <v>219</v>
      </c>
      <c r="D1375" s="76" t="s">
        <v>921</v>
      </c>
      <c r="E1375" s="76" t="s">
        <v>899</v>
      </c>
      <c r="F1375" s="76" t="s">
        <v>900</v>
      </c>
      <c r="G1375" s="76">
        <v>5</v>
      </c>
      <c r="O1375" s="92"/>
    </row>
    <row r="1376" spans="1:15" x14ac:dyDescent="0.25">
      <c r="A1376" s="1">
        <v>1371</v>
      </c>
      <c r="B1376" s="91">
        <v>13139</v>
      </c>
      <c r="C1376" s="76" t="s">
        <v>219</v>
      </c>
      <c r="D1376" s="76" t="s">
        <v>922</v>
      </c>
      <c r="E1376" s="76" t="s">
        <v>899</v>
      </c>
      <c r="F1376" s="76" t="s">
        <v>900</v>
      </c>
      <c r="G1376" s="76">
        <v>5</v>
      </c>
      <c r="O1376" s="92"/>
    </row>
    <row r="1377" spans="1:15" x14ac:dyDescent="0.25">
      <c r="A1377" s="1">
        <v>1372</v>
      </c>
      <c r="B1377" s="91">
        <v>13140</v>
      </c>
      <c r="C1377" s="76" t="s">
        <v>219</v>
      </c>
      <c r="D1377" s="76" t="s">
        <v>922</v>
      </c>
      <c r="E1377" s="76" t="s">
        <v>899</v>
      </c>
      <c r="F1377" s="76" t="s">
        <v>900</v>
      </c>
      <c r="G1377" s="76">
        <v>5</v>
      </c>
      <c r="O1377" s="92"/>
    </row>
    <row r="1378" spans="1:15" x14ac:dyDescent="0.25">
      <c r="A1378" s="1">
        <v>1373</v>
      </c>
      <c r="B1378" s="91">
        <v>13141</v>
      </c>
      <c r="C1378" s="76" t="s">
        <v>219</v>
      </c>
      <c r="D1378" s="76" t="s">
        <v>925</v>
      </c>
      <c r="E1378" s="76" t="s">
        <v>899</v>
      </c>
      <c r="F1378" s="76" t="s">
        <v>900</v>
      </c>
      <c r="G1378" s="76">
        <v>5</v>
      </c>
      <c r="O1378" s="92"/>
    </row>
    <row r="1379" spans="1:15" x14ac:dyDescent="0.25">
      <c r="A1379" s="1">
        <v>1374</v>
      </c>
      <c r="B1379" s="91">
        <v>13142</v>
      </c>
      <c r="C1379" s="76" t="s">
        <v>219</v>
      </c>
      <c r="D1379" s="76" t="s">
        <v>923</v>
      </c>
      <c r="E1379" s="76" t="s">
        <v>899</v>
      </c>
      <c r="F1379" s="76" t="s">
        <v>900</v>
      </c>
      <c r="G1379" s="76">
        <v>5</v>
      </c>
      <c r="O1379" s="92"/>
    </row>
    <row r="1380" spans="1:15" x14ac:dyDescent="0.25">
      <c r="A1380" s="1">
        <v>1375</v>
      </c>
      <c r="B1380" s="91">
        <v>13143</v>
      </c>
      <c r="C1380" s="76" t="s">
        <v>219</v>
      </c>
      <c r="D1380" s="76" t="s">
        <v>930</v>
      </c>
      <c r="E1380" s="76" t="s">
        <v>899</v>
      </c>
      <c r="F1380" s="76" t="s">
        <v>900</v>
      </c>
      <c r="G1380" s="76">
        <v>5</v>
      </c>
      <c r="O1380" s="92"/>
    </row>
    <row r="1381" spans="1:15" x14ac:dyDescent="0.25">
      <c r="A1381" s="1">
        <v>1376</v>
      </c>
      <c r="B1381" s="91">
        <v>13144</v>
      </c>
      <c r="C1381" s="76" t="s">
        <v>219</v>
      </c>
      <c r="D1381" s="76" t="s">
        <v>923</v>
      </c>
      <c r="E1381" s="76" t="s">
        <v>899</v>
      </c>
      <c r="F1381" s="76" t="s">
        <v>900</v>
      </c>
      <c r="G1381" s="76">
        <v>5</v>
      </c>
      <c r="O1381" s="92"/>
    </row>
    <row r="1382" spans="1:15" x14ac:dyDescent="0.25">
      <c r="A1382" s="1">
        <v>1377</v>
      </c>
      <c r="B1382" s="91">
        <v>13145</v>
      </c>
      <c r="C1382" s="76" t="s">
        <v>219</v>
      </c>
      <c r="D1382" s="76" t="s">
        <v>923</v>
      </c>
      <c r="E1382" s="76" t="s">
        <v>899</v>
      </c>
      <c r="F1382" s="76" t="s">
        <v>900</v>
      </c>
      <c r="G1382" s="76">
        <v>5</v>
      </c>
      <c r="O1382" s="92"/>
    </row>
    <row r="1383" spans="1:15" x14ac:dyDescent="0.25">
      <c r="A1383" s="1">
        <v>1378</v>
      </c>
      <c r="B1383" s="91">
        <v>13146</v>
      </c>
      <c r="C1383" s="76" t="s">
        <v>219</v>
      </c>
      <c r="D1383" s="76" t="s">
        <v>930</v>
      </c>
      <c r="E1383" s="76" t="s">
        <v>899</v>
      </c>
      <c r="F1383" s="76" t="s">
        <v>900</v>
      </c>
      <c r="G1383" s="76">
        <v>5</v>
      </c>
      <c r="O1383" s="92"/>
    </row>
    <row r="1384" spans="1:15" x14ac:dyDescent="0.25">
      <c r="A1384" s="1">
        <v>1379</v>
      </c>
      <c r="B1384" s="91">
        <v>13147</v>
      </c>
      <c r="C1384" s="76" t="s">
        <v>219</v>
      </c>
      <c r="D1384" s="76" t="s">
        <v>922</v>
      </c>
      <c r="E1384" s="76" t="s">
        <v>899</v>
      </c>
      <c r="F1384" s="76" t="s">
        <v>900</v>
      </c>
      <c r="G1384" s="76">
        <v>5</v>
      </c>
      <c r="O1384" s="92"/>
    </row>
    <row r="1385" spans="1:15" x14ac:dyDescent="0.25">
      <c r="A1385" s="1">
        <v>1380</v>
      </c>
      <c r="B1385" s="91">
        <v>13148</v>
      </c>
      <c r="C1385" s="76" t="s">
        <v>219</v>
      </c>
      <c r="D1385" s="76" t="s">
        <v>928</v>
      </c>
      <c r="E1385" s="76" t="s">
        <v>899</v>
      </c>
      <c r="F1385" s="76" t="s">
        <v>900</v>
      </c>
      <c r="G1385" s="76">
        <v>5</v>
      </c>
      <c r="O1385" s="92"/>
    </row>
    <row r="1386" spans="1:15" x14ac:dyDescent="0.25">
      <c r="A1386" s="1">
        <v>1381</v>
      </c>
      <c r="B1386" s="91">
        <v>13152</v>
      </c>
      <c r="C1386" s="76" t="s">
        <v>219</v>
      </c>
      <c r="D1386" s="76" t="s">
        <v>921</v>
      </c>
      <c r="E1386" s="76" t="s">
        <v>899</v>
      </c>
      <c r="F1386" s="76" t="s">
        <v>900</v>
      </c>
      <c r="G1386" s="76">
        <v>5</v>
      </c>
      <c r="O1386" s="92"/>
    </row>
    <row r="1387" spans="1:15" x14ac:dyDescent="0.25">
      <c r="A1387" s="1">
        <v>1382</v>
      </c>
      <c r="B1387" s="91">
        <v>13153</v>
      </c>
      <c r="C1387" s="76" t="s">
        <v>219</v>
      </c>
      <c r="D1387" s="76" t="s">
        <v>921</v>
      </c>
      <c r="E1387" s="76" t="s">
        <v>899</v>
      </c>
      <c r="F1387" s="76" t="s">
        <v>900</v>
      </c>
      <c r="G1387" s="76">
        <v>5</v>
      </c>
      <c r="O1387" s="92"/>
    </row>
    <row r="1388" spans="1:15" x14ac:dyDescent="0.25">
      <c r="A1388" s="1">
        <v>1383</v>
      </c>
      <c r="B1388" s="91">
        <v>13154</v>
      </c>
      <c r="C1388" s="76" t="s">
        <v>219</v>
      </c>
      <c r="D1388" s="76" t="s">
        <v>930</v>
      </c>
      <c r="E1388" s="76" t="s">
        <v>899</v>
      </c>
      <c r="F1388" s="76" t="s">
        <v>900</v>
      </c>
      <c r="G1388" s="76">
        <v>5</v>
      </c>
      <c r="O1388" s="92"/>
    </row>
    <row r="1389" spans="1:15" x14ac:dyDescent="0.25">
      <c r="A1389" s="1">
        <v>1384</v>
      </c>
      <c r="B1389" s="91">
        <v>13155</v>
      </c>
      <c r="C1389" s="76" t="s">
        <v>212</v>
      </c>
      <c r="D1389" s="76" t="s">
        <v>929</v>
      </c>
      <c r="E1389" s="76" t="s">
        <v>899</v>
      </c>
      <c r="F1389" s="76" t="s">
        <v>900</v>
      </c>
      <c r="G1389" s="76">
        <v>6</v>
      </c>
      <c r="O1389" s="92"/>
    </row>
    <row r="1390" spans="1:15" x14ac:dyDescent="0.25">
      <c r="A1390" s="1">
        <v>1385</v>
      </c>
      <c r="B1390" s="91">
        <v>13156</v>
      </c>
      <c r="C1390" s="76" t="s">
        <v>219</v>
      </c>
      <c r="D1390" s="76" t="s">
        <v>922</v>
      </c>
      <c r="E1390" s="76" t="s">
        <v>899</v>
      </c>
      <c r="F1390" s="76" t="s">
        <v>900</v>
      </c>
      <c r="G1390" s="76">
        <v>5</v>
      </c>
      <c r="O1390" s="92"/>
    </row>
    <row r="1391" spans="1:15" x14ac:dyDescent="0.25">
      <c r="A1391" s="1">
        <v>1386</v>
      </c>
      <c r="B1391" s="91">
        <v>13157</v>
      </c>
      <c r="C1391" s="76" t="s">
        <v>219</v>
      </c>
      <c r="D1391" s="76" t="s">
        <v>926</v>
      </c>
      <c r="E1391" s="76" t="s">
        <v>899</v>
      </c>
      <c r="F1391" s="76" t="s">
        <v>900</v>
      </c>
      <c r="G1391" s="76">
        <v>6</v>
      </c>
      <c r="O1391" s="92"/>
    </row>
    <row r="1392" spans="1:15" x14ac:dyDescent="0.25">
      <c r="A1392" s="1">
        <v>1387</v>
      </c>
      <c r="B1392" s="91">
        <v>13158</v>
      </c>
      <c r="C1392" s="76" t="s">
        <v>219</v>
      </c>
      <c r="D1392" s="76" t="s">
        <v>925</v>
      </c>
      <c r="E1392" s="76" t="s">
        <v>899</v>
      </c>
      <c r="F1392" s="76" t="s">
        <v>900</v>
      </c>
      <c r="G1392" s="76">
        <v>5</v>
      </c>
      <c r="O1392" s="92"/>
    </row>
    <row r="1393" spans="1:15" x14ac:dyDescent="0.25">
      <c r="A1393" s="1">
        <v>1388</v>
      </c>
      <c r="B1393" s="91">
        <v>13159</v>
      </c>
      <c r="C1393" s="76" t="s">
        <v>219</v>
      </c>
      <c r="D1393" s="76" t="s">
        <v>921</v>
      </c>
      <c r="E1393" s="76" t="s">
        <v>899</v>
      </c>
      <c r="F1393" s="76" t="s">
        <v>900</v>
      </c>
      <c r="G1393" s="76">
        <v>5</v>
      </c>
      <c r="O1393" s="92"/>
    </row>
    <row r="1394" spans="1:15" x14ac:dyDescent="0.25">
      <c r="A1394" s="1">
        <v>1389</v>
      </c>
      <c r="B1394" s="91">
        <v>13160</v>
      </c>
      <c r="C1394" s="76" t="s">
        <v>219</v>
      </c>
      <c r="D1394" s="76" t="s">
        <v>922</v>
      </c>
      <c r="E1394" s="76" t="s">
        <v>899</v>
      </c>
      <c r="F1394" s="76" t="s">
        <v>900</v>
      </c>
      <c r="G1394" s="76">
        <v>5</v>
      </c>
      <c r="O1394" s="92"/>
    </row>
    <row r="1395" spans="1:15" x14ac:dyDescent="0.25">
      <c r="A1395" s="1">
        <v>1390</v>
      </c>
      <c r="B1395" s="91">
        <v>13162</v>
      </c>
      <c r="C1395" s="76" t="s">
        <v>219</v>
      </c>
      <c r="D1395" s="76" t="s">
        <v>926</v>
      </c>
      <c r="E1395" s="76" t="s">
        <v>899</v>
      </c>
      <c r="F1395" s="76" t="s">
        <v>900</v>
      </c>
      <c r="G1395" s="76">
        <v>6</v>
      </c>
      <c r="O1395" s="92"/>
    </row>
    <row r="1396" spans="1:15" x14ac:dyDescent="0.25">
      <c r="A1396" s="1">
        <v>1391</v>
      </c>
      <c r="B1396" s="91">
        <v>13163</v>
      </c>
      <c r="C1396" s="76" t="s">
        <v>219</v>
      </c>
      <c r="D1396" s="76" t="s">
        <v>924</v>
      </c>
      <c r="E1396" s="76" t="s">
        <v>899</v>
      </c>
      <c r="F1396" s="76" t="s">
        <v>900</v>
      </c>
      <c r="G1396" s="76">
        <v>6</v>
      </c>
      <c r="O1396" s="92"/>
    </row>
    <row r="1397" spans="1:15" x14ac:dyDescent="0.25">
      <c r="A1397" s="1">
        <v>1392</v>
      </c>
      <c r="B1397" s="91">
        <v>13164</v>
      </c>
      <c r="C1397" s="76" t="s">
        <v>219</v>
      </c>
      <c r="D1397" s="76" t="s">
        <v>921</v>
      </c>
      <c r="E1397" s="76" t="s">
        <v>899</v>
      </c>
      <c r="F1397" s="76" t="s">
        <v>900</v>
      </c>
      <c r="G1397" s="76">
        <v>5</v>
      </c>
      <c r="O1397" s="92"/>
    </row>
    <row r="1398" spans="1:15" x14ac:dyDescent="0.25">
      <c r="A1398" s="1">
        <v>1393</v>
      </c>
      <c r="B1398" s="91">
        <v>13165</v>
      </c>
      <c r="C1398" s="76" t="s">
        <v>219</v>
      </c>
      <c r="D1398" s="76" t="s">
        <v>928</v>
      </c>
      <c r="E1398" s="76" t="s">
        <v>899</v>
      </c>
      <c r="F1398" s="76" t="s">
        <v>900</v>
      </c>
      <c r="G1398" s="76">
        <v>5</v>
      </c>
      <c r="O1398" s="92"/>
    </row>
    <row r="1399" spans="1:15" x14ac:dyDescent="0.25">
      <c r="A1399" s="1">
        <v>1394</v>
      </c>
      <c r="B1399" s="91">
        <v>13166</v>
      </c>
      <c r="C1399" s="76" t="s">
        <v>219</v>
      </c>
      <c r="D1399" s="76" t="s">
        <v>922</v>
      </c>
      <c r="E1399" s="76" t="s">
        <v>899</v>
      </c>
      <c r="F1399" s="76" t="s">
        <v>900</v>
      </c>
      <c r="G1399" s="76">
        <v>5</v>
      </c>
      <c r="O1399" s="92"/>
    </row>
    <row r="1400" spans="1:15" x14ac:dyDescent="0.25">
      <c r="A1400" s="1">
        <v>1395</v>
      </c>
      <c r="B1400" s="91">
        <v>13167</v>
      </c>
      <c r="C1400" s="76" t="s">
        <v>219</v>
      </c>
      <c r="D1400" s="76" t="s">
        <v>923</v>
      </c>
      <c r="E1400" s="76" t="s">
        <v>899</v>
      </c>
      <c r="F1400" s="76" t="s">
        <v>900</v>
      </c>
      <c r="G1400" s="76">
        <v>5</v>
      </c>
      <c r="O1400" s="92"/>
    </row>
    <row r="1401" spans="1:15" x14ac:dyDescent="0.25">
      <c r="A1401" s="1">
        <v>1396</v>
      </c>
      <c r="B1401" s="91">
        <v>13201</v>
      </c>
      <c r="C1401" s="76" t="s">
        <v>219</v>
      </c>
      <c r="D1401" s="76" t="s">
        <v>921</v>
      </c>
      <c r="E1401" s="76" t="s">
        <v>899</v>
      </c>
      <c r="F1401" s="76" t="s">
        <v>900</v>
      </c>
      <c r="G1401" s="76">
        <v>5</v>
      </c>
      <c r="O1401" s="92"/>
    </row>
    <row r="1402" spans="1:15" x14ac:dyDescent="0.25">
      <c r="A1402" s="1">
        <v>1397</v>
      </c>
      <c r="B1402" s="91">
        <v>13202</v>
      </c>
      <c r="C1402" s="76" t="s">
        <v>219</v>
      </c>
      <c r="D1402" s="76" t="s">
        <v>921</v>
      </c>
      <c r="E1402" s="76" t="s">
        <v>899</v>
      </c>
      <c r="F1402" s="76" t="s">
        <v>900</v>
      </c>
      <c r="G1402" s="76">
        <v>5</v>
      </c>
      <c r="O1402" s="92"/>
    </row>
    <row r="1403" spans="1:15" x14ac:dyDescent="0.25">
      <c r="A1403" s="1">
        <v>1398</v>
      </c>
      <c r="B1403" s="91">
        <v>13203</v>
      </c>
      <c r="C1403" s="76" t="s">
        <v>219</v>
      </c>
      <c r="D1403" s="76" t="s">
        <v>921</v>
      </c>
      <c r="E1403" s="76" t="s">
        <v>899</v>
      </c>
      <c r="F1403" s="76" t="s">
        <v>900</v>
      </c>
      <c r="G1403" s="76">
        <v>5</v>
      </c>
      <c r="O1403" s="92"/>
    </row>
    <row r="1404" spans="1:15" x14ac:dyDescent="0.25">
      <c r="A1404" s="1">
        <v>1399</v>
      </c>
      <c r="B1404" s="91">
        <v>13204</v>
      </c>
      <c r="C1404" s="76" t="s">
        <v>219</v>
      </c>
      <c r="D1404" s="76" t="s">
        <v>921</v>
      </c>
      <c r="E1404" s="76" t="s">
        <v>899</v>
      </c>
      <c r="F1404" s="76" t="s">
        <v>900</v>
      </c>
      <c r="G1404" s="76">
        <v>5</v>
      </c>
      <c r="O1404" s="92"/>
    </row>
    <row r="1405" spans="1:15" x14ac:dyDescent="0.25">
      <c r="A1405" s="1">
        <v>1400</v>
      </c>
      <c r="B1405" s="91">
        <v>13205</v>
      </c>
      <c r="C1405" s="76" t="s">
        <v>219</v>
      </c>
      <c r="D1405" s="76" t="s">
        <v>921</v>
      </c>
      <c r="E1405" s="76" t="s">
        <v>899</v>
      </c>
      <c r="F1405" s="76" t="s">
        <v>900</v>
      </c>
      <c r="G1405" s="76">
        <v>5</v>
      </c>
      <c r="O1405" s="92"/>
    </row>
    <row r="1406" spans="1:15" x14ac:dyDescent="0.25">
      <c r="A1406" s="1">
        <v>1401</v>
      </c>
      <c r="B1406" s="91">
        <v>13206</v>
      </c>
      <c r="C1406" s="76" t="s">
        <v>219</v>
      </c>
      <c r="D1406" s="76" t="s">
        <v>921</v>
      </c>
      <c r="E1406" s="76" t="s">
        <v>899</v>
      </c>
      <c r="F1406" s="76" t="s">
        <v>900</v>
      </c>
      <c r="G1406" s="76">
        <v>5</v>
      </c>
      <c r="O1406" s="92"/>
    </row>
    <row r="1407" spans="1:15" x14ac:dyDescent="0.25">
      <c r="A1407" s="1">
        <v>1402</v>
      </c>
      <c r="B1407" s="91">
        <v>13207</v>
      </c>
      <c r="C1407" s="76" t="s">
        <v>219</v>
      </c>
      <c r="D1407" s="76" t="s">
        <v>921</v>
      </c>
      <c r="E1407" s="76" t="s">
        <v>899</v>
      </c>
      <c r="F1407" s="76" t="s">
        <v>900</v>
      </c>
      <c r="G1407" s="76">
        <v>5</v>
      </c>
      <c r="O1407" s="92"/>
    </row>
    <row r="1408" spans="1:15" x14ac:dyDescent="0.25">
      <c r="A1408" s="1">
        <v>1403</v>
      </c>
      <c r="B1408" s="91">
        <v>13208</v>
      </c>
      <c r="C1408" s="76" t="s">
        <v>219</v>
      </c>
      <c r="D1408" s="76" t="s">
        <v>921</v>
      </c>
      <c r="E1408" s="76" t="s">
        <v>899</v>
      </c>
      <c r="F1408" s="76" t="s">
        <v>900</v>
      </c>
      <c r="G1408" s="76">
        <v>5</v>
      </c>
      <c r="O1408" s="92"/>
    </row>
    <row r="1409" spans="1:15" x14ac:dyDescent="0.25">
      <c r="A1409" s="1">
        <v>1404</v>
      </c>
      <c r="B1409" s="91">
        <v>13209</v>
      </c>
      <c r="C1409" s="76" t="s">
        <v>219</v>
      </c>
      <c r="D1409" s="76" t="s">
        <v>921</v>
      </c>
      <c r="E1409" s="76" t="s">
        <v>899</v>
      </c>
      <c r="F1409" s="76" t="s">
        <v>900</v>
      </c>
      <c r="G1409" s="76">
        <v>5</v>
      </c>
      <c r="O1409" s="92"/>
    </row>
    <row r="1410" spans="1:15" x14ac:dyDescent="0.25">
      <c r="A1410" s="1">
        <v>1405</v>
      </c>
      <c r="B1410" s="91">
        <v>13210</v>
      </c>
      <c r="C1410" s="76" t="s">
        <v>219</v>
      </c>
      <c r="D1410" s="76" t="s">
        <v>921</v>
      </c>
      <c r="E1410" s="76" t="s">
        <v>899</v>
      </c>
      <c r="F1410" s="76" t="s">
        <v>900</v>
      </c>
      <c r="G1410" s="76">
        <v>5</v>
      </c>
      <c r="O1410" s="92"/>
    </row>
    <row r="1411" spans="1:15" x14ac:dyDescent="0.25">
      <c r="A1411" s="1">
        <v>1406</v>
      </c>
      <c r="B1411" s="91">
        <v>13211</v>
      </c>
      <c r="C1411" s="76" t="s">
        <v>219</v>
      </c>
      <c r="D1411" s="76" t="s">
        <v>921</v>
      </c>
      <c r="E1411" s="76" t="s">
        <v>899</v>
      </c>
      <c r="F1411" s="76" t="s">
        <v>900</v>
      </c>
      <c r="G1411" s="76">
        <v>5</v>
      </c>
      <c r="O1411" s="92"/>
    </row>
    <row r="1412" spans="1:15" x14ac:dyDescent="0.25">
      <c r="A1412" s="1">
        <v>1407</v>
      </c>
      <c r="B1412" s="91">
        <v>13212</v>
      </c>
      <c r="C1412" s="76" t="s">
        <v>219</v>
      </c>
      <c r="D1412" s="76" t="s">
        <v>921</v>
      </c>
      <c r="E1412" s="76" t="s">
        <v>899</v>
      </c>
      <c r="F1412" s="76" t="s">
        <v>900</v>
      </c>
      <c r="G1412" s="76">
        <v>5</v>
      </c>
      <c r="O1412" s="92"/>
    </row>
    <row r="1413" spans="1:15" x14ac:dyDescent="0.25">
      <c r="A1413" s="1">
        <v>1408</v>
      </c>
      <c r="B1413" s="91">
        <v>13214</v>
      </c>
      <c r="C1413" s="76" t="s">
        <v>219</v>
      </c>
      <c r="D1413" s="76" t="s">
        <v>921</v>
      </c>
      <c r="E1413" s="76" t="s">
        <v>899</v>
      </c>
      <c r="F1413" s="76" t="s">
        <v>900</v>
      </c>
      <c r="G1413" s="76">
        <v>5</v>
      </c>
      <c r="O1413" s="92"/>
    </row>
    <row r="1414" spans="1:15" x14ac:dyDescent="0.25">
      <c r="A1414" s="1">
        <v>1409</v>
      </c>
      <c r="B1414" s="91">
        <v>13215</v>
      </c>
      <c r="C1414" s="76" t="s">
        <v>219</v>
      </c>
      <c r="D1414" s="76" t="s">
        <v>921</v>
      </c>
      <c r="E1414" s="76" t="s">
        <v>899</v>
      </c>
      <c r="F1414" s="76" t="s">
        <v>900</v>
      </c>
      <c r="G1414" s="76">
        <v>5</v>
      </c>
      <c r="O1414" s="92"/>
    </row>
    <row r="1415" spans="1:15" x14ac:dyDescent="0.25">
      <c r="A1415" s="1">
        <v>1410</v>
      </c>
      <c r="B1415" s="91">
        <v>13217</v>
      </c>
      <c r="C1415" s="76" t="s">
        <v>219</v>
      </c>
      <c r="D1415" s="76" t="s">
        <v>921</v>
      </c>
      <c r="E1415" s="76" t="s">
        <v>899</v>
      </c>
      <c r="F1415" s="76" t="s">
        <v>900</v>
      </c>
      <c r="G1415" s="76">
        <v>5</v>
      </c>
      <c r="O1415" s="92"/>
    </row>
    <row r="1416" spans="1:15" x14ac:dyDescent="0.25">
      <c r="A1416" s="1">
        <v>1411</v>
      </c>
      <c r="B1416" s="91">
        <v>13218</v>
      </c>
      <c r="C1416" s="76" t="s">
        <v>219</v>
      </c>
      <c r="D1416" s="76" t="s">
        <v>921</v>
      </c>
      <c r="E1416" s="76" t="s">
        <v>899</v>
      </c>
      <c r="F1416" s="76" t="s">
        <v>900</v>
      </c>
      <c r="G1416" s="76">
        <v>5</v>
      </c>
      <c r="O1416" s="92"/>
    </row>
    <row r="1417" spans="1:15" x14ac:dyDescent="0.25">
      <c r="A1417" s="1">
        <v>1412</v>
      </c>
      <c r="B1417" s="91">
        <v>13219</v>
      </c>
      <c r="C1417" s="76" t="s">
        <v>219</v>
      </c>
      <c r="D1417" s="76" t="s">
        <v>921</v>
      </c>
      <c r="E1417" s="76" t="s">
        <v>899</v>
      </c>
      <c r="F1417" s="76" t="s">
        <v>900</v>
      </c>
      <c r="G1417" s="76">
        <v>5</v>
      </c>
      <c r="O1417" s="92"/>
    </row>
    <row r="1418" spans="1:15" x14ac:dyDescent="0.25">
      <c r="A1418" s="1">
        <v>1413</v>
      </c>
      <c r="B1418" s="91">
        <v>13220</v>
      </c>
      <c r="C1418" s="76" t="s">
        <v>219</v>
      </c>
      <c r="D1418" s="76" t="s">
        <v>921</v>
      </c>
      <c r="E1418" s="76" t="s">
        <v>899</v>
      </c>
      <c r="F1418" s="76" t="s">
        <v>900</v>
      </c>
      <c r="G1418" s="76">
        <v>5</v>
      </c>
      <c r="O1418" s="92"/>
    </row>
    <row r="1419" spans="1:15" x14ac:dyDescent="0.25">
      <c r="A1419" s="1">
        <v>1414</v>
      </c>
      <c r="B1419" s="91">
        <v>13221</v>
      </c>
      <c r="C1419" s="76" t="s">
        <v>219</v>
      </c>
      <c r="D1419" s="76" t="s">
        <v>921</v>
      </c>
      <c r="E1419" s="76" t="s">
        <v>899</v>
      </c>
      <c r="F1419" s="76" t="s">
        <v>900</v>
      </c>
      <c r="G1419" s="76">
        <v>5</v>
      </c>
      <c r="O1419" s="92"/>
    </row>
    <row r="1420" spans="1:15" x14ac:dyDescent="0.25">
      <c r="A1420" s="1">
        <v>1415</v>
      </c>
      <c r="B1420" s="91">
        <v>13224</v>
      </c>
      <c r="C1420" s="76" t="s">
        <v>219</v>
      </c>
      <c r="D1420" s="76" t="s">
        <v>921</v>
      </c>
      <c r="E1420" s="76" t="s">
        <v>899</v>
      </c>
      <c r="F1420" s="76" t="s">
        <v>900</v>
      </c>
      <c r="G1420" s="76">
        <v>5</v>
      </c>
      <c r="O1420" s="92"/>
    </row>
    <row r="1421" spans="1:15" x14ac:dyDescent="0.25">
      <c r="A1421" s="1">
        <v>1416</v>
      </c>
      <c r="B1421" s="91">
        <v>13225</v>
      </c>
      <c r="C1421" s="76" t="s">
        <v>219</v>
      </c>
      <c r="D1421" s="76" t="s">
        <v>921</v>
      </c>
      <c r="E1421" s="76" t="s">
        <v>899</v>
      </c>
      <c r="F1421" s="76" t="s">
        <v>900</v>
      </c>
      <c r="G1421" s="76">
        <v>5</v>
      </c>
      <c r="O1421" s="92"/>
    </row>
    <row r="1422" spans="1:15" x14ac:dyDescent="0.25">
      <c r="A1422" s="1">
        <v>1417</v>
      </c>
      <c r="B1422" s="91">
        <v>13235</v>
      </c>
      <c r="C1422" s="76" t="s">
        <v>219</v>
      </c>
      <c r="D1422" s="76" t="s">
        <v>921</v>
      </c>
      <c r="E1422" s="76" t="s">
        <v>899</v>
      </c>
      <c r="F1422" s="76" t="s">
        <v>900</v>
      </c>
      <c r="G1422" s="76">
        <v>5</v>
      </c>
      <c r="O1422" s="92"/>
    </row>
    <row r="1423" spans="1:15" x14ac:dyDescent="0.25">
      <c r="A1423" s="1">
        <v>1418</v>
      </c>
      <c r="B1423" s="91">
        <v>13244</v>
      </c>
      <c r="C1423" s="76" t="s">
        <v>219</v>
      </c>
      <c r="D1423" s="76" t="s">
        <v>921</v>
      </c>
      <c r="E1423" s="76" t="s">
        <v>899</v>
      </c>
      <c r="F1423" s="76" t="s">
        <v>900</v>
      </c>
      <c r="G1423" s="76">
        <v>5</v>
      </c>
      <c r="O1423" s="92"/>
    </row>
    <row r="1424" spans="1:15" x14ac:dyDescent="0.25">
      <c r="A1424" s="1">
        <v>1419</v>
      </c>
      <c r="B1424" s="91">
        <v>13250</v>
      </c>
      <c r="C1424" s="76" t="s">
        <v>219</v>
      </c>
      <c r="D1424" s="76" t="s">
        <v>921</v>
      </c>
      <c r="E1424" s="76" t="s">
        <v>899</v>
      </c>
      <c r="F1424" s="76" t="s">
        <v>900</v>
      </c>
      <c r="G1424" s="76">
        <v>5</v>
      </c>
      <c r="O1424" s="92"/>
    </row>
    <row r="1425" spans="1:15" x14ac:dyDescent="0.25">
      <c r="A1425" s="1">
        <v>1420</v>
      </c>
      <c r="B1425" s="91">
        <v>13251</v>
      </c>
      <c r="C1425" s="76" t="s">
        <v>219</v>
      </c>
      <c r="D1425" s="76" t="s">
        <v>921</v>
      </c>
      <c r="E1425" s="76" t="s">
        <v>899</v>
      </c>
      <c r="F1425" s="76" t="s">
        <v>900</v>
      </c>
      <c r="G1425" s="76">
        <v>5</v>
      </c>
      <c r="O1425" s="92"/>
    </row>
    <row r="1426" spans="1:15" x14ac:dyDescent="0.25">
      <c r="A1426" s="1">
        <v>1421</v>
      </c>
      <c r="B1426" s="91">
        <v>13252</v>
      </c>
      <c r="C1426" s="76" t="s">
        <v>219</v>
      </c>
      <c r="D1426" s="76" t="s">
        <v>921</v>
      </c>
      <c r="E1426" s="76" t="s">
        <v>899</v>
      </c>
      <c r="F1426" s="76" t="s">
        <v>900</v>
      </c>
      <c r="G1426" s="76">
        <v>5</v>
      </c>
      <c r="O1426" s="92"/>
    </row>
    <row r="1427" spans="1:15" x14ac:dyDescent="0.25">
      <c r="A1427" s="1">
        <v>1422</v>
      </c>
      <c r="B1427" s="91">
        <v>13261</v>
      </c>
      <c r="C1427" s="76" t="s">
        <v>219</v>
      </c>
      <c r="D1427" s="76" t="s">
        <v>921</v>
      </c>
      <c r="E1427" s="76" t="s">
        <v>899</v>
      </c>
      <c r="F1427" s="76" t="s">
        <v>900</v>
      </c>
      <c r="G1427" s="76">
        <v>5</v>
      </c>
      <c r="O1427" s="92"/>
    </row>
    <row r="1428" spans="1:15" x14ac:dyDescent="0.25">
      <c r="A1428" s="1">
        <v>1423</v>
      </c>
      <c r="B1428" s="91">
        <v>13290</v>
      </c>
      <c r="C1428" s="76" t="s">
        <v>219</v>
      </c>
      <c r="D1428" s="76" t="s">
        <v>921</v>
      </c>
      <c r="E1428" s="76" t="s">
        <v>899</v>
      </c>
      <c r="F1428" s="76" t="s">
        <v>900</v>
      </c>
      <c r="G1428" s="76">
        <v>5</v>
      </c>
      <c r="O1428" s="92"/>
    </row>
    <row r="1429" spans="1:15" x14ac:dyDescent="0.25">
      <c r="A1429" s="1">
        <v>1424</v>
      </c>
      <c r="B1429" s="91">
        <v>13301</v>
      </c>
      <c r="C1429" s="76" t="s">
        <v>219</v>
      </c>
      <c r="D1429" s="76" t="s">
        <v>926</v>
      </c>
      <c r="E1429" s="76" t="s">
        <v>899</v>
      </c>
      <c r="F1429" s="76" t="s">
        <v>900</v>
      </c>
      <c r="G1429" s="76">
        <v>6</v>
      </c>
      <c r="O1429" s="92"/>
    </row>
    <row r="1430" spans="1:15" x14ac:dyDescent="0.25">
      <c r="A1430" s="1">
        <v>1425</v>
      </c>
      <c r="B1430" s="91">
        <v>13302</v>
      </c>
      <c r="C1430" s="76" t="s">
        <v>219</v>
      </c>
      <c r="D1430" s="76" t="s">
        <v>923</v>
      </c>
      <c r="E1430" s="76" t="s">
        <v>899</v>
      </c>
      <c r="F1430" s="76" t="s">
        <v>900</v>
      </c>
      <c r="G1430" s="76">
        <v>5</v>
      </c>
      <c r="O1430" s="92"/>
    </row>
    <row r="1431" spans="1:15" x14ac:dyDescent="0.25">
      <c r="A1431" s="1">
        <v>1426</v>
      </c>
      <c r="B1431" s="91">
        <v>13303</v>
      </c>
      <c r="C1431" s="76" t="s">
        <v>219</v>
      </c>
      <c r="D1431" s="76" t="s">
        <v>926</v>
      </c>
      <c r="E1431" s="76" t="s">
        <v>899</v>
      </c>
      <c r="F1431" s="76" t="s">
        <v>900</v>
      </c>
      <c r="G1431" s="76">
        <v>6</v>
      </c>
      <c r="O1431" s="92"/>
    </row>
    <row r="1432" spans="1:15" x14ac:dyDescent="0.25">
      <c r="A1432" s="1">
        <v>1427</v>
      </c>
      <c r="B1432" s="91">
        <v>13304</v>
      </c>
      <c r="C1432" s="76" t="s">
        <v>219</v>
      </c>
      <c r="D1432" s="76" t="s">
        <v>926</v>
      </c>
      <c r="E1432" s="76" t="s">
        <v>899</v>
      </c>
      <c r="F1432" s="76" t="s">
        <v>900</v>
      </c>
      <c r="G1432" s="76">
        <v>6</v>
      </c>
      <c r="O1432" s="92"/>
    </row>
    <row r="1433" spans="1:15" x14ac:dyDescent="0.25">
      <c r="A1433" s="1">
        <v>1428</v>
      </c>
      <c r="B1433" s="91">
        <v>13305</v>
      </c>
      <c r="C1433" s="76" t="s">
        <v>214</v>
      </c>
      <c r="D1433" s="76" t="s">
        <v>931</v>
      </c>
      <c r="E1433" s="76" t="s">
        <v>899</v>
      </c>
      <c r="F1433" s="76" t="s">
        <v>900</v>
      </c>
      <c r="G1433" s="76">
        <v>6</v>
      </c>
      <c r="O1433" s="92"/>
    </row>
    <row r="1434" spans="1:15" x14ac:dyDescent="0.25">
      <c r="A1434" s="1">
        <v>1429</v>
      </c>
      <c r="B1434" s="91">
        <v>13308</v>
      </c>
      <c r="C1434" s="76" t="s">
        <v>219</v>
      </c>
      <c r="D1434" s="76" t="s">
        <v>926</v>
      </c>
      <c r="E1434" s="76" t="s">
        <v>899</v>
      </c>
      <c r="F1434" s="76" t="s">
        <v>900</v>
      </c>
      <c r="G1434" s="76">
        <v>6</v>
      </c>
      <c r="O1434" s="92"/>
    </row>
    <row r="1435" spans="1:15" x14ac:dyDescent="0.25">
      <c r="A1435" s="1">
        <v>1430</v>
      </c>
      <c r="B1435" s="91">
        <v>13309</v>
      </c>
      <c r="C1435" s="76" t="s">
        <v>219</v>
      </c>
      <c r="D1435" s="76" t="s">
        <v>926</v>
      </c>
      <c r="E1435" s="76" t="s">
        <v>899</v>
      </c>
      <c r="F1435" s="76" t="s">
        <v>900</v>
      </c>
      <c r="G1435" s="76">
        <v>6</v>
      </c>
      <c r="O1435" s="92"/>
    </row>
    <row r="1436" spans="1:15" x14ac:dyDescent="0.25">
      <c r="A1436" s="1">
        <v>1431</v>
      </c>
      <c r="B1436" s="91">
        <v>13310</v>
      </c>
      <c r="C1436" s="76" t="s">
        <v>219</v>
      </c>
      <c r="D1436" s="76" t="s">
        <v>924</v>
      </c>
      <c r="E1436" s="76" t="s">
        <v>899</v>
      </c>
      <c r="F1436" s="76" t="s">
        <v>900</v>
      </c>
      <c r="G1436" s="76">
        <v>6</v>
      </c>
      <c r="O1436" s="92"/>
    </row>
    <row r="1437" spans="1:15" x14ac:dyDescent="0.25">
      <c r="A1437" s="1">
        <v>1432</v>
      </c>
      <c r="B1437" s="91">
        <v>13312</v>
      </c>
      <c r="C1437" s="76" t="s">
        <v>214</v>
      </c>
      <c r="D1437" s="76" t="s">
        <v>931</v>
      </c>
      <c r="E1437" s="76" t="s">
        <v>899</v>
      </c>
      <c r="F1437" s="76" t="s">
        <v>900</v>
      </c>
      <c r="G1437" s="76">
        <v>6</v>
      </c>
      <c r="O1437" s="92"/>
    </row>
    <row r="1438" spans="1:15" x14ac:dyDescent="0.25">
      <c r="A1438" s="1">
        <v>1433</v>
      </c>
      <c r="B1438" s="91">
        <v>13313</v>
      </c>
      <c r="C1438" s="76" t="s">
        <v>219</v>
      </c>
      <c r="D1438" s="76" t="s">
        <v>926</v>
      </c>
      <c r="E1438" s="76" t="s">
        <v>899</v>
      </c>
      <c r="F1438" s="76" t="s">
        <v>900</v>
      </c>
      <c r="G1438" s="76">
        <v>6</v>
      </c>
      <c r="O1438" s="92"/>
    </row>
    <row r="1439" spans="1:15" x14ac:dyDescent="0.25">
      <c r="A1439" s="1">
        <v>1434</v>
      </c>
      <c r="B1439" s="91">
        <v>13314</v>
      </c>
      <c r="C1439" s="76" t="s">
        <v>219</v>
      </c>
      <c r="D1439" s="76" t="s">
        <v>924</v>
      </c>
      <c r="E1439" s="76" t="s">
        <v>899</v>
      </c>
      <c r="F1439" s="76" t="s">
        <v>900</v>
      </c>
      <c r="G1439" s="76">
        <v>6</v>
      </c>
      <c r="O1439" s="92"/>
    </row>
    <row r="1440" spans="1:15" x14ac:dyDescent="0.25">
      <c r="A1440" s="1">
        <v>1435</v>
      </c>
      <c r="B1440" s="91">
        <v>13315</v>
      </c>
      <c r="C1440" s="76" t="s">
        <v>212</v>
      </c>
      <c r="D1440" s="76" t="s">
        <v>910</v>
      </c>
      <c r="E1440" s="76" t="s">
        <v>899</v>
      </c>
      <c r="F1440" s="76" t="s">
        <v>900</v>
      </c>
      <c r="G1440" s="76">
        <v>6</v>
      </c>
      <c r="O1440" s="92"/>
    </row>
    <row r="1441" spans="1:15" x14ac:dyDescent="0.25">
      <c r="A1441" s="1">
        <v>1436</v>
      </c>
      <c r="B1441" s="91">
        <v>13316</v>
      </c>
      <c r="C1441" s="76" t="s">
        <v>219</v>
      </c>
      <c r="D1441" s="76" t="s">
        <v>926</v>
      </c>
      <c r="E1441" s="76" t="s">
        <v>899</v>
      </c>
      <c r="F1441" s="76" t="s">
        <v>900</v>
      </c>
      <c r="G1441" s="76">
        <v>6</v>
      </c>
      <c r="O1441" s="92"/>
    </row>
    <row r="1442" spans="1:15" x14ac:dyDescent="0.25">
      <c r="A1442" s="1">
        <v>1437</v>
      </c>
      <c r="B1442" s="91">
        <v>13317</v>
      </c>
      <c r="C1442" s="76" t="s">
        <v>211</v>
      </c>
      <c r="D1442" s="76" t="s">
        <v>902</v>
      </c>
      <c r="E1442" s="76" t="s">
        <v>899</v>
      </c>
      <c r="F1442" s="76" t="s">
        <v>900</v>
      </c>
      <c r="G1442" s="76">
        <v>6</v>
      </c>
      <c r="O1442" s="92"/>
    </row>
    <row r="1443" spans="1:15" x14ac:dyDescent="0.25">
      <c r="A1443" s="1">
        <v>1438</v>
      </c>
      <c r="B1443" s="91">
        <v>13318</v>
      </c>
      <c r="C1443" s="76" t="s">
        <v>219</v>
      </c>
      <c r="D1443" s="76" t="s">
        <v>926</v>
      </c>
      <c r="E1443" s="76" t="s">
        <v>899</v>
      </c>
      <c r="F1443" s="76" t="s">
        <v>900</v>
      </c>
      <c r="G1443" s="76">
        <v>6</v>
      </c>
      <c r="O1443" s="92"/>
    </row>
    <row r="1444" spans="1:15" x14ac:dyDescent="0.25">
      <c r="A1444" s="1">
        <v>1439</v>
      </c>
      <c r="B1444" s="91">
        <v>13319</v>
      </c>
      <c r="C1444" s="76" t="s">
        <v>219</v>
      </c>
      <c r="D1444" s="76" t="s">
        <v>926</v>
      </c>
      <c r="E1444" s="76" t="s">
        <v>899</v>
      </c>
      <c r="F1444" s="76" t="s">
        <v>900</v>
      </c>
      <c r="G1444" s="76">
        <v>6</v>
      </c>
      <c r="O1444" s="92"/>
    </row>
    <row r="1445" spans="1:15" x14ac:dyDescent="0.25">
      <c r="A1445" s="1">
        <v>1440</v>
      </c>
      <c r="B1445" s="91">
        <v>13320</v>
      </c>
      <c r="C1445" s="76" t="s">
        <v>212</v>
      </c>
      <c r="D1445" s="76" t="s">
        <v>910</v>
      </c>
      <c r="E1445" s="76" t="s">
        <v>899</v>
      </c>
      <c r="F1445" s="76" t="s">
        <v>900</v>
      </c>
      <c r="G1445" s="76">
        <v>6</v>
      </c>
      <c r="O1445" s="92"/>
    </row>
    <row r="1446" spans="1:15" x14ac:dyDescent="0.25">
      <c r="A1446" s="1">
        <v>1441</v>
      </c>
      <c r="B1446" s="91">
        <v>13321</v>
      </c>
      <c r="C1446" s="76" t="s">
        <v>219</v>
      </c>
      <c r="D1446" s="76" t="s">
        <v>926</v>
      </c>
      <c r="E1446" s="76" t="s">
        <v>899</v>
      </c>
      <c r="F1446" s="76" t="s">
        <v>900</v>
      </c>
      <c r="G1446" s="76">
        <v>6</v>
      </c>
      <c r="O1446" s="92"/>
    </row>
    <row r="1447" spans="1:15" x14ac:dyDescent="0.25">
      <c r="A1447" s="1">
        <v>1442</v>
      </c>
      <c r="B1447" s="91">
        <v>13322</v>
      </c>
      <c r="C1447" s="76" t="s">
        <v>219</v>
      </c>
      <c r="D1447" s="76" t="s">
        <v>926</v>
      </c>
      <c r="E1447" s="76" t="s">
        <v>899</v>
      </c>
      <c r="F1447" s="76" t="s">
        <v>900</v>
      </c>
      <c r="G1447" s="76">
        <v>6</v>
      </c>
      <c r="O1447" s="92"/>
    </row>
    <row r="1448" spans="1:15" x14ac:dyDescent="0.25">
      <c r="A1448" s="1">
        <v>1443</v>
      </c>
      <c r="B1448" s="91">
        <v>13323</v>
      </c>
      <c r="C1448" s="76" t="s">
        <v>219</v>
      </c>
      <c r="D1448" s="76" t="s">
        <v>926</v>
      </c>
      <c r="E1448" s="76" t="s">
        <v>899</v>
      </c>
      <c r="F1448" s="76" t="s">
        <v>900</v>
      </c>
      <c r="G1448" s="76">
        <v>6</v>
      </c>
      <c r="O1448" s="92"/>
    </row>
    <row r="1449" spans="1:15" x14ac:dyDescent="0.25">
      <c r="A1449" s="1">
        <v>1444</v>
      </c>
      <c r="B1449" s="91">
        <v>13324</v>
      </c>
      <c r="C1449" s="76" t="s">
        <v>219</v>
      </c>
      <c r="D1449" s="76" t="s">
        <v>932</v>
      </c>
      <c r="E1449" s="76" t="s">
        <v>899</v>
      </c>
      <c r="F1449" s="76" t="s">
        <v>900</v>
      </c>
      <c r="G1449" s="76">
        <v>6</v>
      </c>
      <c r="O1449" s="92"/>
    </row>
    <row r="1450" spans="1:15" x14ac:dyDescent="0.25">
      <c r="A1450" s="1">
        <v>1445</v>
      </c>
      <c r="B1450" s="91">
        <v>13325</v>
      </c>
      <c r="C1450" s="76" t="s">
        <v>214</v>
      </c>
      <c r="D1450" s="76" t="s">
        <v>931</v>
      </c>
      <c r="E1450" s="76" t="s">
        <v>899</v>
      </c>
      <c r="F1450" s="76" t="s">
        <v>900</v>
      </c>
      <c r="G1450" s="76">
        <v>6</v>
      </c>
      <c r="O1450" s="92"/>
    </row>
    <row r="1451" spans="1:15" x14ac:dyDescent="0.25">
      <c r="A1451" s="1">
        <v>1446</v>
      </c>
      <c r="B1451" s="91">
        <v>13326</v>
      </c>
      <c r="C1451" s="76" t="s">
        <v>212</v>
      </c>
      <c r="D1451" s="76" t="s">
        <v>910</v>
      </c>
      <c r="E1451" s="76" t="s">
        <v>899</v>
      </c>
      <c r="F1451" s="76" t="s">
        <v>900</v>
      </c>
      <c r="G1451" s="76">
        <v>6</v>
      </c>
      <c r="O1451" s="92"/>
    </row>
    <row r="1452" spans="1:15" x14ac:dyDescent="0.25">
      <c r="A1452" s="1">
        <v>1447</v>
      </c>
      <c r="B1452" s="91">
        <v>13327</v>
      </c>
      <c r="C1452" s="76" t="s">
        <v>214</v>
      </c>
      <c r="D1452" s="76" t="s">
        <v>931</v>
      </c>
      <c r="E1452" s="76" t="s">
        <v>899</v>
      </c>
      <c r="F1452" s="76" t="s">
        <v>900</v>
      </c>
      <c r="G1452" s="76">
        <v>6</v>
      </c>
      <c r="O1452" s="92"/>
    </row>
    <row r="1453" spans="1:15" x14ac:dyDescent="0.25">
      <c r="A1453" s="1">
        <v>1448</v>
      </c>
      <c r="B1453" s="91">
        <v>13328</v>
      </c>
      <c r="C1453" s="76" t="s">
        <v>219</v>
      </c>
      <c r="D1453" s="76" t="s">
        <v>926</v>
      </c>
      <c r="E1453" s="76" t="s">
        <v>899</v>
      </c>
      <c r="F1453" s="76" t="s">
        <v>900</v>
      </c>
      <c r="G1453" s="76">
        <v>6</v>
      </c>
      <c r="O1453" s="92"/>
    </row>
    <row r="1454" spans="1:15" x14ac:dyDescent="0.25">
      <c r="A1454" s="1">
        <v>1449</v>
      </c>
      <c r="B1454" s="91">
        <v>13329</v>
      </c>
      <c r="C1454" s="76" t="s">
        <v>219</v>
      </c>
      <c r="D1454" s="76" t="s">
        <v>932</v>
      </c>
      <c r="E1454" s="76" t="s">
        <v>899</v>
      </c>
      <c r="F1454" s="76" t="s">
        <v>900</v>
      </c>
      <c r="G1454" s="76">
        <v>6</v>
      </c>
      <c r="O1454" s="92"/>
    </row>
    <row r="1455" spans="1:15" x14ac:dyDescent="0.25">
      <c r="A1455" s="1">
        <v>1450</v>
      </c>
      <c r="B1455" s="91">
        <v>13331</v>
      </c>
      <c r="C1455" s="76" t="s">
        <v>219</v>
      </c>
      <c r="D1455" s="76" t="s">
        <v>932</v>
      </c>
      <c r="E1455" s="76" t="s">
        <v>899</v>
      </c>
      <c r="F1455" s="76" t="s">
        <v>900</v>
      </c>
      <c r="G1455" s="76">
        <v>6</v>
      </c>
      <c r="O1455" s="92"/>
    </row>
    <row r="1456" spans="1:15" x14ac:dyDescent="0.25">
      <c r="A1456" s="1">
        <v>1451</v>
      </c>
      <c r="B1456" s="91">
        <v>13332</v>
      </c>
      <c r="C1456" s="76" t="s">
        <v>219</v>
      </c>
      <c r="D1456" s="76" t="s">
        <v>924</v>
      </c>
      <c r="E1456" s="76" t="s">
        <v>899</v>
      </c>
      <c r="F1456" s="76" t="s">
        <v>900</v>
      </c>
      <c r="G1456" s="76">
        <v>6</v>
      </c>
      <c r="O1456" s="92"/>
    </row>
    <row r="1457" spans="1:15" x14ac:dyDescent="0.25">
      <c r="A1457" s="1">
        <v>1452</v>
      </c>
      <c r="B1457" s="91">
        <v>13333</v>
      </c>
      <c r="C1457" s="76" t="s">
        <v>212</v>
      </c>
      <c r="D1457" s="76" t="s">
        <v>910</v>
      </c>
      <c r="E1457" s="76" t="s">
        <v>899</v>
      </c>
      <c r="F1457" s="76" t="s">
        <v>900</v>
      </c>
      <c r="G1457" s="76">
        <v>6</v>
      </c>
      <c r="O1457" s="92"/>
    </row>
    <row r="1458" spans="1:15" x14ac:dyDescent="0.25">
      <c r="A1458" s="1">
        <v>1453</v>
      </c>
      <c r="B1458" s="91">
        <v>13334</v>
      </c>
      <c r="C1458" s="76" t="s">
        <v>219</v>
      </c>
      <c r="D1458" s="76" t="s">
        <v>924</v>
      </c>
      <c r="E1458" s="76" t="s">
        <v>899</v>
      </c>
      <c r="F1458" s="76" t="s">
        <v>900</v>
      </c>
      <c r="G1458" s="76">
        <v>6</v>
      </c>
      <c r="O1458" s="92"/>
    </row>
    <row r="1459" spans="1:15" x14ac:dyDescent="0.25">
      <c r="A1459" s="1">
        <v>1454</v>
      </c>
      <c r="B1459" s="91">
        <v>13335</v>
      </c>
      <c r="C1459" s="76" t="s">
        <v>212</v>
      </c>
      <c r="D1459" s="76" t="s">
        <v>910</v>
      </c>
      <c r="E1459" s="76" t="s">
        <v>899</v>
      </c>
      <c r="F1459" s="76" t="s">
        <v>900</v>
      </c>
      <c r="G1459" s="76">
        <v>6</v>
      </c>
      <c r="O1459" s="92"/>
    </row>
    <row r="1460" spans="1:15" x14ac:dyDescent="0.25">
      <c r="A1460" s="1">
        <v>1455</v>
      </c>
      <c r="B1460" s="91">
        <v>13337</v>
      </c>
      <c r="C1460" s="76" t="s">
        <v>212</v>
      </c>
      <c r="D1460" s="76" t="s">
        <v>910</v>
      </c>
      <c r="E1460" s="76" t="s">
        <v>899</v>
      </c>
      <c r="F1460" s="76" t="s">
        <v>900</v>
      </c>
      <c r="G1460" s="76">
        <v>6</v>
      </c>
      <c r="O1460" s="92"/>
    </row>
    <row r="1461" spans="1:15" x14ac:dyDescent="0.25">
      <c r="A1461" s="1">
        <v>1456</v>
      </c>
      <c r="B1461" s="91">
        <v>13338</v>
      </c>
      <c r="C1461" s="76" t="s">
        <v>219</v>
      </c>
      <c r="D1461" s="76" t="s">
        <v>926</v>
      </c>
      <c r="E1461" s="76" t="s">
        <v>899</v>
      </c>
      <c r="F1461" s="76" t="s">
        <v>900</v>
      </c>
      <c r="G1461" s="76">
        <v>6</v>
      </c>
      <c r="O1461" s="92"/>
    </row>
    <row r="1462" spans="1:15" x14ac:dyDescent="0.25">
      <c r="A1462" s="1">
        <v>1457</v>
      </c>
      <c r="B1462" s="91">
        <v>13339</v>
      </c>
      <c r="C1462" s="76" t="s">
        <v>211</v>
      </c>
      <c r="D1462" s="76" t="s">
        <v>902</v>
      </c>
      <c r="E1462" s="76" t="s">
        <v>899</v>
      </c>
      <c r="F1462" s="76" t="s">
        <v>900</v>
      </c>
      <c r="G1462" s="76">
        <v>6</v>
      </c>
      <c r="O1462" s="92"/>
    </row>
    <row r="1463" spans="1:15" x14ac:dyDescent="0.25">
      <c r="A1463" s="1">
        <v>1458</v>
      </c>
      <c r="B1463" s="91">
        <v>13340</v>
      </c>
      <c r="C1463" s="76" t="s">
        <v>219</v>
      </c>
      <c r="D1463" s="76" t="s">
        <v>932</v>
      </c>
      <c r="E1463" s="76" t="s">
        <v>899</v>
      </c>
      <c r="F1463" s="76" t="s">
        <v>900</v>
      </c>
      <c r="G1463" s="76">
        <v>6</v>
      </c>
      <c r="O1463" s="92"/>
    </row>
    <row r="1464" spans="1:15" x14ac:dyDescent="0.25">
      <c r="A1464" s="1">
        <v>1459</v>
      </c>
      <c r="B1464" s="91">
        <v>13341</v>
      </c>
      <c r="C1464" s="76" t="s">
        <v>219</v>
      </c>
      <c r="D1464" s="76" t="s">
        <v>926</v>
      </c>
      <c r="E1464" s="76" t="s">
        <v>899</v>
      </c>
      <c r="F1464" s="76" t="s">
        <v>900</v>
      </c>
      <c r="G1464" s="76">
        <v>6</v>
      </c>
      <c r="O1464" s="92"/>
    </row>
    <row r="1465" spans="1:15" x14ac:dyDescent="0.25">
      <c r="A1465" s="1">
        <v>1460</v>
      </c>
      <c r="B1465" s="91">
        <v>13342</v>
      </c>
      <c r="C1465" s="76" t="s">
        <v>212</v>
      </c>
      <c r="D1465" s="76" t="s">
        <v>910</v>
      </c>
      <c r="E1465" s="76" t="s">
        <v>899</v>
      </c>
      <c r="F1465" s="76" t="s">
        <v>900</v>
      </c>
      <c r="G1465" s="76">
        <v>6</v>
      </c>
      <c r="O1465" s="92"/>
    </row>
    <row r="1466" spans="1:15" x14ac:dyDescent="0.25">
      <c r="A1466" s="1">
        <v>1461</v>
      </c>
      <c r="B1466" s="91">
        <v>13343</v>
      </c>
      <c r="C1466" s="76" t="s">
        <v>214</v>
      </c>
      <c r="D1466" s="76" t="s">
        <v>931</v>
      </c>
      <c r="E1466" s="76" t="s">
        <v>899</v>
      </c>
      <c r="F1466" s="76" t="s">
        <v>900</v>
      </c>
      <c r="G1466" s="76">
        <v>6</v>
      </c>
      <c r="O1466" s="92"/>
    </row>
    <row r="1467" spans="1:15" x14ac:dyDescent="0.25">
      <c r="A1467" s="1">
        <v>1462</v>
      </c>
      <c r="B1467" s="91">
        <v>13345</v>
      </c>
      <c r="C1467" s="76" t="s">
        <v>214</v>
      </c>
      <c r="D1467" s="76" t="s">
        <v>931</v>
      </c>
      <c r="E1467" s="76" t="s">
        <v>899</v>
      </c>
      <c r="F1467" s="76" t="s">
        <v>900</v>
      </c>
      <c r="G1467" s="76">
        <v>6</v>
      </c>
      <c r="O1467" s="92"/>
    </row>
    <row r="1468" spans="1:15" x14ac:dyDescent="0.25">
      <c r="A1468" s="1">
        <v>1463</v>
      </c>
      <c r="B1468" s="91">
        <v>13346</v>
      </c>
      <c r="C1468" s="76" t="s">
        <v>219</v>
      </c>
      <c r="D1468" s="76" t="s">
        <v>924</v>
      </c>
      <c r="E1468" s="76" t="s">
        <v>899</v>
      </c>
      <c r="F1468" s="76" t="s">
        <v>900</v>
      </c>
      <c r="G1468" s="76">
        <v>6</v>
      </c>
      <c r="O1468" s="92"/>
    </row>
    <row r="1469" spans="1:15" x14ac:dyDescent="0.25">
      <c r="A1469" s="1">
        <v>1464</v>
      </c>
      <c r="B1469" s="91">
        <v>13348</v>
      </c>
      <c r="C1469" s="76" t="s">
        <v>212</v>
      </c>
      <c r="D1469" s="76" t="s">
        <v>910</v>
      </c>
      <c r="E1469" s="76" t="s">
        <v>899</v>
      </c>
      <c r="F1469" s="76" t="s">
        <v>900</v>
      </c>
      <c r="G1469" s="76">
        <v>6</v>
      </c>
      <c r="O1469" s="92"/>
    </row>
    <row r="1470" spans="1:15" x14ac:dyDescent="0.25">
      <c r="A1470" s="1">
        <v>1465</v>
      </c>
      <c r="B1470" s="91">
        <v>13350</v>
      </c>
      <c r="C1470" s="76" t="s">
        <v>219</v>
      </c>
      <c r="D1470" s="76" t="s">
        <v>932</v>
      </c>
      <c r="E1470" s="76" t="s">
        <v>899</v>
      </c>
      <c r="F1470" s="76" t="s">
        <v>900</v>
      </c>
      <c r="G1470" s="76">
        <v>6</v>
      </c>
      <c r="O1470" s="92"/>
    </row>
    <row r="1471" spans="1:15" x14ac:dyDescent="0.25">
      <c r="A1471" s="1">
        <v>1466</v>
      </c>
      <c r="B1471" s="91">
        <v>13352</v>
      </c>
      <c r="C1471" s="76" t="s">
        <v>219</v>
      </c>
      <c r="D1471" s="76" t="s">
        <v>926</v>
      </c>
      <c r="E1471" s="76" t="s">
        <v>899</v>
      </c>
      <c r="F1471" s="76" t="s">
        <v>900</v>
      </c>
      <c r="G1471" s="76">
        <v>6</v>
      </c>
      <c r="O1471" s="92"/>
    </row>
    <row r="1472" spans="1:15" x14ac:dyDescent="0.25">
      <c r="A1472" s="1">
        <v>1467</v>
      </c>
      <c r="B1472" s="91">
        <v>13353</v>
      </c>
      <c r="C1472" s="76" t="s">
        <v>214</v>
      </c>
      <c r="D1472" s="76" t="s">
        <v>911</v>
      </c>
      <c r="E1472" s="76" t="s">
        <v>899</v>
      </c>
      <c r="F1472" s="76" t="s">
        <v>900</v>
      </c>
      <c r="G1472" s="76">
        <v>6</v>
      </c>
      <c r="O1472" s="92"/>
    </row>
    <row r="1473" spans="1:15" x14ac:dyDescent="0.25">
      <c r="A1473" s="1">
        <v>1468</v>
      </c>
      <c r="B1473" s="91">
        <v>13354</v>
      </c>
      <c r="C1473" s="76" t="s">
        <v>219</v>
      </c>
      <c r="D1473" s="76" t="s">
        <v>926</v>
      </c>
      <c r="E1473" s="76" t="s">
        <v>899</v>
      </c>
      <c r="F1473" s="76" t="s">
        <v>900</v>
      </c>
      <c r="G1473" s="76">
        <v>6</v>
      </c>
      <c r="O1473" s="92"/>
    </row>
    <row r="1474" spans="1:15" x14ac:dyDescent="0.25">
      <c r="A1474" s="1">
        <v>1469</v>
      </c>
      <c r="B1474" s="91">
        <v>13355</v>
      </c>
      <c r="C1474" s="76" t="s">
        <v>219</v>
      </c>
      <c r="D1474" s="76" t="s">
        <v>924</v>
      </c>
      <c r="E1474" s="76" t="s">
        <v>899</v>
      </c>
      <c r="F1474" s="76" t="s">
        <v>900</v>
      </c>
      <c r="G1474" s="76">
        <v>6</v>
      </c>
      <c r="O1474" s="92"/>
    </row>
    <row r="1475" spans="1:15" x14ac:dyDescent="0.25">
      <c r="A1475" s="1">
        <v>1470</v>
      </c>
      <c r="B1475" s="91">
        <v>13357</v>
      </c>
      <c r="C1475" s="76" t="s">
        <v>219</v>
      </c>
      <c r="D1475" s="76" t="s">
        <v>932</v>
      </c>
      <c r="E1475" s="76" t="s">
        <v>899</v>
      </c>
      <c r="F1475" s="76" t="s">
        <v>900</v>
      </c>
      <c r="G1475" s="76">
        <v>6</v>
      </c>
      <c r="O1475" s="92"/>
    </row>
    <row r="1476" spans="1:15" x14ac:dyDescent="0.25">
      <c r="A1476" s="1">
        <v>1471</v>
      </c>
      <c r="B1476" s="91">
        <v>13360</v>
      </c>
      <c r="C1476" s="76" t="s">
        <v>214</v>
      </c>
      <c r="D1476" s="76" t="s">
        <v>911</v>
      </c>
      <c r="E1476" s="76" t="s">
        <v>899</v>
      </c>
      <c r="F1476" s="76" t="s">
        <v>900</v>
      </c>
      <c r="G1476" s="76">
        <v>6</v>
      </c>
      <c r="O1476" s="92"/>
    </row>
    <row r="1477" spans="1:15" x14ac:dyDescent="0.25">
      <c r="A1477" s="1">
        <v>1472</v>
      </c>
      <c r="B1477" s="91">
        <v>13361</v>
      </c>
      <c r="C1477" s="76" t="s">
        <v>219</v>
      </c>
      <c r="D1477" s="76" t="s">
        <v>932</v>
      </c>
      <c r="E1477" s="76" t="s">
        <v>899</v>
      </c>
      <c r="F1477" s="76" t="s">
        <v>900</v>
      </c>
      <c r="G1477" s="76">
        <v>6</v>
      </c>
      <c r="O1477" s="92"/>
    </row>
    <row r="1478" spans="1:15" x14ac:dyDescent="0.25">
      <c r="A1478" s="1">
        <v>1473</v>
      </c>
      <c r="B1478" s="91">
        <v>13362</v>
      </c>
      <c r="C1478" s="76" t="s">
        <v>219</v>
      </c>
      <c r="D1478" s="76" t="s">
        <v>926</v>
      </c>
      <c r="E1478" s="76" t="s">
        <v>899</v>
      </c>
      <c r="F1478" s="76" t="s">
        <v>900</v>
      </c>
      <c r="G1478" s="76">
        <v>6</v>
      </c>
      <c r="O1478" s="92"/>
    </row>
    <row r="1479" spans="1:15" x14ac:dyDescent="0.25">
      <c r="A1479" s="1">
        <v>1474</v>
      </c>
      <c r="B1479" s="91">
        <v>13363</v>
      </c>
      <c r="C1479" s="76" t="s">
        <v>219</v>
      </c>
      <c r="D1479" s="76" t="s">
        <v>926</v>
      </c>
      <c r="E1479" s="76" t="s">
        <v>899</v>
      </c>
      <c r="F1479" s="76" t="s">
        <v>900</v>
      </c>
      <c r="G1479" s="76">
        <v>6</v>
      </c>
      <c r="O1479" s="92"/>
    </row>
    <row r="1480" spans="1:15" x14ac:dyDescent="0.25">
      <c r="A1480" s="1">
        <v>1475</v>
      </c>
      <c r="B1480" s="91">
        <v>13364</v>
      </c>
      <c r="C1480" s="76" t="s">
        <v>219</v>
      </c>
      <c r="D1480" s="76" t="s">
        <v>924</v>
      </c>
      <c r="E1480" s="76" t="s">
        <v>899</v>
      </c>
      <c r="F1480" s="76" t="s">
        <v>900</v>
      </c>
      <c r="G1480" s="76">
        <v>6</v>
      </c>
      <c r="O1480" s="92"/>
    </row>
    <row r="1481" spans="1:15" x14ac:dyDescent="0.25">
      <c r="A1481" s="1">
        <v>1476</v>
      </c>
      <c r="B1481" s="91">
        <v>13365</v>
      </c>
      <c r="C1481" s="76" t="s">
        <v>219</v>
      </c>
      <c r="D1481" s="76" t="s">
        <v>932</v>
      </c>
      <c r="E1481" s="76" t="s">
        <v>899</v>
      </c>
      <c r="F1481" s="76" t="s">
        <v>900</v>
      </c>
      <c r="G1481" s="76">
        <v>6</v>
      </c>
      <c r="O1481" s="92"/>
    </row>
    <row r="1482" spans="1:15" x14ac:dyDescent="0.25">
      <c r="A1482" s="1">
        <v>1477</v>
      </c>
      <c r="B1482" s="91">
        <v>13367</v>
      </c>
      <c r="C1482" s="76" t="s">
        <v>214</v>
      </c>
      <c r="D1482" s="76" t="s">
        <v>931</v>
      </c>
      <c r="E1482" s="76" t="s">
        <v>899</v>
      </c>
      <c r="F1482" s="76" t="s">
        <v>900</v>
      </c>
      <c r="G1482" s="76">
        <v>6</v>
      </c>
      <c r="O1482" s="92"/>
    </row>
    <row r="1483" spans="1:15" x14ac:dyDescent="0.25">
      <c r="A1483" s="1">
        <v>1478</v>
      </c>
      <c r="B1483" s="91">
        <v>13368</v>
      </c>
      <c r="C1483" s="76" t="s">
        <v>214</v>
      </c>
      <c r="D1483" s="76" t="s">
        <v>931</v>
      </c>
      <c r="E1483" s="76" t="s">
        <v>899</v>
      </c>
      <c r="F1483" s="76" t="s">
        <v>900</v>
      </c>
      <c r="G1483" s="76">
        <v>6</v>
      </c>
      <c r="O1483" s="92"/>
    </row>
    <row r="1484" spans="1:15" x14ac:dyDescent="0.25">
      <c r="A1484" s="1">
        <v>1479</v>
      </c>
      <c r="B1484" s="91">
        <v>13401</v>
      </c>
      <c r="C1484" s="76" t="s">
        <v>219</v>
      </c>
      <c r="D1484" s="76" t="s">
        <v>926</v>
      </c>
      <c r="E1484" s="76" t="s">
        <v>899</v>
      </c>
      <c r="F1484" s="76" t="s">
        <v>900</v>
      </c>
      <c r="G1484" s="76">
        <v>6</v>
      </c>
      <c r="O1484" s="92"/>
    </row>
    <row r="1485" spans="1:15" x14ac:dyDescent="0.25">
      <c r="A1485" s="1">
        <v>1480</v>
      </c>
      <c r="B1485" s="91">
        <v>13402</v>
      </c>
      <c r="C1485" s="76" t="s">
        <v>219</v>
      </c>
      <c r="D1485" s="76" t="s">
        <v>924</v>
      </c>
      <c r="E1485" s="76" t="s">
        <v>899</v>
      </c>
      <c r="F1485" s="76" t="s">
        <v>900</v>
      </c>
      <c r="G1485" s="76">
        <v>6</v>
      </c>
      <c r="O1485" s="92"/>
    </row>
    <row r="1486" spans="1:15" x14ac:dyDescent="0.25">
      <c r="A1486" s="1">
        <v>1481</v>
      </c>
      <c r="B1486" s="91">
        <v>13403</v>
      </c>
      <c r="C1486" s="76" t="s">
        <v>219</v>
      </c>
      <c r="D1486" s="76" t="s">
        <v>926</v>
      </c>
      <c r="E1486" s="76" t="s">
        <v>899</v>
      </c>
      <c r="F1486" s="76" t="s">
        <v>900</v>
      </c>
      <c r="G1486" s="76">
        <v>6</v>
      </c>
      <c r="O1486" s="92"/>
    </row>
    <row r="1487" spans="1:15" x14ac:dyDescent="0.25">
      <c r="A1487" s="1">
        <v>1482</v>
      </c>
      <c r="B1487" s="91">
        <v>13404</v>
      </c>
      <c r="C1487" s="76" t="s">
        <v>214</v>
      </c>
      <c r="D1487" s="76" t="s">
        <v>931</v>
      </c>
      <c r="E1487" s="76" t="s">
        <v>899</v>
      </c>
      <c r="F1487" s="76" t="s">
        <v>900</v>
      </c>
      <c r="G1487" s="76">
        <v>6</v>
      </c>
      <c r="O1487" s="92"/>
    </row>
    <row r="1488" spans="1:15" x14ac:dyDescent="0.25">
      <c r="A1488" s="1">
        <v>1483</v>
      </c>
      <c r="B1488" s="91">
        <v>13406</v>
      </c>
      <c r="C1488" s="76" t="s">
        <v>219</v>
      </c>
      <c r="D1488" s="76" t="s">
        <v>932</v>
      </c>
      <c r="E1488" s="76" t="s">
        <v>899</v>
      </c>
      <c r="F1488" s="76" t="s">
        <v>900</v>
      </c>
      <c r="G1488" s="76">
        <v>6</v>
      </c>
      <c r="O1488" s="92"/>
    </row>
    <row r="1489" spans="1:15" x14ac:dyDescent="0.25">
      <c r="A1489" s="1">
        <v>1484</v>
      </c>
      <c r="B1489" s="91">
        <v>13407</v>
      </c>
      <c r="C1489" s="76" t="s">
        <v>219</v>
      </c>
      <c r="D1489" s="76" t="s">
        <v>932</v>
      </c>
      <c r="E1489" s="76" t="s">
        <v>899</v>
      </c>
      <c r="F1489" s="76" t="s">
        <v>900</v>
      </c>
      <c r="G1489" s="76">
        <v>6</v>
      </c>
      <c r="O1489" s="92"/>
    </row>
    <row r="1490" spans="1:15" x14ac:dyDescent="0.25">
      <c r="A1490" s="1">
        <v>1485</v>
      </c>
      <c r="B1490" s="91">
        <v>13408</v>
      </c>
      <c r="C1490" s="76" t="s">
        <v>219</v>
      </c>
      <c r="D1490" s="76" t="s">
        <v>924</v>
      </c>
      <c r="E1490" s="76" t="s">
        <v>899</v>
      </c>
      <c r="F1490" s="76" t="s">
        <v>900</v>
      </c>
      <c r="G1490" s="76">
        <v>6</v>
      </c>
      <c r="O1490" s="92"/>
    </row>
    <row r="1491" spans="1:15" x14ac:dyDescent="0.25">
      <c r="A1491" s="1">
        <v>1486</v>
      </c>
      <c r="B1491" s="91">
        <v>13409</v>
      </c>
      <c r="C1491" s="76" t="s">
        <v>219</v>
      </c>
      <c r="D1491" s="76" t="s">
        <v>924</v>
      </c>
      <c r="E1491" s="76" t="s">
        <v>899</v>
      </c>
      <c r="F1491" s="76" t="s">
        <v>900</v>
      </c>
      <c r="G1491" s="76">
        <v>6</v>
      </c>
      <c r="O1491" s="92"/>
    </row>
    <row r="1492" spans="1:15" x14ac:dyDescent="0.25">
      <c r="A1492" s="1">
        <v>1487</v>
      </c>
      <c r="B1492" s="91">
        <v>13410</v>
      </c>
      <c r="C1492" s="76" t="s">
        <v>211</v>
      </c>
      <c r="D1492" s="76" t="s">
        <v>902</v>
      </c>
      <c r="E1492" s="76" t="s">
        <v>899</v>
      </c>
      <c r="F1492" s="76" t="s">
        <v>900</v>
      </c>
      <c r="G1492" s="76">
        <v>6</v>
      </c>
      <c r="O1492" s="92"/>
    </row>
    <row r="1493" spans="1:15" x14ac:dyDescent="0.25">
      <c r="A1493" s="1">
        <v>1488</v>
      </c>
      <c r="B1493" s="91">
        <v>13411</v>
      </c>
      <c r="C1493" s="76" t="s">
        <v>212</v>
      </c>
      <c r="D1493" s="76" t="s">
        <v>929</v>
      </c>
      <c r="E1493" s="76" t="s">
        <v>899</v>
      </c>
      <c r="F1493" s="76" t="s">
        <v>900</v>
      </c>
      <c r="G1493" s="76">
        <v>6</v>
      </c>
      <c r="O1493" s="92"/>
    </row>
    <row r="1494" spans="1:15" x14ac:dyDescent="0.25">
      <c r="A1494" s="1">
        <v>1489</v>
      </c>
      <c r="B1494" s="91">
        <v>13413</v>
      </c>
      <c r="C1494" s="76" t="s">
        <v>219</v>
      </c>
      <c r="D1494" s="76" t="s">
        <v>926</v>
      </c>
      <c r="E1494" s="76" t="s">
        <v>899</v>
      </c>
      <c r="F1494" s="76" t="s">
        <v>900</v>
      </c>
      <c r="G1494" s="76">
        <v>6</v>
      </c>
      <c r="O1494" s="92"/>
    </row>
    <row r="1495" spans="1:15" x14ac:dyDescent="0.25">
      <c r="A1495" s="1">
        <v>1490</v>
      </c>
      <c r="B1495" s="91">
        <v>13415</v>
      </c>
      <c r="C1495" s="76" t="s">
        <v>212</v>
      </c>
      <c r="D1495" s="76" t="s">
        <v>910</v>
      </c>
      <c r="E1495" s="76" t="s">
        <v>899</v>
      </c>
      <c r="F1495" s="76" t="s">
        <v>900</v>
      </c>
      <c r="G1495" s="76">
        <v>6</v>
      </c>
      <c r="O1495" s="92"/>
    </row>
    <row r="1496" spans="1:15" x14ac:dyDescent="0.25">
      <c r="A1496" s="1">
        <v>1491</v>
      </c>
      <c r="B1496" s="91">
        <v>13416</v>
      </c>
      <c r="C1496" s="76" t="s">
        <v>219</v>
      </c>
      <c r="D1496" s="76" t="s">
        <v>932</v>
      </c>
      <c r="E1496" s="76" t="s">
        <v>899</v>
      </c>
      <c r="F1496" s="76" t="s">
        <v>900</v>
      </c>
      <c r="G1496" s="76">
        <v>6</v>
      </c>
      <c r="O1496" s="92"/>
    </row>
    <row r="1497" spans="1:15" x14ac:dyDescent="0.25">
      <c r="A1497" s="1">
        <v>1492</v>
      </c>
      <c r="B1497" s="91">
        <v>13417</v>
      </c>
      <c r="C1497" s="76" t="s">
        <v>219</v>
      </c>
      <c r="D1497" s="76" t="s">
        <v>926</v>
      </c>
      <c r="E1497" s="76" t="s">
        <v>899</v>
      </c>
      <c r="F1497" s="76" t="s">
        <v>900</v>
      </c>
      <c r="G1497" s="76">
        <v>6</v>
      </c>
      <c r="O1497" s="92"/>
    </row>
    <row r="1498" spans="1:15" x14ac:dyDescent="0.25">
      <c r="A1498" s="1">
        <v>1493</v>
      </c>
      <c r="B1498" s="91">
        <v>13418</v>
      </c>
      <c r="C1498" s="76" t="s">
        <v>219</v>
      </c>
      <c r="D1498" s="76" t="s">
        <v>924</v>
      </c>
      <c r="E1498" s="76" t="s">
        <v>899</v>
      </c>
      <c r="F1498" s="76" t="s">
        <v>900</v>
      </c>
      <c r="G1498" s="76">
        <v>6</v>
      </c>
      <c r="O1498" s="92"/>
    </row>
    <row r="1499" spans="1:15" x14ac:dyDescent="0.25">
      <c r="A1499" s="1">
        <v>1494</v>
      </c>
      <c r="B1499" s="91">
        <v>13420</v>
      </c>
      <c r="C1499" s="76" t="s">
        <v>219</v>
      </c>
      <c r="D1499" s="76" t="s">
        <v>932</v>
      </c>
      <c r="E1499" s="76" t="s">
        <v>899</v>
      </c>
      <c r="F1499" s="76" t="s">
        <v>900</v>
      </c>
      <c r="G1499" s="76">
        <v>6</v>
      </c>
      <c r="O1499" s="92"/>
    </row>
    <row r="1500" spans="1:15" x14ac:dyDescent="0.25">
      <c r="A1500" s="1">
        <v>1495</v>
      </c>
      <c r="B1500" s="91">
        <v>13421</v>
      </c>
      <c r="C1500" s="76" t="s">
        <v>219</v>
      </c>
      <c r="D1500" s="76" t="s">
        <v>924</v>
      </c>
      <c r="E1500" s="76" t="s">
        <v>899</v>
      </c>
      <c r="F1500" s="76" t="s">
        <v>900</v>
      </c>
      <c r="G1500" s="76">
        <v>6</v>
      </c>
      <c r="O1500" s="92"/>
    </row>
    <row r="1501" spans="1:15" x14ac:dyDescent="0.25">
      <c r="A1501" s="1">
        <v>1496</v>
      </c>
      <c r="B1501" s="91">
        <v>13424</v>
      </c>
      <c r="C1501" s="76" t="s">
        <v>219</v>
      </c>
      <c r="D1501" s="76" t="s">
        <v>926</v>
      </c>
      <c r="E1501" s="76" t="s">
        <v>899</v>
      </c>
      <c r="F1501" s="76" t="s">
        <v>900</v>
      </c>
      <c r="G1501" s="76">
        <v>6</v>
      </c>
      <c r="O1501" s="92"/>
    </row>
    <row r="1502" spans="1:15" x14ac:dyDescent="0.25">
      <c r="A1502" s="1">
        <v>1497</v>
      </c>
      <c r="B1502" s="91">
        <v>13425</v>
      </c>
      <c r="C1502" s="76" t="s">
        <v>219</v>
      </c>
      <c r="D1502" s="76" t="s">
        <v>926</v>
      </c>
      <c r="E1502" s="76" t="s">
        <v>899</v>
      </c>
      <c r="F1502" s="76" t="s">
        <v>900</v>
      </c>
      <c r="G1502" s="76">
        <v>6</v>
      </c>
      <c r="O1502" s="92"/>
    </row>
    <row r="1503" spans="1:15" x14ac:dyDescent="0.25">
      <c r="A1503" s="1">
        <v>1498</v>
      </c>
      <c r="B1503" s="91">
        <v>13426</v>
      </c>
      <c r="C1503" s="76" t="s">
        <v>219</v>
      </c>
      <c r="D1503" s="76" t="s">
        <v>923</v>
      </c>
      <c r="E1503" s="76" t="s">
        <v>899</v>
      </c>
      <c r="F1503" s="76" t="s">
        <v>900</v>
      </c>
      <c r="G1503" s="76">
        <v>5</v>
      </c>
      <c r="O1503" s="92"/>
    </row>
    <row r="1504" spans="1:15" x14ac:dyDescent="0.25">
      <c r="A1504" s="1">
        <v>1499</v>
      </c>
      <c r="B1504" s="91">
        <v>13428</v>
      </c>
      <c r="C1504" s="76" t="s">
        <v>211</v>
      </c>
      <c r="D1504" s="76" t="s">
        <v>902</v>
      </c>
      <c r="E1504" s="76" t="s">
        <v>899</v>
      </c>
      <c r="F1504" s="76" t="s">
        <v>900</v>
      </c>
      <c r="G1504" s="76">
        <v>6</v>
      </c>
      <c r="O1504" s="92"/>
    </row>
    <row r="1505" spans="1:15" x14ac:dyDescent="0.25">
      <c r="A1505" s="1">
        <v>1500</v>
      </c>
      <c r="B1505" s="91">
        <v>13431</v>
      </c>
      <c r="C1505" s="76" t="s">
        <v>219</v>
      </c>
      <c r="D1505" s="76" t="s">
        <v>932</v>
      </c>
      <c r="E1505" s="76" t="s">
        <v>899</v>
      </c>
      <c r="F1505" s="76" t="s">
        <v>900</v>
      </c>
      <c r="G1505" s="76">
        <v>6</v>
      </c>
      <c r="O1505" s="92"/>
    </row>
    <row r="1506" spans="1:15" x14ac:dyDescent="0.25">
      <c r="A1506" s="1">
        <v>1501</v>
      </c>
      <c r="B1506" s="91">
        <v>13433</v>
      </c>
      <c r="C1506" s="76" t="s">
        <v>214</v>
      </c>
      <c r="D1506" s="76" t="s">
        <v>931</v>
      </c>
      <c r="E1506" s="76" t="s">
        <v>899</v>
      </c>
      <c r="F1506" s="76" t="s">
        <v>900</v>
      </c>
      <c r="G1506" s="76">
        <v>6</v>
      </c>
      <c r="O1506" s="92"/>
    </row>
    <row r="1507" spans="1:15" x14ac:dyDescent="0.25">
      <c r="A1507" s="1">
        <v>1502</v>
      </c>
      <c r="B1507" s="91">
        <v>13435</v>
      </c>
      <c r="C1507" s="76" t="s">
        <v>219</v>
      </c>
      <c r="D1507" s="76" t="s">
        <v>926</v>
      </c>
      <c r="E1507" s="76" t="s">
        <v>899</v>
      </c>
      <c r="F1507" s="76" t="s">
        <v>900</v>
      </c>
      <c r="G1507" s="76">
        <v>6</v>
      </c>
      <c r="O1507" s="92"/>
    </row>
    <row r="1508" spans="1:15" x14ac:dyDescent="0.25">
      <c r="A1508" s="1">
        <v>1503</v>
      </c>
      <c r="B1508" s="91">
        <v>13436</v>
      </c>
      <c r="C1508" s="76" t="s">
        <v>214</v>
      </c>
      <c r="D1508" s="76" t="s">
        <v>911</v>
      </c>
      <c r="E1508" s="76" t="s">
        <v>899</v>
      </c>
      <c r="F1508" s="76" t="s">
        <v>900</v>
      </c>
      <c r="G1508" s="76">
        <v>6</v>
      </c>
      <c r="O1508" s="92"/>
    </row>
    <row r="1509" spans="1:15" x14ac:dyDescent="0.25">
      <c r="A1509" s="1">
        <v>1504</v>
      </c>
      <c r="B1509" s="91">
        <v>13437</v>
      </c>
      <c r="C1509" s="76" t="s">
        <v>219</v>
      </c>
      <c r="D1509" s="76" t="s">
        <v>923</v>
      </c>
      <c r="E1509" s="76" t="s">
        <v>899</v>
      </c>
      <c r="F1509" s="76" t="s">
        <v>900</v>
      </c>
      <c r="G1509" s="76">
        <v>5</v>
      </c>
      <c r="O1509" s="92"/>
    </row>
    <row r="1510" spans="1:15" x14ac:dyDescent="0.25">
      <c r="A1510" s="1">
        <v>1505</v>
      </c>
      <c r="B1510" s="91">
        <v>13438</v>
      </c>
      <c r="C1510" s="76" t="s">
        <v>219</v>
      </c>
      <c r="D1510" s="76" t="s">
        <v>926</v>
      </c>
      <c r="E1510" s="76" t="s">
        <v>899</v>
      </c>
      <c r="F1510" s="76" t="s">
        <v>900</v>
      </c>
      <c r="G1510" s="76">
        <v>6</v>
      </c>
      <c r="O1510" s="92"/>
    </row>
    <row r="1511" spans="1:15" x14ac:dyDescent="0.25">
      <c r="A1511" s="1">
        <v>1506</v>
      </c>
      <c r="B1511" s="91">
        <v>13439</v>
      </c>
      <c r="C1511" s="76" t="s">
        <v>212</v>
      </c>
      <c r="D1511" s="76" t="s">
        <v>910</v>
      </c>
      <c r="E1511" s="76" t="s">
        <v>899</v>
      </c>
      <c r="F1511" s="76" t="s">
        <v>900</v>
      </c>
      <c r="G1511" s="76">
        <v>6</v>
      </c>
      <c r="O1511" s="92"/>
    </row>
    <row r="1512" spans="1:15" x14ac:dyDescent="0.25">
      <c r="A1512" s="1">
        <v>1507</v>
      </c>
      <c r="B1512" s="91">
        <v>13440</v>
      </c>
      <c r="C1512" s="76" t="s">
        <v>219</v>
      </c>
      <c r="D1512" s="76" t="s">
        <v>926</v>
      </c>
      <c r="E1512" s="76" t="s">
        <v>899</v>
      </c>
      <c r="F1512" s="76" t="s">
        <v>900</v>
      </c>
      <c r="G1512" s="76">
        <v>6</v>
      </c>
      <c r="O1512" s="92"/>
    </row>
    <row r="1513" spans="1:15" x14ac:dyDescent="0.25">
      <c r="A1513" s="1">
        <v>1508</v>
      </c>
      <c r="B1513" s="91">
        <v>13441</v>
      </c>
      <c r="C1513" s="76" t="s">
        <v>219</v>
      </c>
      <c r="D1513" s="76" t="s">
        <v>926</v>
      </c>
      <c r="E1513" s="76" t="s">
        <v>899</v>
      </c>
      <c r="F1513" s="76" t="s">
        <v>900</v>
      </c>
      <c r="G1513" s="76">
        <v>6</v>
      </c>
      <c r="O1513" s="92"/>
    </row>
    <row r="1514" spans="1:15" x14ac:dyDescent="0.25">
      <c r="A1514" s="1">
        <v>1509</v>
      </c>
      <c r="B1514" s="91">
        <v>13442</v>
      </c>
      <c r="C1514" s="76" t="s">
        <v>219</v>
      </c>
      <c r="D1514" s="76" t="s">
        <v>926</v>
      </c>
      <c r="E1514" s="76" t="s">
        <v>899</v>
      </c>
      <c r="F1514" s="76" t="s">
        <v>900</v>
      </c>
      <c r="G1514" s="76">
        <v>6</v>
      </c>
      <c r="O1514" s="92"/>
    </row>
    <row r="1515" spans="1:15" x14ac:dyDescent="0.25">
      <c r="A1515" s="1">
        <v>1510</v>
      </c>
      <c r="B1515" s="91">
        <v>13449</v>
      </c>
      <c r="C1515" s="76" t="s">
        <v>219</v>
      </c>
      <c r="D1515" s="76" t="s">
        <v>926</v>
      </c>
      <c r="E1515" s="76" t="s">
        <v>899</v>
      </c>
      <c r="F1515" s="76" t="s">
        <v>900</v>
      </c>
      <c r="G1515" s="76">
        <v>6</v>
      </c>
      <c r="O1515" s="92"/>
    </row>
    <row r="1516" spans="1:15" x14ac:dyDescent="0.25">
      <c r="A1516" s="1">
        <v>1511</v>
      </c>
      <c r="B1516" s="91">
        <v>13450</v>
      </c>
      <c r="C1516" s="76" t="s">
        <v>212</v>
      </c>
      <c r="D1516" s="76" t="s">
        <v>910</v>
      </c>
      <c r="E1516" s="76" t="s">
        <v>899</v>
      </c>
      <c r="F1516" s="76" t="s">
        <v>900</v>
      </c>
      <c r="G1516" s="76">
        <v>6</v>
      </c>
      <c r="O1516" s="92"/>
    </row>
    <row r="1517" spans="1:15" x14ac:dyDescent="0.25">
      <c r="A1517" s="1">
        <v>1512</v>
      </c>
      <c r="B1517" s="91">
        <v>13452</v>
      </c>
      <c r="C1517" s="76" t="s">
        <v>211</v>
      </c>
      <c r="D1517" s="76" t="s">
        <v>902</v>
      </c>
      <c r="E1517" s="76" t="s">
        <v>899</v>
      </c>
      <c r="F1517" s="76" t="s">
        <v>900</v>
      </c>
      <c r="G1517" s="76">
        <v>6</v>
      </c>
      <c r="O1517" s="92"/>
    </row>
    <row r="1518" spans="1:15" x14ac:dyDescent="0.25">
      <c r="A1518" s="1">
        <v>1513</v>
      </c>
      <c r="B1518" s="91">
        <v>13454</v>
      </c>
      <c r="C1518" s="76" t="s">
        <v>219</v>
      </c>
      <c r="D1518" s="76" t="s">
        <v>932</v>
      </c>
      <c r="E1518" s="76" t="s">
        <v>899</v>
      </c>
      <c r="F1518" s="76" t="s">
        <v>900</v>
      </c>
      <c r="G1518" s="76">
        <v>6</v>
      </c>
      <c r="O1518" s="92"/>
    </row>
    <row r="1519" spans="1:15" x14ac:dyDescent="0.25">
      <c r="A1519" s="1">
        <v>1514</v>
      </c>
      <c r="B1519" s="91">
        <v>13455</v>
      </c>
      <c r="C1519" s="76" t="s">
        <v>219</v>
      </c>
      <c r="D1519" s="76" t="s">
        <v>926</v>
      </c>
      <c r="E1519" s="76" t="s">
        <v>899</v>
      </c>
      <c r="F1519" s="76" t="s">
        <v>900</v>
      </c>
      <c r="G1519" s="76">
        <v>6</v>
      </c>
      <c r="O1519" s="92"/>
    </row>
    <row r="1520" spans="1:15" x14ac:dyDescent="0.25">
      <c r="A1520" s="1">
        <v>1515</v>
      </c>
      <c r="B1520" s="91">
        <v>13456</v>
      </c>
      <c r="C1520" s="76" t="s">
        <v>219</v>
      </c>
      <c r="D1520" s="76" t="s">
        <v>926</v>
      </c>
      <c r="E1520" s="76" t="s">
        <v>899</v>
      </c>
      <c r="F1520" s="76" t="s">
        <v>900</v>
      </c>
      <c r="G1520" s="76">
        <v>6</v>
      </c>
      <c r="O1520" s="92"/>
    </row>
    <row r="1521" spans="1:15" x14ac:dyDescent="0.25">
      <c r="A1521" s="1">
        <v>1516</v>
      </c>
      <c r="B1521" s="91">
        <v>13457</v>
      </c>
      <c r="C1521" s="76" t="s">
        <v>212</v>
      </c>
      <c r="D1521" s="76" t="s">
        <v>910</v>
      </c>
      <c r="E1521" s="76" t="s">
        <v>899</v>
      </c>
      <c r="F1521" s="76" t="s">
        <v>900</v>
      </c>
      <c r="G1521" s="76">
        <v>6</v>
      </c>
      <c r="O1521" s="92"/>
    </row>
    <row r="1522" spans="1:15" x14ac:dyDescent="0.25">
      <c r="A1522" s="1">
        <v>1517</v>
      </c>
      <c r="B1522" s="91">
        <v>13459</v>
      </c>
      <c r="C1522" s="76" t="s">
        <v>211</v>
      </c>
      <c r="D1522" s="76" t="s">
        <v>908</v>
      </c>
      <c r="E1522" s="76" t="s">
        <v>899</v>
      </c>
      <c r="F1522" s="76" t="s">
        <v>900</v>
      </c>
      <c r="G1522" s="76">
        <v>6</v>
      </c>
      <c r="O1522" s="92"/>
    </row>
    <row r="1523" spans="1:15" x14ac:dyDescent="0.25">
      <c r="A1523" s="1">
        <v>1518</v>
      </c>
      <c r="B1523" s="91">
        <v>13460</v>
      </c>
      <c r="C1523" s="76" t="s">
        <v>212</v>
      </c>
      <c r="D1523" s="76" t="s">
        <v>929</v>
      </c>
      <c r="E1523" s="76" t="s">
        <v>899</v>
      </c>
      <c r="F1523" s="76" t="s">
        <v>900</v>
      </c>
      <c r="G1523" s="76">
        <v>6</v>
      </c>
      <c r="O1523" s="92"/>
    </row>
    <row r="1524" spans="1:15" x14ac:dyDescent="0.25">
      <c r="A1524" s="1">
        <v>1519</v>
      </c>
      <c r="B1524" s="91">
        <v>13461</v>
      </c>
      <c r="C1524" s="76" t="s">
        <v>219</v>
      </c>
      <c r="D1524" s="76" t="s">
        <v>926</v>
      </c>
      <c r="E1524" s="76" t="s">
        <v>899</v>
      </c>
      <c r="F1524" s="76" t="s">
        <v>900</v>
      </c>
      <c r="G1524" s="76">
        <v>6</v>
      </c>
      <c r="O1524" s="92"/>
    </row>
    <row r="1525" spans="1:15" x14ac:dyDescent="0.25">
      <c r="A1525" s="1">
        <v>1520</v>
      </c>
      <c r="B1525" s="91">
        <v>13464</v>
      </c>
      <c r="C1525" s="76" t="s">
        <v>212</v>
      </c>
      <c r="D1525" s="76" t="s">
        <v>929</v>
      </c>
      <c r="E1525" s="76" t="s">
        <v>899</v>
      </c>
      <c r="F1525" s="76" t="s">
        <v>900</v>
      </c>
      <c r="G1525" s="76">
        <v>6</v>
      </c>
      <c r="O1525" s="92"/>
    </row>
    <row r="1526" spans="1:15" x14ac:dyDescent="0.25">
      <c r="A1526" s="1">
        <v>1521</v>
      </c>
      <c r="B1526" s="91">
        <v>13465</v>
      </c>
      <c r="C1526" s="76" t="s">
        <v>219</v>
      </c>
      <c r="D1526" s="76" t="s">
        <v>924</v>
      </c>
      <c r="E1526" s="76" t="s">
        <v>899</v>
      </c>
      <c r="F1526" s="76" t="s">
        <v>900</v>
      </c>
      <c r="G1526" s="76">
        <v>6</v>
      </c>
      <c r="O1526" s="92"/>
    </row>
    <row r="1527" spans="1:15" x14ac:dyDescent="0.25">
      <c r="A1527" s="1">
        <v>1522</v>
      </c>
      <c r="B1527" s="91">
        <v>13468</v>
      </c>
      <c r="C1527" s="76" t="s">
        <v>212</v>
      </c>
      <c r="D1527" s="76" t="s">
        <v>910</v>
      </c>
      <c r="E1527" s="76" t="s">
        <v>899</v>
      </c>
      <c r="F1527" s="76" t="s">
        <v>900</v>
      </c>
      <c r="G1527" s="76">
        <v>6</v>
      </c>
      <c r="O1527" s="92"/>
    </row>
    <row r="1528" spans="1:15" x14ac:dyDescent="0.25">
      <c r="A1528" s="1">
        <v>1523</v>
      </c>
      <c r="B1528" s="91">
        <v>13469</v>
      </c>
      <c r="C1528" s="76" t="s">
        <v>219</v>
      </c>
      <c r="D1528" s="76" t="s">
        <v>926</v>
      </c>
      <c r="E1528" s="76" t="s">
        <v>899</v>
      </c>
      <c r="F1528" s="76" t="s">
        <v>900</v>
      </c>
      <c r="G1528" s="76">
        <v>6</v>
      </c>
      <c r="O1528" s="92"/>
    </row>
    <row r="1529" spans="1:15" x14ac:dyDescent="0.25">
      <c r="A1529" s="1">
        <v>1524</v>
      </c>
      <c r="B1529" s="91">
        <v>13470</v>
      </c>
      <c r="C1529" s="76" t="s">
        <v>211</v>
      </c>
      <c r="D1529" s="76" t="s">
        <v>907</v>
      </c>
      <c r="E1529" s="76" t="s">
        <v>899</v>
      </c>
      <c r="F1529" s="76" t="s">
        <v>900</v>
      </c>
      <c r="G1529" s="76">
        <v>6</v>
      </c>
      <c r="O1529" s="92"/>
    </row>
    <row r="1530" spans="1:15" x14ac:dyDescent="0.25">
      <c r="A1530" s="1">
        <v>1525</v>
      </c>
      <c r="B1530" s="91">
        <v>13471</v>
      </c>
      <c r="C1530" s="76" t="s">
        <v>219</v>
      </c>
      <c r="D1530" s="76" t="s">
        <v>926</v>
      </c>
      <c r="E1530" s="76" t="s">
        <v>899</v>
      </c>
      <c r="F1530" s="76" t="s">
        <v>900</v>
      </c>
      <c r="G1530" s="76">
        <v>6</v>
      </c>
      <c r="O1530" s="92"/>
    </row>
    <row r="1531" spans="1:15" x14ac:dyDescent="0.25">
      <c r="A1531" s="1">
        <v>1526</v>
      </c>
      <c r="B1531" s="91">
        <v>13472</v>
      </c>
      <c r="C1531" s="76" t="s">
        <v>219</v>
      </c>
      <c r="D1531" s="76" t="s">
        <v>932</v>
      </c>
      <c r="E1531" s="76" t="s">
        <v>899</v>
      </c>
      <c r="F1531" s="76" t="s">
        <v>900</v>
      </c>
      <c r="G1531" s="76">
        <v>6</v>
      </c>
      <c r="O1531" s="92"/>
    </row>
    <row r="1532" spans="1:15" x14ac:dyDescent="0.25">
      <c r="A1532" s="1">
        <v>1527</v>
      </c>
      <c r="B1532" s="91">
        <v>13473</v>
      </c>
      <c r="C1532" s="76" t="s">
        <v>214</v>
      </c>
      <c r="D1532" s="76" t="s">
        <v>931</v>
      </c>
      <c r="E1532" s="76" t="s">
        <v>899</v>
      </c>
      <c r="F1532" s="76" t="s">
        <v>900</v>
      </c>
      <c r="G1532" s="76">
        <v>6</v>
      </c>
      <c r="O1532" s="92"/>
    </row>
    <row r="1533" spans="1:15" x14ac:dyDescent="0.25">
      <c r="A1533" s="1">
        <v>1528</v>
      </c>
      <c r="B1533" s="91">
        <v>13475</v>
      </c>
      <c r="C1533" s="76" t="s">
        <v>219</v>
      </c>
      <c r="D1533" s="76" t="s">
        <v>932</v>
      </c>
      <c r="E1533" s="76" t="s">
        <v>899</v>
      </c>
      <c r="F1533" s="76" t="s">
        <v>900</v>
      </c>
      <c r="G1533" s="76">
        <v>6</v>
      </c>
      <c r="O1533" s="92"/>
    </row>
    <row r="1534" spans="1:15" x14ac:dyDescent="0.25">
      <c r="A1534" s="1">
        <v>1529</v>
      </c>
      <c r="B1534" s="91">
        <v>13476</v>
      </c>
      <c r="C1534" s="76" t="s">
        <v>219</v>
      </c>
      <c r="D1534" s="76" t="s">
        <v>926</v>
      </c>
      <c r="E1534" s="76" t="s">
        <v>899</v>
      </c>
      <c r="F1534" s="76" t="s">
        <v>900</v>
      </c>
      <c r="G1534" s="76">
        <v>6</v>
      </c>
      <c r="O1534" s="92"/>
    </row>
    <row r="1535" spans="1:15" x14ac:dyDescent="0.25">
      <c r="A1535" s="1">
        <v>1530</v>
      </c>
      <c r="B1535" s="91">
        <v>13477</v>
      </c>
      <c r="C1535" s="76" t="s">
        <v>219</v>
      </c>
      <c r="D1535" s="76" t="s">
        <v>926</v>
      </c>
      <c r="E1535" s="76" t="s">
        <v>899</v>
      </c>
      <c r="F1535" s="76" t="s">
        <v>900</v>
      </c>
      <c r="G1535" s="76">
        <v>6</v>
      </c>
      <c r="O1535" s="92"/>
    </row>
    <row r="1536" spans="1:15" x14ac:dyDescent="0.25">
      <c r="A1536" s="1">
        <v>1531</v>
      </c>
      <c r="B1536" s="91">
        <v>13478</v>
      </c>
      <c r="C1536" s="76" t="s">
        <v>219</v>
      </c>
      <c r="D1536" s="76" t="s">
        <v>926</v>
      </c>
      <c r="E1536" s="76" t="s">
        <v>899</v>
      </c>
      <c r="F1536" s="76" t="s">
        <v>900</v>
      </c>
      <c r="G1536" s="76">
        <v>6</v>
      </c>
      <c r="O1536" s="92"/>
    </row>
    <row r="1537" spans="1:15" x14ac:dyDescent="0.25">
      <c r="A1537" s="1">
        <v>1532</v>
      </c>
      <c r="B1537" s="91">
        <v>13479</v>
      </c>
      <c r="C1537" s="76" t="s">
        <v>219</v>
      </c>
      <c r="D1537" s="76" t="s">
        <v>926</v>
      </c>
      <c r="E1537" s="76" t="s">
        <v>899</v>
      </c>
      <c r="F1537" s="76" t="s">
        <v>900</v>
      </c>
      <c r="G1537" s="76">
        <v>6</v>
      </c>
      <c r="O1537" s="92"/>
    </row>
    <row r="1538" spans="1:15" x14ac:dyDescent="0.25">
      <c r="A1538" s="1">
        <v>1533</v>
      </c>
      <c r="B1538" s="91">
        <v>13480</v>
      </c>
      <c r="C1538" s="76" t="s">
        <v>219</v>
      </c>
      <c r="D1538" s="76" t="s">
        <v>926</v>
      </c>
      <c r="E1538" s="76" t="s">
        <v>899</v>
      </c>
      <c r="F1538" s="76" t="s">
        <v>900</v>
      </c>
      <c r="G1538" s="76">
        <v>6</v>
      </c>
      <c r="O1538" s="92"/>
    </row>
    <row r="1539" spans="1:15" x14ac:dyDescent="0.25">
      <c r="A1539" s="1">
        <v>1534</v>
      </c>
      <c r="B1539" s="91">
        <v>13482</v>
      </c>
      <c r="C1539" s="76" t="s">
        <v>212</v>
      </c>
      <c r="D1539" s="76" t="s">
        <v>910</v>
      </c>
      <c r="E1539" s="76" t="s">
        <v>899</v>
      </c>
      <c r="F1539" s="76" t="s">
        <v>900</v>
      </c>
      <c r="G1539" s="76">
        <v>6</v>
      </c>
      <c r="O1539" s="92"/>
    </row>
    <row r="1540" spans="1:15" x14ac:dyDescent="0.25">
      <c r="A1540" s="1">
        <v>1535</v>
      </c>
      <c r="B1540" s="91">
        <v>13483</v>
      </c>
      <c r="C1540" s="76" t="s">
        <v>219</v>
      </c>
      <c r="D1540" s="76" t="s">
        <v>926</v>
      </c>
      <c r="E1540" s="76" t="s">
        <v>899</v>
      </c>
      <c r="F1540" s="76" t="s">
        <v>900</v>
      </c>
      <c r="G1540" s="76">
        <v>6</v>
      </c>
      <c r="O1540" s="92"/>
    </row>
    <row r="1541" spans="1:15" x14ac:dyDescent="0.25">
      <c r="A1541" s="1">
        <v>1536</v>
      </c>
      <c r="B1541" s="91">
        <v>13484</v>
      </c>
      <c r="C1541" s="76" t="s">
        <v>219</v>
      </c>
      <c r="D1541" s="76" t="s">
        <v>924</v>
      </c>
      <c r="E1541" s="76" t="s">
        <v>899</v>
      </c>
      <c r="F1541" s="76" t="s">
        <v>900</v>
      </c>
      <c r="G1541" s="76">
        <v>6</v>
      </c>
      <c r="O1541" s="92"/>
    </row>
    <row r="1542" spans="1:15" x14ac:dyDescent="0.25">
      <c r="A1542" s="1">
        <v>1537</v>
      </c>
      <c r="B1542" s="91">
        <v>13485</v>
      </c>
      <c r="C1542" s="76" t="s">
        <v>219</v>
      </c>
      <c r="D1542" s="76" t="s">
        <v>924</v>
      </c>
      <c r="E1542" s="76" t="s">
        <v>899</v>
      </c>
      <c r="F1542" s="76" t="s">
        <v>900</v>
      </c>
      <c r="G1542" s="76">
        <v>6</v>
      </c>
      <c r="O1542" s="92"/>
    </row>
    <row r="1543" spans="1:15" x14ac:dyDescent="0.25">
      <c r="A1543" s="1">
        <v>1538</v>
      </c>
      <c r="B1543" s="91">
        <v>13486</v>
      </c>
      <c r="C1543" s="76" t="s">
        <v>219</v>
      </c>
      <c r="D1543" s="76" t="s">
        <v>926</v>
      </c>
      <c r="E1543" s="76" t="s">
        <v>899</v>
      </c>
      <c r="F1543" s="76" t="s">
        <v>900</v>
      </c>
      <c r="G1543" s="76">
        <v>6</v>
      </c>
      <c r="O1543" s="92"/>
    </row>
    <row r="1544" spans="1:15" x14ac:dyDescent="0.25">
      <c r="A1544" s="1">
        <v>1539</v>
      </c>
      <c r="B1544" s="91">
        <v>13488</v>
      </c>
      <c r="C1544" s="76" t="s">
        <v>212</v>
      </c>
      <c r="D1544" s="76" t="s">
        <v>910</v>
      </c>
      <c r="E1544" s="76" t="s">
        <v>899</v>
      </c>
      <c r="F1544" s="76" t="s">
        <v>900</v>
      </c>
      <c r="G1544" s="76">
        <v>6</v>
      </c>
      <c r="O1544" s="92"/>
    </row>
    <row r="1545" spans="1:15" x14ac:dyDescent="0.25">
      <c r="A1545" s="1">
        <v>1540</v>
      </c>
      <c r="B1545" s="91">
        <v>13489</v>
      </c>
      <c r="C1545" s="76" t="s">
        <v>214</v>
      </c>
      <c r="D1545" s="76" t="s">
        <v>931</v>
      </c>
      <c r="E1545" s="76" t="s">
        <v>899</v>
      </c>
      <c r="F1545" s="76" t="s">
        <v>900</v>
      </c>
      <c r="G1545" s="76">
        <v>6</v>
      </c>
      <c r="O1545" s="92"/>
    </row>
    <row r="1546" spans="1:15" x14ac:dyDescent="0.25">
      <c r="A1546" s="1">
        <v>1541</v>
      </c>
      <c r="B1546" s="91">
        <v>13490</v>
      </c>
      <c r="C1546" s="76" t="s">
        <v>219</v>
      </c>
      <c r="D1546" s="76" t="s">
        <v>926</v>
      </c>
      <c r="E1546" s="76" t="s">
        <v>899</v>
      </c>
      <c r="F1546" s="76" t="s">
        <v>900</v>
      </c>
      <c r="G1546" s="76">
        <v>6</v>
      </c>
      <c r="O1546" s="92"/>
    </row>
    <row r="1547" spans="1:15" x14ac:dyDescent="0.25">
      <c r="A1547" s="1">
        <v>1542</v>
      </c>
      <c r="B1547" s="91">
        <v>13491</v>
      </c>
      <c r="C1547" s="76" t="s">
        <v>219</v>
      </c>
      <c r="D1547" s="76" t="s">
        <v>932</v>
      </c>
      <c r="E1547" s="76" t="s">
        <v>899</v>
      </c>
      <c r="F1547" s="76" t="s">
        <v>900</v>
      </c>
      <c r="G1547" s="76">
        <v>6</v>
      </c>
      <c r="O1547" s="92"/>
    </row>
    <row r="1548" spans="1:15" x14ac:dyDescent="0.25">
      <c r="A1548" s="1">
        <v>1543</v>
      </c>
      <c r="B1548" s="91">
        <v>13492</v>
      </c>
      <c r="C1548" s="76" t="s">
        <v>219</v>
      </c>
      <c r="D1548" s="76" t="s">
        <v>926</v>
      </c>
      <c r="E1548" s="76" t="s">
        <v>899</v>
      </c>
      <c r="F1548" s="76" t="s">
        <v>900</v>
      </c>
      <c r="G1548" s="76">
        <v>6</v>
      </c>
      <c r="O1548" s="92"/>
    </row>
    <row r="1549" spans="1:15" x14ac:dyDescent="0.25">
      <c r="A1549" s="1">
        <v>1544</v>
      </c>
      <c r="B1549" s="91">
        <v>13493</v>
      </c>
      <c r="C1549" s="76" t="s">
        <v>219</v>
      </c>
      <c r="D1549" s="76" t="s">
        <v>923</v>
      </c>
      <c r="E1549" s="76" t="s">
        <v>899</v>
      </c>
      <c r="F1549" s="76" t="s">
        <v>900</v>
      </c>
      <c r="G1549" s="76">
        <v>5</v>
      </c>
      <c r="O1549" s="92"/>
    </row>
    <row r="1550" spans="1:15" x14ac:dyDescent="0.25">
      <c r="A1550" s="1">
        <v>1545</v>
      </c>
      <c r="B1550" s="91">
        <v>13494</v>
      </c>
      <c r="C1550" s="76" t="s">
        <v>219</v>
      </c>
      <c r="D1550" s="76" t="s">
        <v>926</v>
      </c>
      <c r="E1550" s="76" t="s">
        <v>899</v>
      </c>
      <c r="F1550" s="76" t="s">
        <v>900</v>
      </c>
      <c r="G1550" s="76">
        <v>6</v>
      </c>
      <c r="O1550" s="92"/>
    </row>
    <row r="1551" spans="1:15" x14ac:dyDescent="0.25">
      <c r="A1551" s="1">
        <v>1546</v>
      </c>
      <c r="B1551" s="91">
        <v>13495</v>
      </c>
      <c r="C1551" s="76" t="s">
        <v>219</v>
      </c>
      <c r="D1551" s="76" t="s">
        <v>926</v>
      </c>
      <c r="E1551" s="76" t="s">
        <v>899</v>
      </c>
      <c r="F1551" s="76" t="s">
        <v>900</v>
      </c>
      <c r="G1551" s="76">
        <v>6</v>
      </c>
      <c r="O1551" s="92"/>
    </row>
    <row r="1552" spans="1:15" x14ac:dyDescent="0.25">
      <c r="A1552" s="1">
        <v>1547</v>
      </c>
      <c r="B1552" s="91">
        <v>13501</v>
      </c>
      <c r="C1552" s="76" t="s">
        <v>219</v>
      </c>
      <c r="D1552" s="76" t="s">
        <v>926</v>
      </c>
      <c r="E1552" s="76" t="s">
        <v>899</v>
      </c>
      <c r="F1552" s="76" t="s">
        <v>900</v>
      </c>
      <c r="G1552" s="76">
        <v>6</v>
      </c>
      <c r="O1552" s="92"/>
    </row>
    <row r="1553" spans="1:15" x14ac:dyDescent="0.25">
      <c r="A1553" s="1">
        <v>1548</v>
      </c>
      <c r="B1553" s="91">
        <v>13502</v>
      </c>
      <c r="C1553" s="76" t="s">
        <v>219</v>
      </c>
      <c r="D1553" s="76" t="s">
        <v>926</v>
      </c>
      <c r="E1553" s="76" t="s">
        <v>899</v>
      </c>
      <c r="F1553" s="76" t="s">
        <v>900</v>
      </c>
      <c r="G1553" s="76">
        <v>6</v>
      </c>
      <c r="O1553" s="92"/>
    </row>
    <row r="1554" spans="1:15" x14ac:dyDescent="0.25">
      <c r="A1554" s="1">
        <v>1549</v>
      </c>
      <c r="B1554" s="91">
        <v>13503</v>
      </c>
      <c r="C1554" s="76" t="s">
        <v>219</v>
      </c>
      <c r="D1554" s="76" t="s">
        <v>926</v>
      </c>
      <c r="E1554" s="76" t="s">
        <v>899</v>
      </c>
      <c r="F1554" s="76" t="s">
        <v>900</v>
      </c>
      <c r="G1554" s="76">
        <v>6</v>
      </c>
      <c r="O1554" s="92"/>
    </row>
    <row r="1555" spans="1:15" x14ac:dyDescent="0.25">
      <c r="A1555" s="1">
        <v>1550</v>
      </c>
      <c r="B1555" s="91">
        <v>13504</v>
      </c>
      <c r="C1555" s="76" t="s">
        <v>219</v>
      </c>
      <c r="D1555" s="76" t="s">
        <v>926</v>
      </c>
      <c r="E1555" s="76" t="s">
        <v>899</v>
      </c>
      <c r="F1555" s="76" t="s">
        <v>900</v>
      </c>
      <c r="G1555" s="76">
        <v>6</v>
      </c>
      <c r="O1555" s="92"/>
    </row>
    <row r="1556" spans="1:15" x14ac:dyDescent="0.25">
      <c r="A1556" s="1">
        <v>1551</v>
      </c>
      <c r="B1556" s="91">
        <v>13505</v>
      </c>
      <c r="C1556" s="76" t="s">
        <v>219</v>
      </c>
      <c r="D1556" s="76" t="s">
        <v>926</v>
      </c>
      <c r="E1556" s="76" t="s">
        <v>899</v>
      </c>
      <c r="F1556" s="76" t="s">
        <v>900</v>
      </c>
      <c r="G1556" s="76">
        <v>6</v>
      </c>
      <c r="O1556" s="92"/>
    </row>
    <row r="1557" spans="1:15" x14ac:dyDescent="0.25">
      <c r="A1557" s="1">
        <v>1552</v>
      </c>
      <c r="B1557" s="91">
        <v>13599</v>
      </c>
      <c r="C1557" s="76" t="s">
        <v>219</v>
      </c>
      <c r="D1557" s="76" t="s">
        <v>926</v>
      </c>
      <c r="E1557" s="76" t="s">
        <v>899</v>
      </c>
      <c r="F1557" s="76" t="s">
        <v>900</v>
      </c>
      <c r="G1557" s="76">
        <v>6</v>
      </c>
      <c r="O1557" s="92"/>
    </row>
    <row r="1558" spans="1:15" x14ac:dyDescent="0.25">
      <c r="A1558" s="1">
        <v>1553</v>
      </c>
      <c r="B1558" s="91">
        <v>13601</v>
      </c>
      <c r="C1558" s="76" t="s">
        <v>214</v>
      </c>
      <c r="D1558" s="76" t="s">
        <v>933</v>
      </c>
      <c r="E1558" s="76" t="s">
        <v>899</v>
      </c>
      <c r="F1558" s="76" t="s">
        <v>900</v>
      </c>
      <c r="G1558" s="76">
        <v>6</v>
      </c>
      <c r="O1558" s="92"/>
    </row>
    <row r="1559" spans="1:15" x14ac:dyDescent="0.25">
      <c r="A1559" s="1">
        <v>1554</v>
      </c>
      <c r="B1559" s="91">
        <v>13602</v>
      </c>
      <c r="C1559" s="76" t="s">
        <v>214</v>
      </c>
      <c r="D1559" s="76" t="s">
        <v>933</v>
      </c>
      <c r="E1559" s="76" t="s">
        <v>899</v>
      </c>
      <c r="F1559" s="76" t="s">
        <v>900</v>
      </c>
      <c r="G1559" s="76">
        <v>6</v>
      </c>
      <c r="O1559" s="92"/>
    </row>
    <row r="1560" spans="1:15" x14ac:dyDescent="0.25">
      <c r="A1560" s="1">
        <v>1555</v>
      </c>
      <c r="B1560" s="91">
        <v>13603</v>
      </c>
      <c r="C1560" s="76" t="s">
        <v>214</v>
      </c>
      <c r="D1560" s="76" t="s">
        <v>933</v>
      </c>
      <c r="E1560" s="76" t="s">
        <v>899</v>
      </c>
      <c r="F1560" s="76" t="s">
        <v>900</v>
      </c>
      <c r="G1560" s="76">
        <v>6</v>
      </c>
      <c r="O1560" s="92"/>
    </row>
    <row r="1561" spans="1:15" x14ac:dyDescent="0.25">
      <c r="A1561" s="1">
        <v>1556</v>
      </c>
      <c r="B1561" s="91">
        <v>13605</v>
      </c>
      <c r="C1561" s="76" t="s">
        <v>214</v>
      </c>
      <c r="D1561" s="76" t="s">
        <v>933</v>
      </c>
      <c r="E1561" s="76" t="s">
        <v>899</v>
      </c>
      <c r="F1561" s="76" t="s">
        <v>900</v>
      </c>
      <c r="G1561" s="76">
        <v>6</v>
      </c>
      <c r="O1561" s="92"/>
    </row>
    <row r="1562" spans="1:15" x14ac:dyDescent="0.25">
      <c r="A1562" s="1">
        <v>1557</v>
      </c>
      <c r="B1562" s="91">
        <v>13606</v>
      </c>
      <c r="C1562" s="76" t="s">
        <v>214</v>
      </c>
      <c r="D1562" s="76" t="s">
        <v>933</v>
      </c>
      <c r="E1562" s="76" t="s">
        <v>899</v>
      </c>
      <c r="F1562" s="76" t="s">
        <v>900</v>
      </c>
      <c r="G1562" s="76">
        <v>6</v>
      </c>
      <c r="O1562" s="92"/>
    </row>
    <row r="1563" spans="1:15" x14ac:dyDescent="0.25">
      <c r="A1563" s="1">
        <v>1558</v>
      </c>
      <c r="B1563" s="91">
        <v>13607</v>
      </c>
      <c r="C1563" s="76" t="s">
        <v>214</v>
      </c>
      <c r="D1563" s="76" t="s">
        <v>933</v>
      </c>
      <c r="E1563" s="76" t="s">
        <v>899</v>
      </c>
      <c r="F1563" s="76" t="s">
        <v>900</v>
      </c>
      <c r="G1563" s="76">
        <v>6</v>
      </c>
      <c r="O1563" s="92"/>
    </row>
    <row r="1564" spans="1:15" x14ac:dyDescent="0.25">
      <c r="A1564" s="1">
        <v>1559</v>
      </c>
      <c r="B1564" s="91">
        <v>13608</v>
      </c>
      <c r="C1564" s="76" t="s">
        <v>214</v>
      </c>
      <c r="D1564" s="76" t="s">
        <v>933</v>
      </c>
      <c r="E1564" s="76" t="s">
        <v>899</v>
      </c>
      <c r="F1564" s="76" t="s">
        <v>900</v>
      </c>
      <c r="G1564" s="76">
        <v>6</v>
      </c>
      <c r="O1564" s="92"/>
    </row>
    <row r="1565" spans="1:15" x14ac:dyDescent="0.25">
      <c r="A1565" s="1">
        <v>1560</v>
      </c>
      <c r="B1565" s="91">
        <v>13611</v>
      </c>
      <c r="C1565" s="76" t="s">
        <v>214</v>
      </c>
      <c r="D1565" s="76" t="s">
        <v>933</v>
      </c>
      <c r="E1565" s="76" t="s">
        <v>899</v>
      </c>
      <c r="F1565" s="76" t="s">
        <v>900</v>
      </c>
      <c r="G1565" s="76">
        <v>6</v>
      </c>
      <c r="O1565" s="92"/>
    </row>
    <row r="1566" spans="1:15" x14ac:dyDescent="0.25">
      <c r="A1566" s="1">
        <v>1561</v>
      </c>
      <c r="B1566" s="91">
        <v>13612</v>
      </c>
      <c r="C1566" s="76" t="s">
        <v>214</v>
      </c>
      <c r="D1566" s="76" t="s">
        <v>933</v>
      </c>
      <c r="E1566" s="76" t="s">
        <v>899</v>
      </c>
      <c r="F1566" s="76" t="s">
        <v>900</v>
      </c>
      <c r="G1566" s="76">
        <v>6</v>
      </c>
      <c r="O1566" s="92"/>
    </row>
    <row r="1567" spans="1:15" x14ac:dyDescent="0.25">
      <c r="A1567" s="1">
        <v>1562</v>
      </c>
      <c r="B1567" s="91">
        <v>13613</v>
      </c>
      <c r="C1567" s="76" t="s">
        <v>214</v>
      </c>
      <c r="D1567" s="76" t="s">
        <v>920</v>
      </c>
      <c r="E1567" s="76" t="s">
        <v>899</v>
      </c>
      <c r="F1567" s="76" t="s">
        <v>900</v>
      </c>
      <c r="G1567" s="76">
        <v>6</v>
      </c>
      <c r="O1567" s="92"/>
    </row>
    <row r="1568" spans="1:15" x14ac:dyDescent="0.25">
      <c r="A1568" s="1">
        <v>1563</v>
      </c>
      <c r="B1568" s="91">
        <v>13614</v>
      </c>
      <c r="C1568" s="76" t="s">
        <v>214</v>
      </c>
      <c r="D1568" s="76" t="s">
        <v>920</v>
      </c>
      <c r="E1568" s="76" t="s">
        <v>899</v>
      </c>
      <c r="F1568" s="76" t="s">
        <v>900</v>
      </c>
      <c r="G1568" s="76">
        <v>6</v>
      </c>
      <c r="O1568" s="92"/>
    </row>
    <row r="1569" spans="1:15" x14ac:dyDescent="0.25">
      <c r="A1569" s="1">
        <v>1564</v>
      </c>
      <c r="B1569" s="91">
        <v>13615</v>
      </c>
      <c r="C1569" s="76" t="s">
        <v>214</v>
      </c>
      <c r="D1569" s="76" t="s">
        <v>933</v>
      </c>
      <c r="E1569" s="76" t="s">
        <v>899</v>
      </c>
      <c r="F1569" s="76" t="s">
        <v>900</v>
      </c>
      <c r="G1569" s="76">
        <v>6</v>
      </c>
      <c r="O1569" s="92"/>
    </row>
    <row r="1570" spans="1:15" x14ac:dyDescent="0.25">
      <c r="A1570" s="1">
        <v>1565</v>
      </c>
      <c r="B1570" s="91">
        <v>13616</v>
      </c>
      <c r="C1570" s="76" t="s">
        <v>214</v>
      </c>
      <c r="D1570" s="76" t="s">
        <v>933</v>
      </c>
      <c r="E1570" s="76" t="s">
        <v>899</v>
      </c>
      <c r="F1570" s="76" t="s">
        <v>900</v>
      </c>
      <c r="G1570" s="76">
        <v>6</v>
      </c>
      <c r="O1570" s="92"/>
    </row>
    <row r="1571" spans="1:15" x14ac:dyDescent="0.25">
      <c r="A1571" s="1">
        <v>1566</v>
      </c>
      <c r="B1571" s="91">
        <v>13617</v>
      </c>
      <c r="C1571" s="76" t="s">
        <v>214</v>
      </c>
      <c r="D1571" s="76" t="s">
        <v>920</v>
      </c>
      <c r="E1571" s="76" t="s">
        <v>899</v>
      </c>
      <c r="F1571" s="76" t="s">
        <v>900</v>
      </c>
      <c r="G1571" s="76">
        <v>6</v>
      </c>
      <c r="O1571" s="92"/>
    </row>
    <row r="1572" spans="1:15" x14ac:dyDescent="0.25">
      <c r="A1572" s="1">
        <v>1567</v>
      </c>
      <c r="B1572" s="91">
        <v>13618</v>
      </c>
      <c r="C1572" s="76" t="s">
        <v>214</v>
      </c>
      <c r="D1572" s="76" t="s">
        <v>933</v>
      </c>
      <c r="E1572" s="76" t="s">
        <v>899</v>
      </c>
      <c r="F1572" s="76" t="s">
        <v>900</v>
      </c>
      <c r="G1572" s="76">
        <v>6</v>
      </c>
      <c r="O1572" s="92"/>
    </row>
    <row r="1573" spans="1:15" x14ac:dyDescent="0.25">
      <c r="A1573" s="1">
        <v>1568</v>
      </c>
      <c r="B1573" s="91">
        <v>13619</v>
      </c>
      <c r="C1573" s="76" t="s">
        <v>214</v>
      </c>
      <c r="D1573" s="76" t="s">
        <v>933</v>
      </c>
      <c r="E1573" s="76" t="s">
        <v>899</v>
      </c>
      <c r="F1573" s="76" t="s">
        <v>900</v>
      </c>
      <c r="G1573" s="76">
        <v>6</v>
      </c>
      <c r="O1573" s="92"/>
    </row>
    <row r="1574" spans="1:15" x14ac:dyDescent="0.25">
      <c r="A1574" s="1">
        <v>1569</v>
      </c>
      <c r="B1574" s="91">
        <v>13620</v>
      </c>
      <c r="C1574" s="76" t="s">
        <v>214</v>
      </c>
      <c r="D1574" s="76" t="s">
        <v>931</v>
      </c>
      <c r="E1574" s="76" t="s">
        <v>899</v>
      </c>
      <c r="F1574" s="76" t="s">
        <v>900</v>
      </c>
      <c r="G1574" s="76">
        <v>6</v>
      </c>
      <c r="O1574" s="92"/>
    </row>
    <row r="1575" spans="1:15" x14ac:dyDescent="0.25">
      <c r="A1575" s="1">
        <v>1570</v>
      </c>
      <c r="B1575" s="91">
        <v>13621</v>
      </c>
      <c r="C1575" s="76" t="s">
        <v>214</v>
      </c>
      <c r="D1575" s="76" t="s">
        <v>920</v>
      </c>
      <c r="E1575" s="76" t="s">
        <v>899</v>
      </c>
      <c r="F1575" s="76" t="s">
        <v>900</v>
      </c>
      <c r="G1575" s="76">
        <v>6</v>
      </c>
      <c r="O1575" s="92"/>
    </row>
    <row r="1576" spans="1:15" x14ac:dyDescent="0.25">
      <c r="A1576" s="1">
        <v>1571</v>
      </c>
      <c r="B1576" s="91">
        <v>13622</v>
      </c>
      <c r="C1576" s="76" t="s">
        <v>214</v>
      </c>
      <c r="D1576" s="76" t="s">
        <v>933</v>
      </c>
      <c r="E1576" s="76" t="s">
        <v>899</v>
      </c>
      <c r="F1576" s="76" t="s">
        <v>900</v>
      </c>
      <c r="G1576" s="76">
        <v>6</v>
      </c>
      <c r="O1576" s="92"/>
    </row>
    <row r="1577" spans="1:15" x14ac:dyDescent="0.25">
      <c r="A1577" s="1">
        <v>1572</v>
      </c>
      <c r="B1577" s="91">
        <v>13623</v>
      </c>
      <c r="C1577" s="76" t="s">
        <v>214</v>
      </c>
      <c r="D1577" s="76" t="s">
        <v>920</v>
      </c>
      <c r="E1577" s="76" t="s">
        <v>899</v>
      </c>
      <c r="F1577" s="76" t="s">
        <v>900</v>
      </c>
      <c r="G1577" s="76">
        <v>6</v>
      </c>
      <c r="O1577" s="92"/>
    </row>
    <row r="1578" spans="1:15" x14ac:dyDescent="0.25">
      <c r="A1578" s="1">
        <v>1573</v>
      </c>
      <c r="B1578" s="91">
        <v>13624</v>
      </c>
      <c r="C1578" s="76" t="s">
        <v>214</v>
      </c>
      <c r="D1578" s="76" t="s">
        <v>933</v>
      </c>
      <c r="E1578" s="76" t="s">
        <v>899</v>
      </c>
      <c r="F1578" s="76" t="s">
        <v>900</v>
      </c>
      <c r="G1578" s="76">
        <v>6</v>
      </c>
      <c r="O1578" s="92"/>
    </row>
    <row r="1579" spans="1:15" x14ac:dyDescent="0.25">
      <c r="A1579" s="1">
        <v>1574</v>
      </c>
      <c r="B1579" s="91">
        <v>13625</v>
      </c>
      <c r="C1579" s="76" t="s">
        <v>214</v>
      </c>
      <c r="D1579" s="76" t="s">
        <v>920</v>
      </c>
      <c r="E1579" s="76" t="s">
        <v>899</v>
      </c>
      <c r="F1579" s="76" t="s">
        <v>900</v>
      </c>
      <c r="G1579" s="76">
        <v>6</v>
      </c>
      <c r="O1579" s="92"/>
    </row>
    <row r="1580" spans="1:15" x14ac:dyDescent="0.25">
      <c r="A1580" s="1">
        <v>1575</v>
      </c>
      <c r="B1580" s="91">
        <v>13626</v>
      </c>
      <c r="C1580" s="76" t="s">
        <v>214</v>
      </c>
      <c r="D1580" s="76" t="s">
        <v>931</v>
      </c>
      <c r="E1580" s="76" t="s">
        <v>899</v>
      </c>
      <c r="F1580" s="76" t="s">
        <v>900</v>
      </c>
      <c r="G1580" s="76">
        <v>6</v>
      </c>
      <c r="O1580" s="92"/>
    </row>
    <row r="1581" spans="1:15" x14ac:dyDescent="0.25">
      <c r="A1581" s="1">
        <v>1576</v>
      </c>
      <c r="B1581" s="91">
        <v>13627</v>
      </c>
      <c r="C1581" s="76" t="s">
        <v>214</v>
      </c>
      <c r="D1581" s="76" t="s">
        <v>931</v>
      </c>
      <c r="E1581" s="76" t="s">
        <v>899</v>
      </c>
      <c r="F1581" s="76" t="s">
        <v>900</v>
      </c>
      <c r="G1581" s="76">
        <v>6</v>
      </c>
      <c r="O1581" s="92"/>
    </row>
    <row r="1582" spans="1:15" x14ac:dyDescent="0.25">
      <c r="A1582" s="1">
        <v>1577</v>
      </c>
      <c r="B1582" s="91">
        <v>13628</v>
      </c>
      <c r="C1582" s="76" t="s">
        <v>214</v>
      </c>
      <c r="D1582" s="76" t="s">
        <v>933</v>
      </c>
      <c r="E1582" s="76" t="s">
        <v>899</v>
      </c>
      <c r="F1582" s="76" t="s">
        <v>900</v>
      </c>
      <c r="G1582" s="76">
        <v>6</v>
      </c>
      <c r="O1582" s="92"/>
    </row>
    <row r="1583" spans="1:15" x14ac:dyDescent="0.25">
      <c r="A1583" s="1">
        <v>1578</v>
      </c>
      <c r="B1583" s="91">
        <v>13630</v>
      </c>
      <c r="C1583" s="76" t="s">
        <v>214</v>
      </c>
      <c r="D1583" s="76" t="s">
        <v>920</v>
      </c>
      <c r="E1583" s="76" t="s">
        <v>899</v>
      </c>
      <c r="F1583" s="76" t="s">
        <v>900</v>
      </c>
      <c r="G1583" s="76">
        <v>6</v>
      </c>
      <c r="O1583" s="92"/>
    </row>
    <row r="1584" spans="1:15" x14ac:dyDescent="0.25">
      <c r="A1584" s="1">
        <v>1579</v>
      </c>
      <c r="B1584" s="91">
        <v>13631</v>
      </c>
      <c r="C1584" s="76" t="s">
        <v>214</v>
      </c>
      <c r="D1584" s="76" t="s">
        <v>933</v>
      </c>
      <c r="E1584" s="76" t="s">
        <v>899</v>
      </c>
      <c r="F1584" s="76" t="s">
        <v>900</v>
      </c>
      <c r="G1584" s="76">
        <v>6</v>
      </c>
      <c r="O1584" s="92"/>
    </row>
    <row r="1585" spans="1:15" x14ac:dyDescent="0.25">
      <c r="A1585" s="1">
        <v>1580</v>
      </c>
      <c r="B1585" s="91">
        <v>13632</v>
      </c>
      <c r="C1585" s="76" t="s">
        <v>214</v>
      </c>
      <c r="D1585" s="76" t="s">
        <v>933</v>
      </c>
      <c r="E1585" s="76" t="s">
        <v>899</v>
      </c>
      <c r="F1585" s="76" t="s">
        <v>900</v>
      </c>
      <c r="G1585" s="76">
        <v>6</v>
      </c>
      <c r="O1585" s="92"/>
    </row>
    <row r="1586" spans="1:15" x14ac:dyDescent="0.25">
      <c r="A1586" s="1">
        <v>1581</v>
      </c>
      <c r="B1586" s="91">
        <v>13633</v>
      </c>
      <c r="C1586" s="76" t="s">
        <v>214</v>
      </c>
      <c r="D1586" s="76" t="s">
        <v>920</v>
      </c>
      <c r="E1586" s="76" t="s">
        <v>899</v>
      </c>
      <c r="F1586" s="76" t="s">
        <v>900</v>
      </c>
      <c r="G1586" s="76">
        <v>6</v>
      </c>
      <c r="O1586" s="92"/>
    </row>
    <row r="1587" spans="1:15" x14ac:dyDescent="0.25">
      <c r="A1587" s="1">
        <v>1582</v>
      </c>
      <c r="B1587" s="91">
        <v>13634</v>
      </c>
      <c r="C1587" s="76" t="s">
        <v>214</v>
      </c>
      <c r="D1587" s="76" t="s">
        <v>933</v>
      </c>
      <c r="E1587" s="76" t="s">
        <v>899</v>
      </c>
      <c r="F1587" s="76" t="s">
        <v>900</v>
      </c>
      <c r="G1587" s="76">
        <v>6</v>
      </c>
      <c r="O1587" s="92"/>
    </row>
    <row r="1588" spans="1:15" x14ac:dyDescent="0.25">
      <c r="A1588" s="1">
        <v>1583</v>
      </c>
      <c r="B1588" s="91">
        <v>13635</v>
      </c>
      <c r="C1588" s="76" t="s">
        <v>214</v>
      </c>
      <c r="D1588" s="76" t="s">
        <v>920</v>
      </c>
      <c r="E1588" s="76" t="s">
        <v>899</v>
      </c>
      <c r="F1588" s="76" t="s">
        <v>900</v>
      </c>
      <c r="G1588" s="76">
        <v>6</v>
      </c>
      <c r="O1588" s="92"/>
    </row>
    <row r="1589" spans="1:15" x14ac:dyDescent="0.25">
      <c r="A1589" s="1">
        <v>1584</v>
      </c>
      <c r="B1589" s="91">
        <v>13636</v>
      </c>
      <c r="C1589" s="76" t="s">
        <v>214</v>
      </c>
      <c r="D1589" s="76" t="s">
        <v>933</v>
      </c>
      <c r="E1589" s="76" t="s">
        <v>899</v>
      </c>
      <c r="F1589" s="76" t="s">
        <v>900</v>
      </c>
      <c r="G1589" s="76">
        <v>6</v>
      </c>
      <c r="O1589" s="92"/>
    </row>
    <row r="1590" spans="1:15" x14ac:dyDescent="0.25">
      <c r="A1590" s="1">
        <v>1585</v>
      </c>
      <c r="B1590" s="91">
        <v>13637</v>
      </c>
      <c r="C1590" s="76" t="s">
        <v>214</v>
      </c>
      <c r="D1590" s="76" t="s">
        <v>933</v>
      </c>
      <c r="E1590" s="76" t="s">
        <v>899</v>
      </c>
      <c r="F1590" s="76" t="s">
        <v>900</v>
      </c>
      <c r="G1590" s="76">
        <v>6</v>
      </c>
      <c r="O1590" s="92"/>
    </row>
    <row r="1591" spans="1:15" x14ac:dyDescent="0.25">
      <c r="A1591" s="1">
        <v>1586</v>
      </c>
      <c r="B1591" s="91">
        <v>13638</v>
      </c>
      <c r="C1591" s="76" t="s">
        <v>214</v>
      </c>
      <c r="D1591" s="76" t="s">
        <v>933</v>
      </c>
      <c r="E1591" s="76" t="s">
        <v>899</v>
      </c>
      <c r="F1591" s="76" t="s">
        <v>900</v>
      </c>
      <c r="G1591" s="76">
        <v>6</v>
      </c>
      <c r="O1591" s="92"/>
    </row>
    <row r="1592" spans="1:15" x14ac:dyDescent="0.25">
      <c r="A1592" s="1">
        <v>1587</v>
      </c>
      <c r="B1592" s="91">
        <v>13639</v>
      </c>
      <c r="C1592" s="76" t="s">
        <v>214</v>
      </c>
      <c r="D1592" s="76" t="s">
        <v>920</v>
      </c>
      <c r="E1592" s="76" t="s">
        <v>899</v>
      </c>
      <c r="F1592" s="76" t="s">
        <v>900</v>
      </c>
      <c r="G1592" s="76">
        <v>6</v>
      </c>
      <c r="O1592" s="92"/>
    </row>
    <row r="1593" spans="1:15" x14ac:dyDescent="0.25">
      <c r="A1593" s="1">
        <v>1588</v>
      </c>
      <c r="B1593" s="91">
        <v>13640</v>
      </c>
      <c r="C1593" s="76" t="s">
        <v>214</v>
      </c>
      <c r="D1593" s="76" t="s">
        <v>933</v>
      </c>
      <c r="E1593" s="76" t="s">
        <v>899</v>
      </c>
      <c r="F1593" s="76" t="s">
        <v>900</v>
      </c>
      <c r="G1593" s="76">
        <v>6</v>
      </c>
      <c r="O1593" s="92"/>
    </row>
    <row r="1594" spans="1:15" x14ac:dyDescent="0.25">
      <c r="A1594" s="1">
        <v>1589</v>
      </c>
      <c r="B1594" s="91">
        <v>13641</v>
      </c>
      <c r="C1594" s="76" t="s">
        <v>214</v>
      </c>
      <c r="D1594" s="76" t="s">
        <v>933</v>
      </c>
      <c r="E1594" s="76" t="s">
        <v>899</v>
      </c>
      <c r="F1594" s="76" t="s">
        <v>900</v>
      </c>
      <c r="G1594" s="76">
        <v>6</v>
      </c>
      <c r="O1594" s="92"/>
    </row>
    <row r="1595" spans="1:15" x14ac:dyDescent="0.25">
      <c r="A1595" s="1">
        <v>1590</v>
      </c>
      <c r="B1595" s="91">
        <v>13642</v>
      </c>
      <c r="C1595" s="76" t="s">
        <v>214</v>
      </c>
      <c r="D1595" s="76" t="s">
        <v>920</v>
      </c>
      <c r="E1595" s="76" t="s">
        <v>899</v>
      </c>
      <c r="F1595" s="76" t="s">
        <v>900</v>
      </c>
      <c r="G1595" s="76">
        <v>6</v>
      </c>
      <c r="O1595" s="92"/>
    </row>
    <row r="1596" spans="1:15" x14ac:dyDescent="0.25">
      <c r="A1596" s="1">
        <v>1591</v>
      </c>
      <c r="B1596" s="91">
        <v>13643</v>
      </c>
      <c r="C1596" s="76" t="s">
        <v>214</v>
      </c>
      <c r="D1596" s="76" t="s">
        <v>933</v>
      </c>
      <c r="E1596" s="76" t="s">
        <v>899</v>
      </c>
      <c r="F1596" s="76" t="s">
        <v>900</v>
      </c>
      <c r="G1596" s="76">
        <v>6</v>
      </c>
      <c r="O1596" s="92"/>
    </row>
    <row r="1597" spans="1:15" x14ac:dyDescent="0.25">
      <c r="A1597" s="1">
        <v>1592</v>
      </c>
      <c r="B1597" s="91">
        <v>13645</v>
      </c>
      <c r="C1597" s="76" t="s">
        <v>214</v>
      </c>
      <c r="D1597" s="76" t="s">
        <v>920</v>
      </c>
      <c r="E1597" s="76" t="s">
        <v>899</v>
      </c>
      <c r="F1597" s="76" t="s">
        <v>900</v>
      </c>
      <c r="G1597" s="76">
        <v>6</v>
      </c>
      <c r="O1597" s="92"/>
    </row>
    <row r="1598" spans="1:15" x14ac:dyDescent="0.25">
      <c r="A1598" s="1">
        <v>1593</v>
      </c>
      <c r="B1598" s="91">
        <v>13646</v>
      </c>
      <c r="C1598" s="76" t="s">
        <v>214</v>
      </c>
      <c r="D1598" s="76" t="s">
        <v>920</v>
      </c>
      <c r="E1598" s="76" t="s">
        <v>899</v>
      </c>
      <c r="F1598" s="76" t="s">
        <v>900</v>
      </c>
      <c r="G1598" s="76">
        <v>6</v>
      </c>
      <c r="O1598" s="92"/>
    </row>
    <row r="1599" spans="1:15" x14ac:dyDescent="0.25">
      <c r="A1599" s="1">
        <v>1594</v>
      </c>
      <c r="B1599" s="91">
        <v>13647</v>
      </c>
      <c r="C1599" s="76" t="s">
        <v>214</v>
      </c>
      <c r="D1599" s="76" t="s">
        <v>920</v>
      </c>
      <c r="E1599" s="76" t="s">
        <v>899</v>
      </c>
      <c r="F1599" s="76" t="s">
        <v>900</v>
      </c>
      <c r="G1599" s="76">
        <v>6</v>
      </c>
      <c r="O1599" s="92"/>
    </row>
    <row r="1600" spans="1:15" x14ac:dyDescent="0.25">
      <c r="A1600" s="1">
        <v>1595</v>
      </c>
      <c r="B1600" s="91">
        <v>13648</v>
      </c>
      <c r="C1600" s="76" t="s">
        <v>214</v>
      </c>
      <c r="D1600" s="76" t="s">
        <v>931</v>
      </c>
      <c r="E1600" s="76" t="s">
        <v>899</v>
      </c>
      <c r="F1600" s="76" t="s">
        <v>900</v>
      </c>
      <c r="G1600" s="76">
        <v>6</v>
      </c>
      <c r="O1600" s="92"/>
    </row>
    <row r="1601" spans="1:15" x14ac:dyDescent="0.25">
      <c r="A1601" s="1">
        <v>1596</v>
      </c>
      <c r="B1601" s="91">
        <v>13649</v>
      </c>
      <c r="C1601" s="76" t="s">
        <v>214</v>
      </c>
      <c r="D1601" s="76" t="s">
        <v>920</v>
      </c>
      <c r="E1601" s="76" t="s">
        <v>899</v>
      </c>
      <c r="F1601" s="76" t="s">
        <v>900</v>
      </c>
      <c r="G1601" s="76">
        <v>6</v>
      </c>
      <c r="O1601" s="92"/>
    </row>
    <row r="1602" spans="1:15" x14ac:dyDescent="0.25">
      <c r="A1602" s="1">
        <v>1597</v>
      </c>
      <c r="B1602" s="91">
        <v>13650</v>
      </c>
      <c r="C1602" s="76" t="s">
        <v>214</v>
      </c>
      <c r="D1602" s="76" t="s">
        <v>933</v>
      </c>
      <c r="E1602" s="76" t="s">
        <v>899</v>
      </c>
      <c r="F1602" s="76" t="s">
        <v>900</v>
      </c>
      <c r="G1602" s="76">
        <v>6</v>
      </c>
      <c r="O1602" s="92"/>
    </row>
    <row r="1603" spans="1:15" x14ac:dyDescent="0.25">
      <c r="A1603" s="1">
        <v>1598</v>
      </c>
      <c r="B1603" s="91">
        <v>13651</v>
      </c>
      <c r="C1603" s="76" t="s">
        <v>214</v>
      </c>
      <c r="D1603" s="76" t="s">
        <v>933</v>
      </c>
      <c r="E1603" s="76" t="s">
        <v>899</v>
      </c>
      <c r="F1603" s="76" t="s">
        <v>900</v>
      </c>
      <c r="G1603" s="76">
        <v>6</v>
      </c>
      <c r="O1603" s="92"/>
    </row>
    <row r="1604" spans="1:15" x14ac:dyDescent="0.25">
      <c r="A1604" s="1">
        <v>1599</v>
      </c>
      <c r="B1604" s="91">
        <v>13652</v>
      </c>
      <c r="C1604" s="76" t="s">
        <v>214</v>
      </c>
      <c r="D1604" s="76" t="s">
        <v>920</v>
      </c>
      <c r="E1604" s="76" t="s">
        <v>899</v>
      </c>
      <c r="F1604" s="76" t="s">
        <v>900</v>
      </c>
      <c r="G1604" s="76">
        <v>6</v>
      </c>
      <c r="O1604" s="92"/>
    </row>
    <row r="1605" spans="1:15" x14ac:dyDescent="0.25">
      <c r="A1605" s="1">
        <v>1600</v>
      </c>
      <c r="B1605" s="91">
        <v>13654</v>
      </c>
      <c r="C1605" s="76" t="s">
        <v>214</v>
      </c>
      <c r="D1605" s="76" t="s">
        <v>920</v>
      </c>
      <c r="E1605" s="76" t="s">
        <v>899</v>
      </c>
      <c r="F1605" s="76" t="s">
        <v>900</v>
      </c>
      <c r="G1605" s="76">
        <v>6</v>
      </c>
      <c r="O1605" s="92"/>
    </row>
    <row r="1606" spans="1:15" x14ac:dyDescent="0.25">
      <c r="A1606" s="1">
        <v>1601</v>
      </c>
      <c r="B1606" s="91">
        <v>13655</v>
      </c>
      <c r="C1606" s="76" t="s">
        <v>214</v>
      </c>
      <c r="D1606" s="76" t="s">
        <v>919</v>
      </c>
      <c r="E1606" s="76" t="s">
        <v>899</v>
      </c>
      <c r="F1606" s="76" t="s">
        <v>900</v>
      </c>
      <c r="G1606" s="76">
        <v>6</v>
      </c>
      <c r="O1606" s="92"/>
    </row>
    <row r="1607" spans="1:15" x14ac:dyDescent="0.25">
      <c r="A1607" s="1">
        <v>1602</v>
      </c>
      <c r="B1607" s="91">
        <v>13656</v>
      </c>
      <c r="C1607" s="76" t="s">
        <v>214</v>
      </c>
      <c r="D1607" s="76" t="s">
        <v>933</v>
      </c>
      <c r="E1607" s="76" t="s">
        <v>899</v>
      </c>
      <c r="F1607" s="76" t="s">
        <v>900</v>
      </c>
      <c r="G1607" s="76">
        <v>6</v>
      </c>
      <c r="O1607" s="92"/>
    </row>
    <row r="1608" spans="1:15" x14ac:dyDescent="0.25">
      <c r="A1608" s="1">
        <v>1603</v>
      </c>
      <c r="B1608" s="91">
        <v>13657</v>
      </c>
      <c r="C1608" s="76" t="s">
        <v>214</v>
      </c>
      <c r="D1608" s="76" t="s">
        <v>933</v>
      </c>
      <c r="E1608" s="76" t="s">
        <v>899</v>
      </c>
      <c r="F1608" s="76" t="s">
        <v>900</v>
      </c>
      <c r="G1608" s="76">
        <v>6</v>
      </c>
      <c r="O1608" s="92"/>
    </row>
    <row r="1609" spans="1:15" x14ac:dyDescent="0.25">
      <c r="A1609" s="1">
        <v>1604</v>
      </c>
      <c r="B1609" s="91">
        <v>13658</v>
      </c>
      <c r="C1609" s="76" t="s">
        <v>214</v>
      </c>
      <c r="D1609" s="76" t="s">
        <v>920</v>
      </c>
      <c r="E1609" s="76" t="s">
        <v>899</v>
      </c>
      <c r="F1609" s="76" t="s">
        <v>900</v>
      </c>
      <c r="G1609" s="76">
        <v>6</v>
      </c>
      <c r="O1609" s="92"/>
    </row>
    <row r="1610" spans="1:15" x14ac:dyDescent="0.25">
      <c r="A1610" s="1">
        <v>1605</v>
      </c>
      <c r="B1610" s="91">
        <v>13659</v>
      </c>
      <c r="C1610" s="76" t="s">
        <v>214</v>
      </c>
      <c r="D1610" s="76" t="s">
        <v>933</v>
      </c>
      <c r="E1610" s="76" t="s">
        <v>899</v>
      </c>
      <c r="F1610" s="76" t="s">
        <v>900</v>
      </c>
      <c r="G1610" s="76">
        <v>6</v>
      </c>
      <c r="O1610" s="92"/>
    </row>
    <row r="1611" spans="1:15" x14ac:dyDescent="0.25">
      <c r="A1611" s="1">
        <v>1606</v>
      </c>
      <c r="B1611" s="91">
        <v>13660</v>
      </c>
      <c r="C1611" s="76" t="s">
        <v>214</v>
      </c>
      <c r="D1611" s="76" t="s">
        <v>920</v>
      </c>
      <c r="E1611" s="76" t="s">
        <v>899</v>
      </c>
      <c r="F1611" s="76" t="s">
        <v>900</v>
      </c>
      <c r="G1611" s="76">
        <v>6</v>
      </c>
      <c r="O1611" s="92"/>
    </row>
    <row r="1612" spans="1:15" x14ac:dyDescent="0.25">
      <c r="A1612" s="1">
        <v>1607</v>
      </c>
      <c r="B1612" s="91">
        <v>13661</v>
      </c>
      <c r="C1612" s="76" t="s">
        <v>214</v>
      </c>
      <c r="D1612" s="76" t="s">
        <v>933</v>
      </c>
      <c r="E1612" s="76" t="s">
        <v>899</v>
      </c>
      <c r="F1612" s="76" t="s">
        <v>900</v>
      </c>
      <c r="G1612" s="76">
        <v>6</v>
      </c>
      <c r="O1612" s="92"/>
    </row>
    <row r="1613" spans="1:15" x14ac:dyDescent="0.25">
      <c r="A1613" s="1">
        <v>1608</v>
      </c>
      <c r="B1613" s="91">
        <v>13662</v>
      </c>
      <c r="C1613" s="76" t="s">
        <v>214</v>
      </c>
      <c r="D1613" s="76" t="s">
        <v>920</v>
      </c>
      <c r="E1613" s="76" t="s">
        <v>899</v>
      </c>
      <c r="F1613" s="76" t="s">
        <v>900</v>
      </c>
      <c r="G1613" s="76">
        <v>6</v>
      </c>
      <c r="O1613" s="92"/>
    </row>
    <row r="1614" spans="1:15" x14ac:dyDescent="0.25">
      <c r="A1614" s="1">
        <v>1609</v>
      </c>
      <c r="B1614" s="91">
        <v>13664</v>
      </c>
      <c r="C1614" s="76" t="s">
        <v>214</v>
      </c>
      <c r="D1614" s="76" t="s">
        <v>920</v>
      </c>
      <c r="E1614" s="76" t="s">
        <v>899</v>
      </c>
      <c r="F1614" s="76" t="s">
        <v>900</v>
      </c>
      <c r="G1614" s="76">
        <v>6</v>
      </c>
      <c r="O1614" s="92"/>
    </row>
    <row r="1615" spans="1:15" x14ac:dyDescent="0.25">
      <c r="A1615" s="1">
        <v>1610</v>
      </c>
      <c r="B1615" s="91">
        <v>13665</v>
      </c>
      <c r="C1615" s="76" t="s">
        <v>214</v>
      </c>
      <c r="D1615" s="76" t="s">
        <v>933</v>
      </c>
      <c r="E1615" s="76" t="s">
        <v>899</v>
      </c>
      <c r="F1615" s="76" t="s">
        <v>900</v>
      </c>
      <c r="G1615" s="76">
        <v>6</v>
      </c>
      <c r="O1615" s="92"/>
    </row>
    <row r="1616" spans="1:15" x14ac:dyDescent="0.25">
      <c r="A1616" s="1">
        <v>1611</v>
      </c>
      <c r="B1616" s="91">
        <v>13666</v>
      </c>
      <c r="C1616" s="76" t="s">
        <v>214</v>
      </c>
      <c r="D1616" s="76" t="s">
        <v>920</v>
      </c>
      <c r="E1616" s="76" t="s">
        <v>899</v>
      </c>
      <c r="F1616" s="76" t="s">
        <v>900</v>
      </c>
      <c r="G1616" s="76">
        <v>6</v>
      </c>
      <c r="O1616" s="92"/>
    </row>
    <row r="1617" spans="1:15" x14ac:dyDescent="0.25">
      <c r="A1617" s="1">
        <v>1612</v>
      </c>
      <c r="B1617" s="91">
        <v>13667</v>
      </c>
      <c r="C1617" s="76" t="s">
        <v>214</v>
      </c>
      <c r="D1617" s="76" t="s">
        <v>920</v>
      </c>
      <c r="E1617" s="76" t="s">
        <v>899</v>
      </c>
      <c r="F1617" s="76" t="s">
        <v>900</v>
      </c>
      <c r="G1617" s="76">
        <v>6</v>
      </c>
      <c r="O1617" s="92"/>
    </row>
    <row r="1618" spans="1:15" x14ac:dyDescent="0.25">
      <c r="A1618" s="1">
        <v>1613</v>
      </c>
      <c r="B1618" s="91">
        <v>13668</v>
      </c>
      <c r="C1618" s="76" t="s">
        <v>214</v>
      </c>
      <c r="D1618" s="76" t="s">
        <v>920</v>
      </c>
      <c r="E1618" s="76" t="s">
        <v>899</v>
      </c>
      <c r="F1618" s="76" t="s">
        <v>900</v>
      </c>
      <c r="G1618" s="76">
        <v>6</v>
      </c>
      <c r="O1618" s="92"/>
    </row>
    <row r="1619" spans="1:15" x14ac:dyDescent="0.25">
      <c r="A1619" s="1">
        <v>1614</v>
      </c>
      <c r="B1619" s="91">
        <v>13669</v>
      </c>
      <c r="C1619" s="76" t="s">
        <v>214</v>
      </c>
      <c r="D1619" s="76" t="s">
        <v>920</v>
      </c>
      <c r="E1619" s="76" t="s">
        <v>899</v>
      </c>
      <c r="F1619" s="76" t="s">
        <v>900</v>
      </c>
      <c r="G1619" s="76">
        <v>6</v>
      </c>
      <c r="O1619" s="92"/>
    </row>
    <row r="1620" spans="1:15" x14ac:dyDescent="0.25">
      <c r="A1620" s="1">
        <v>1615</v>
      </c>
      <c r="B1620" s="91">
        <v>13670</v>
      </c>
      <c r="C1620" s="76" t="s">
        <v>214</v>
      </c>
      <c r="D1620" s="76" t="s">
        <v>920</v>
      </c>
      <c r="E1620" s="76" t="s">
        <v>899</v>
      </c>
      <c r="F1620" s="76" t="s">
        <v>900</v>
      </c>
      <c r="G1620" s="76">
        <v>6</v>
      </c>
      <c r="O1620" s="92"/>
    </row>
    <row r="1621" spans="1:15" x14ac:dyDescent="0.25">
      <c r="A1621" s="1">
        <v>1616</v>
      </c>
      <c r="B1621" s="91">
        <v>13671</v>
      </c>
      <c r="C1621" s="76" t="s">
        <v>214</v>
      </c>
      <c r="D1621" s="76" t="s">
        <v>933</v>
      </c>
      <c r="E1621" s="76" t="s">
        <v>899</v>
      </c>
      <c r="F1621" s="76" t="s">
        <v>900</v>
      </c>
      <c r="G1621" s="76">
        <v>6</v>
      </c>
      <c r="O1621" s="92"/>
    </row>
    <row r="1622" spans="1:15" x14ac:dyDescent="0.25">
      <c r="A1622" s="1">
        <v>1617</v>
      </c>
      <c r="B1622" s="91">
        <v>13672</v>
      </c>
      <c r="C1622" s="76" t="s">
        <v>214</v>
      </c>
      <c r="D1622" s="76" t="s">
        <v>920</v>
      </c>
      <c r="E1622" s="76" t="s">
        <v>899</v>
      </c>
      <c r="F1622" s="76" t="s">
        <v>900</v>
      </c>
      <c r="G1622" s="76">
        <v>6</v>
      </c>
      <c r="O1622" s="92"/>
    </row>
    <row r="1623" spans="1:15" x14ac:dyDescent="0.25">
      <c r="A1623" s="1">
        <v>1618</v>
      </c>
      <c r="B1623" s="91">
        <v>13673</v>
      </c>
      <c r="C1623" s="76" t="s">
        <v>214</v>
      </c>
      <c r="D1623" s="76" t="s">
        <v>933</v>
      </c>
      <c r="E1623" s="76" t="s">
        <v>899</v>
      </c>
      <c r="F1623" s="76" t="s">
        <v>900</v>
      </c>
      <c r="G1623" s="76">
        <v>6</v>
      </c>
      <c r="O1623" s="92"/>
    </row>
    <row r="1624" spans="1:15" x14ac:dyDescent="0.25">
      <c r="A1624" s="1">
        <v>1619</v>
      </c>
      <c r="B1624" s="91">
        <v>13674</v>
      </c>
      <c r="C1624" s="76" t="s">
        <v>214</v>
      </c>
      <c r="D1624" s="76" t="s">
        <v>933</v>
      </c>
      <c r="E1624" s="76" t="s">
        <v>899</v>
      </c>
      <c r="F1624" s="76" t="s">
        <v>900</v>
      </c>
      <c r="G1624" s="76">
        <v>6</v>
      </c>
      <c r="O1624" s="92"/>
    </row>
    <row r="1625" spans="1:15" x14ac:dyDescent="0.25">
      <c r="A1625" s="1">
        <v>1620</v>
      </c>
      <c r="B1625" s="91">
        <v>13675</v>
      </c>
      <c r="C1625" s="76" t="s">
        <v>214</v>
      </c>
      <c r="D1625" s="76" t="s">
        <v>933</v>
      </c>
      <c r="E1625" s="76" t="s">
        <v>899</v>
      </c>
      <c r="F1625" s="76" t="s">
        <v>900</v>
      </c>
      <c r="G1625" s="76">
        <v>6</v>
      </c>
      <c r="O1625" s="92"/>
    </row>
    <row r="1626" spans="1:15" x14ac:dyDescent="0.25">
      <c r="A1626" s="1">
        <v>1621</v>
      </c>
      <c r="B1626" s="91">
        <v>13676</v>
      </c>
      <c r="C1626" s="76" t="s">
        <v>214</v>
      </c>
      <c r="D1626" s="76" t="s">
        <v>920</v>
      </c>
      <c r="E1626" s="76" t="s">
        <v>899</v>
      </c>
      <c r="F1626" s="76" t="s">
        <v>900</v>
      </c>
      <c r="G1626" s="76">
        <v>6</v>
      </c>
      <c r="O1626" s="92"/>
    </row>
    <row r="1627" spans="1:15" x14ac:dyDescent="0.25">
      <c r="A1627" s="1">
        <v>1622</v>
      </c>
      <c r="B1627" s="91">
        <v>13677</v>
      </c>
      <c r="C1627" s="76" t="s">
        <v>214</v>
      </c>
      <c r="D1627" s="76" t="s">
        <v>920</v>
      </c>
      <c r="E1627" s="76" t="s">
        <v>899</v>
      </c>
      <c r="F1627" s="76" t="s">
        <v>900</v>
      </c>
      <c r="G1627" s="76">
        <v>6</v>
      </c>
      <c r="O1627" s="92"/>
    </row>
    <row r="1628" spans="1:15" x14ac:dyDescent="0.25">
      <c r="A1628" s="1">
        <v>1623</v>
      </c>
      <c r="B1628" s="91">
        <v>13678</v>
      </c>
      <c r="C1628" s="76" t="s">
        <v>214</v>
      </c>
      <c r="D1628" s="76" t="s">
        <v>920</v>
      </c>
      <c r="E1628" s="76" t="s">
        <v>899</v>
      </c>
      <c r="F1628" s="76" t="s">
        <v>900</v>
      </c>
      <c r="G1628" s="76">
        <v>6</v>
      </c>
      <c r="O1628" s="92"/>
    </row>
    <row r="1629" spans="1:15" x14ac:dyDescent="0.25">
      <c r="A1629" s="1">
        <v>1624</v>
      </c>
      <c r="B1629" s="91">
        <v>13679</v>
      </c>
      <c r="C1629" s="76" t="s">
        <v>214</v>
      </c>
      <c r="D1629" s="76" t="s">
        <v>933</v>
      </c>
      <c r="E1629" s="76" t="s">
        <v>899</v>
      </c>
      <c r="F1629" s="76" t="s">
        <v>900</v>
      </c>
      <c r="G1629" s="76">
        <v>6</v>
      </c>
      <c r="O1629" s="92"/>
    </row>
    <row r="1630" spans="1:15" x14ac:dyDescent="0.25">
      <c r="A1630" s="1">
        <v>1625</v>
      </c>
      <c r="B1630" s="91">
        <v>13680</v>
      </c>
      <c r="C1630" s="76" t="s">
        <v>214</v>
      </c>
      <c r="D1630" s="76" t="s">
        <v>920</v>
      </c>
      <c r="E1630" s="76" t="s">
        <v>899</v>
      </c>
      <c r="F1630" s="76" t="s">
        <v>900</v>
      </c>
      <c r="G1630" s="76">
        <v>6</v>
      </c>
      <c r="O1630" s="92"/>
    </row>
    <row r="1631" spans="1:15" x14ac:dyDescent="0.25">
      <c r="A1631" s="1">
        <v>1626</v>
      </c>
      <c r="B1631" s="91">
        <v>13681</v>
      </c>
      <c r="C1631" s="76" t="s">
        <v>214</v>
      </c>
      <c r="D1631" s="76" t="s">
        <v>920</v>
      </c>
      <c r="E1631" s="76" t="s">
        <v>899</v>
      </c>
      <c r="F1631" s="76" t="s">
        <v>900</v>
      </c>
      <c r="G1631" s="76">
        <v>6</v>
      </c>
      <c r="O1631" s="92"/>
    </row>
    <row r="1632" spans="1:15" x14ac:dyDescent="0.25">
      <c r="A1632" s="1">
        <v>1627</v>
      </c>
      <c r="B1632" s="91">
        <v>13682</v>
      </c>
      <c r="C1632" s="76" t="s">
        <v>214</v>
      </c>
      <c r="D1632" s="76" t="s">
        <v>933</v>
      </c>
      <c r="E1632" s="76" t="s">
        <v>899</v>
      </c>
      <c r="F1632" s="76" t="s">
        <v>900</v>
      </c>
      <c r="G1632" s="76">
        <v>6</v>
      </c>
      <c r="O1632" s="92"/>
    </row>
    <row r="1633" spans="1:15" x14ac:dyDescent="0.25">
      <c r="A1633" s="1">
        <v>1628</v>
      </c>
      <c r="B1633" s="91">
        <v>13683</v>
      </c>
      <c r="C1633" s="76" t="s">
        <v>214</v>
      </c>
      <c r="D1633" s="76" t="s">
        <v>919</v>
      </c>
      <c r="E1633" s="76" t="s">
        <v>899</v>
      </c>
      <c r="F1633" s="76" t="s">
        <v>900</v>
      </c>
      <c r="G1633" s="76">
        <v>6</v>
      </c>
      <c r="O1633" s="92"/>
    </row>
    <row r="1634" spans="1:15" x14ac:dyDescent="0.25">
      <c r="A1634" s="1">
        <v>1629</v>
      </c>
      <c r="B1634" s="91">
        <v>13684</v>
      </c>
      <c r="C1634" s="76" t="s">
        <v>214</v>
      </c>
      <c r="D1634" s="76" t="s">
        <v>920</v>
      </c>
      <c r="E1634" s="76" t="s">
        <v>899</v>
      </c>
      <c r="F1634" s="76" t="s">
        <v>900</v>
      </c>
      <c r="G1634" s="76">
        <v>6</v>
      </c>
      <c r="O1634" s="92"/>
    </row>
    <row r="1635" spans="1:15" x14ac:dyDescent="0.25">
      <c r="A1635" s="1">
        <v>1630</v>
      </c>
      <c r="B1635" s="91">
        <v>13685</v>
      </c>
      <c r="C1635" s="76" t="s">
        <v>214</v>
      </c>
      <c r="D1635" s="76" t="s">
        <v>933</v>
      </c>
      <c r="E1635" s="76" t="s">
        <v>899</v>
      </c>
      <c r="F1635" s="76" t="s">
        <v>900</v>
      </c>
      <c r="G1635" s="76">
        <v>6</v>
      </c>
      <c r="O1635" s="92"/>
    </row>
    <row r="1636" spans="1:15" x14ac:dyDescent="0.25">
      <c r="A1636" s="1">
        <v>1631</v>
      </c>
      <c r="B1636" s="91">
        <v>13687</v>
      </c>
      <c r="C1636" s="76" t="s">
        <v>214</v>
      </c>
      <c r="D1636" s="76" t="s">
        <v>920</v>
      </c>
      <c r="E1636" s="76" t="s">
        <v>899</v>
      </c>
      <c r="F1636" s="76" t="s">
        <v>900</v>
      </c>
      <c r="G1636" s="76">
        <v>6</v>
      </c>
      <c r="O1636" s="92"/>
    </row>
    <row r="1637" spans="1:15" x14ac:dyDescent="0.25">
      <c r="A1637" s="1">
        <v>1632</v>
      </c>
      <c r="B1637" s="91">
        <v>13690</v>
      </c>
      <c r="C1637" s="76" t="s">
        <v>214</v>
      </c>
      <c r="D1637" s="76" t="s">
        <v>920</v>
      </c>
      <c r="E1637" s="76" t="s">
        <v>899</v>
      </c>
      <c r="F1637" s="76" t="s">
        <v>900</v>
      </c>
      <c r="G1637" s="76">
        <v>6</v>
      </c>
      <c r="O1637" s="92"/>
    </row>
    <row r="1638" spans="1:15" x14ac:dyDescent="0.25">
      <c r="A1638" s="1">
        <v>1633</v>
      </c>
      <c r="B1638" s="91">
        <v>13691</v>
      </c>
      <c r="C1638" s="76" t="s">
        <v>214</v>
      </c>
      <c r="D1638" s="76" t="s">
        <v>933</v>
      </c>
      <c r="E1638" s="76" t="s">
        <v>899</v>
      </c>
      <c r="F1638" s="76" t="s">
        <v>900</v>
      </c>
      <c r="G1638" s="76">
        <v>6</v>
      </c>
      <c r="O1638" s="92"/>
    </row>
    <row r="1639" spans="1:15" x14ac:dyDescent="0.25">
      <c r="A1639" s="1">
        <v>1634</v>
      </c>
      <c r="B1639" s="91">
        <v>13692</v>
      </c>
      <c r="C1639" s="76" t="s">
        <v>214</v>
      </c>
      <c r="D1639" s="76" t="s">
        <v>933</v>
      </c>
      <c r="E1639" s="76" t="s">
        <v>899</v>
      </c>
      <c r="F1639" s="76" t="s">
        <v>900</v>
      </c>
      <c r="G1639" s="76">
        <v>6</v>
      </c>
      <c r="O1639" s="92"/>
    </row>
    <row r="1640" spans="1:15" x14ac:dyDescent="0.25">
      <c r="A1640" s="1">
        <v>1635</v>
      </c>
      <c r="B1640" s="91">
        <v>13693</v>
      </c>
      <c r="C1640" s="76" t="s">
        <v>214</v>
      </c>
      <c r="D1640" s="76" t="s">
        <v>933</v>
      </c>
      <c r="E1640" s="76" t="s">
        <v>899</v>
      </c>
      <c r="F1640" s="76" t="s">
        <v>900</v>
      </c>
      <c r="G1640" s="76">
        <v>6</v>
      </c>
      <c r="O1640" s="92"/>
    </row>
    <row r="1641" spans="1:15" x14ac:dyDescent="0.25">
      <c r="A1641" s="1">
        <v>1636</v>
      </c>
      <c r="B1641" s="91">
        <v>13694</v>
      </c>
      <c r="C1641" s="76" t="s">
        <v>214</v>
      </c>
      <c r="D1641" s="76" t="s">
        <v>920</v>
      </c>
      <c r="E1641" s="76" t="s">
        <v>899</v>
      </c>
      <c r="F1641" s="76" t="s">
        <v>900</v>
      </c>
      <c r="G1641" s="76">
        <v>6</v>
      </c>
      <c r="O1641" s="92"/>
    </row>
    <row r="1642" spans="1:15" x14ac:dyDescent="0.25">
      <c r="A1642" s="1">
        <v>1637</v>
      </c>
      <c r="B1642" s="91">
        <v>13695</v>
      </c>
      <c r="C1642" s="76" t="s">
        <v>214</v>
      </c>
      <c r="D1642" s="76" t="s">
        <v>920</v>
      </c>
      <c r="E1642" s="76" t="s">
        <v>899</v>
      </c>
      <c r="F1642" s="76" t="s">
        <v>900</v>
      </c>
      <c r="G1642" s="76">
        <v>6</v>
      </c>
      <c r="O1642" s="92"/>
    </row>
    <row r="1643" spans="1:15" x14ac:dyDescent="0.25">
      <c r="A1643" s="1">
        <v>1638</v>
      </c>
      <c r="B1643" s="91">
        <v>13696</v>
      </c>
      <c r="C1643" s="76" t="s">
        <v>214</v>
      </c>
      <c r="D1643" s="76" t="s">
        <v>920</v>
      </c>
      <c r="E1643" s="76" t="s">
        <v>899</v>
      </c>
      <c r="F1643" s="76" t="s">
        <v>900</v>
      </c>
      <c r="G1643" s="76">
        <v>6</v>
      </c>
      <c r="O1643" s="92"/>
    </row>
    <row r="1644" spans="1:15" x14ac:dyDescent="0.25">
      <c r="A1644" s="1">
        <v>1639</v>
      </c>
      <c r="B1644" s="91">
        <v>13697</v>
      </c>
      <c r="C1644" s="76" t="s">
        <v>214</v>
      </c>
      <c r="D1644" s="76" t="s">
        <v>920</v>
      </c>
      <c r="E1644" s="76" t="s">
        <v>899</v>
      </c>
      <c r="F1644" s="76" t="s">
        <v>900</v>
      </c>
      <c r="G1644" s="76">
        <v>6</v>
      </c>
      <c r="O1644" s="92"/>
    </row>
    <row r="1645" spans="1:15" x14ac:dyDescent="0.25">
      <c r="A1645" s="1">
        <v>1640</v>
      </c>
      <c r="B1645" s="91">
        <v>13699</v>
      </c>
      <c r="C1645" s="76" t="s">
        <v>214</v>
      </c>
      <c r="D1645" s="76" t="s">
        <v>920</v>
      </c>
      <c r="E1645" s="76" t="s">
        <v>899</v>
      </c>
      <c r="F1645" s="76" t="s">
        <v>900</v>
      </c>
      <c r="G1645" s="76">
        <v>6</v>
      </c>
      <c r="O1645" s="92"/>
    </row>
    <row r="1646" spans="1:15" x14ac:dyDescent="0.25">
      <c r="A1646" s="1">
        <v>1641</v>
      </c>
      <c r="B1646" s="91">
        <v>13730</v>
      </c>
      <c r="C1646" s="76" t="s">
        <v>212</v>
      </c>
      <c r="D1646" s="76" t="s">
        <v>929</v>
      </c>
      <c r="E1646" s="76" t="s">
        <v>899</v>
      </c>
      <c r="F1646" s="76" t="s">
        <v>900</v>
      </c>
      <c r="G1646" s="76">
        <v>6</v>
      </c>
      <c r="O1646" s="92"/>
    </row>
    <row r="1647" spans="1:15" x14ac:dyDescent="0.25">
      <c r="A1647" s="1">
        <v>1642</v>
      </c>
      <c r="B1647" s="91">
        <v>13731</v>
      </c>
      <c r="C1647" s="76" t="s">
        <v>212</v>
      </c>
      <c r="D1647" s="76" t="s">
        <v>912</v>
      </c>
      <c r="E1647" s="76" t="s">
        <v>899</v>
      </c>
      <c r="F1647" s="76" t="s">
        <v>900</v>
      </c>
      <c r="G1647" s="76">
        <v>6</v>
      </c>
      <c r="O1647" s="92"/>
    </row>
    <row r="1648" spans="1:15" x14ac:dyDescent="0.25">
      <c r="A1648" s="1">
        <v>1643</v>
      </c>
      <c r="B1648" s="91">
        <v>13732</v>
      </c>
      <c r="C1648" s="76" t="s">
        <v>212</v>
      </c>
      <c r="D1648" s="76" t="s">
        <v>934</v>
      </c>
      <c r="E1648" s="76" t="s">
        <v>899</v>
      </c>
      <c r="F1648" s="76" t="s">
        <v>888</v>
      </c>
      <c r="G1648" s="76">
        <v>5</v>
      </c>
      <c r="O1648" s="92"/>
    </row>
    <row r="1649" spans="1:15" x14ac:dyDescent="0.25">
      <c r="A1649" s="1">
        <v>1644</v>
      </c>
      <c r="B1649" s="91">
        <v>13733</v>
      </c>
      <c r="C1649" s="76" t="s">
        <v>212</v>
      </c>
      <c r="D1649" s="76" t="s">
        <v>929</v>
      </c>
      <c r="E1649" s="76" t="s">
        <v>899</v>
      </c>
      <c r="F1649" s="76" t="s">
        <v>900</v>
      </c>
      <c r="G1649" s="76">
        <v>6</v>
      </c>
      <c r="O1649" s="92"/>
    </row>
    <row r="1650" spans="1:15" x14ac:dyDescent="0.25">
      <c r="A1650" s="1">
        <v>1645</v>
      </c>
      <c r="B1650" s="91">
        <v>13734</v>
      </c>
      <c r="C1650" s="76" t="s">
        <v>212</v>
      </c>
      <c r="D1650" s="76" t="s">
        <v>934</v>
      </c>
      <c r="E1650" s="76" t="s">
        <v>899</v>
      </c>
      <c r="F1650" s="76" t="s">
        <v>888</v>
      </c>
      <c r="G1650" s="76">
        <v>5</v>
      </c>
      <c r="O1650" s="92"/>
    </row>
    <row r="1651" spans="1:15" x14ac:dyDescent="0.25">
      <c r="A1651" s="1">
        <v>1646</v>
      </c>
      <c r="B1651" s="91">
        <v>13736</v>
      </c>
      <c r="C1651" s="76" t="s">
        <v>212</v>
      </c>
      <c r="D1651" s="76" t="s">
        <v>934</v>
      </c>
      <c r="E1651" s="76" t="s">
        <v>899</v>
      </c>
      <c r="F1651" s="76" t="s">
        <v>888</v>
      </c>
      <c r="G1651" s="76">
        <v>5</v>
      </c>
      <c r="O1651" s="92"/>
    </row>
    <row r="1652" spans="1:15" x14ac:dyDescent="0.25">
      <c r="A1652" s="1">
        <v>1647</v>
      </c>
      <c r="B1652" s="91">
        <v>13737</v>
      </c>
      <c r="C1652" s="76" t="s">
        <v>212</v>
      </c>
      <c r="D1652" s="76" t="s">
        <v>935</v>
      </c>
      <c r="E1652" s="76" t="s">
        <v>899</v>
      </c>
      <c r="F1652" s="76" t="s">
        <v>900</v>
      </c>
      <c r="G1652" s="76">
        <v>6</v>
      </c>
      <c r="O1652" s="92"/>
    </row>
    <row r="1653" spans="1:15" x14ac:dyDescent="0.25">
      <c r="A1653" s="1">
        <v>1648</v>
      </c>
      <c r="B1653" s="91">
        <v>13738</v>
      </c>
      <c r="C1653" s="76" t="s">
        <v>219</v>
      </c>
      <c r="D1653" s="76" t="s">
        <v>925</v>
      </c>
      <c r="E1653" s="76" t="s">
        <v>899</v>
      </c>
      <c r="F1653" s="76" t="s">
        <v>900</v>
      </c>
      <c r="G1653" s="76">
        <v>5</v>
      </c>
      <c r="O1653" s="92"/>
    </row>
    <row r="1654" spans="1:15" x14ac:dyDescent="0.25">
      <c r="A1654" s="1">
        <v>1649</v>
      </c>
      <c r="B1654" s="91">
        <v>13739</v>
      </c>
      <c r="C1654" s="76" t="s">
        <v>212</v>
      </c>
      <c r="D1654" s="76" t="s">
        <v>912</v>
      </c>
      <c r="E1654" s="76" t="s">
        <v>899</v>
      </c>
      <c r="F1654" s="76" t="s">
        <v>900</v>
      </c>
      <c r="G1654" s="76">
        <v>6</v>
      </c>
      <c r="O1654" s="92"/>
    </row>
    <row r="1655" spans="1:15" x14ac:dyDescent="0.25">
      <c r="A1655" s="1">
        <v>1650</v>
      </c>
      <c r="B1655" s="91">
        <v>13740</v>
      </c>
      <c r="C1655" s="76" t="s">
        <v>212</v>
      </c>
      <c r="D1655" s="76" t="s">
        <v>912</v>
      </c>
      <c r="E1655" s="76" t="s">
        <v>899</v>
      </c>
      <c r="F1655" s="76" t="s">
        <v>900</v>
      </c>
      <c r="G1655" s="76">
        <v>6</v>
      </c>
      <c r="O1655" s="92"/>
    </row>
    <row r="1656" spans="1:15" x14ac:dyDescent="0.25">
      <c r="A1656" s="1">
        <v>1651</v>
      </c>
      <c r="B1656" s="91">
        <v>13743</v>
      </c>
      <c r="C1656" s="76" t="s">
        <v>212</v>
      </c>
      <c r="D1656" s="76" t="s">
        <v>934</v>
      </c>
      <c r="E1656" s="76" t="s">
        <v>899</v>
      </c>
      <c r="F1656" s="76" t="s">
        <v>888</v>
      </c>
      <c r="G1656" s="76">
        <v>5</v>
      </c>
      <c r="O1656" s="92"/>
    </row>
    <row r="1657" spans="1:15" x14ac:dyDescent="0.25">
      <c r="A1657" s="1">
        <v>1652</v>
      </c>
      <c r="B1657" s="91">
        <v>13744</v>
      </c>
      <c r="C1657" s="76" t="s">
        <v>212</v>
      </c>
      <c r="D1657" s="76" t="s">
        <v>935</v>
      </c>
      <c r="E1657" s="76" t="s">
        <v>899</v>
      </c>
      <c r="F1657" s="76" t="s">
        <v>900</v>
      </c>
      <c r="G1657" s="76">
        <v>6</v>
      </c>
      <c r="O1657" s="92"/>
    </row>
    <row r="1658" spans="1:15" x14ac:dyDescent="0.25">
      <c r="A1658" s="1">
        <v>1653</v>
      </c>
      <c r="B1658" s="91">
        <v>13745</v>
      </c>
      <c r="C1658" s="76" t="s">
        <v>212</v>
      </c>
      <c r="D1658" s="76" t="s">
        <v>935</v>
      </c>
      <c r="E1658" s="76" t="s">
        <v>899</v>
      </c>
      <c r="F1658" s="76" t="s">
        <v>900</v>
      </c>
      <c r="G1658" s="76">
        <v>6</v>
      </c>
      <c r="O1658" s="92"/>
    </row>
    <row r="1659" spans="1:15" x14ac:dyDescent="0.25">
      <c r="A1659" s="1">
        <v>1654</v>
      </c>
      <c r="B1659" s="91">
        <v>13746</v>
      </c>
      <c r="C1659" s="76" t="s">
        <v>212</v>
      </c>
      <c r="D1659" s="76" t="s">
        <v>935</v>
      </c>
      <c r="E1659" s="76" t="s">
        <v>899</v>
      </c>
      <c r="F1659" s="76" t="s">
        <v>900</v>
      </c>
      <c r="G1659" s="76">
        <v>6</v>
      </c>
      <c r="O1659" s="92"/>
    </row>
    <row r="1660" spans="1:15" x14ac:dyDescent="0.25">
      <c r="A1660" s="1">
        <v>1655</v>
      </c>
      <c r="B1660" s="91">
        <v>13747</v>
      </c>
      <c r="C1660" s="76" t="s">
        <v>212</v>
      </c>
      <c r="D1660" s="76" t="s">
        <v>910</v>
      </c>
      <c r="E1660" s="76" t="s">
        <v>899</v>
      </c>
      <c r="F1660" s="76" t="s">
        <v>900</v>
      </c>
      <c r="G1660" s="76">
        <v>6</v>
      </c>
      <c r="O1660" s="92"/>
    </row>
    <row r="1661" spans="1:15" x14ac:dyDescent="0.25">
      <c r="A1661" s="1">
        <v>1656</v>
      </c>
      <c r="B1661" s="91">
        <v>13748</v>
      </c>
      <c r="C1661" s="76" t="s">
        <v>212</v>
      </c>
      <c r="D1661" s="76" t="s">
        <v>935</v>
      </c>
      <c r="E1661" s="76" t="s">
        <v>899</v>
      </c>
      <c r="F1661" s="76" t="s">
        <v>900</v>
      </c>
      <c r="G1661" s="76">
        <v>6</v>
      </c>
      <c r="O1661" s="92"/>
    </row>
    <row r="1662" spans="1:15" x14ac:dyDescent="0.25">
      <c r="A1662" s="1">
        <v>1657</v>
      </c>
      <c r="B1662" s="91">
        <v>13749</v>
      </c>
      <c r="C1662" s="76" t="s">
        <v>212</v>
      </c>
      <c r="D1662" s="76" t="s">
        <v>935</v>
      </c>
      <c r="E1662" s="76" t="s">
        <v>899</v>
      </c>
      <c r="F1662" s="76" t="s">
        <v>900</v>
      </c>
      <c r="G1662" s="76">
        <v>6</v>
      </c>
      <c r="O1662" s="92"/>
    </row>
    <row r="1663" spans="1:15" x14ac:dyDescent="0.25">
      <c r="A1663" s="1">
        <v>1658</v>
      </c>
      <c r="B1663" s="91">
        <v>13750</v>
      </c>
      <c r="C1663" s="76" t="s">
        <v>212</v>
      </c>
      <c r="D1663" s="76" t="s">
        <v>912</v>
      </c>
      <c r="E1663" s="76" t="s">
        <v>899</v>
      </c>
      <c r="F1663" s="76" t="s">
        <v>900</v>
      </c>
      <c r="G1663" s="76">
        <v>6</v>
      </c>
      <c r="O1663" s="92"/>
    </row>
    <row r="1664" spans="1:15" x14ac:dyDescent="0.25">
      <c r="A1664" s="1">
        <v>1659</v>
      </c>
      <c r="B1664" s="91">
        <v>13751</v>
      </c>
      <c r="C1664" s="76" t="s">
        <v>212</v>
      </c>
      <c r="D1664" s="76" t="s">
        <v>912</v>
      </c>
      <c r="E1664" s="76" t="s">
        <v>899</v>
      </c>
      <c r="F1664" s="76" t="s">
        <v>900</v>
      </c>
      <c r="G1664" s="76">
        <v>6</v>
      </c>
      <c r="O1664" s="92"/>
    </row>
    <row r="1665" spans="1:15" x14ac:dyDescent="0.25">
      <c r="A1665" s="1">
        <v>1660</v>
      </c>
      <c r="B1665" s="91">
        <v>13752</v>
      </c>
      <c r="C1665" s="76" t="s">
        <v>212</v>
      </c>
      <c r="D1665" s="76" t="s">
        <v>912</v>
      </c>
      <c r="E1665" s="76" t="s">
        <v>899</v>
      </c>
      <c r="F1665" s="76" t="s">
        <v>900</v>
      </c>
      <c r="G1665" s="76">
        <v>6</v>
      </c>
      <c r="O1665" s="92"/>
    </row>
    <row r="1666" spans="1:15" x14ac:dyDescent="0.25">
      <c r="A1666" s="1">
        <v>1661</v>
      </c>
      <c r="B1666" s="91">
        <v>13753</v>
      </c>
      <c r="C1666" s="76" t="s">
        <v>212</v>
      </c>
      <c r="D1666" s="76" t="s">
        <v>912</v>
      </c>
      <c r="E1666" s="76" t="s">
        <v>899</v>
      </c>
      <c r="F1666" s="76" t="s">
        <v>900</v>
      </c>
      <c r="G1666" s="76">
        <v>6</v>
      </c>
      <c r="O1666" s="92"/>
    </row>
    <row r="1667" spans="1:15" x14ac:dyDescent="0.25">
      <c r="A1667" s="1">
        <v>1662</v>
      </c>
      <c r="B1667" s="91">
        <v>13754</v>
      </c>
      <c r="C1667" s="76" t="s">
        <v>212</v>
      </c>
      <c r="D1667" s="76" t="s">
        <v>935</v>
      </c>
      <c r="E1667" s="76" t="s">
        <v>899</v>
      </c>
      <c r="F1667" s="76" t="s">
        <v>900</v>
      </c>
      <c r="G1667" s="76">
        <v>6</v>
      </c>
      <c r="O1667" s="92"/>
    </row>
    <row r="1668" spans="1:15" x14ac:dyDescent="0.25">
      <c r="A1668" s="1">
        <v>1663</v>
      </c>
      <c r="B1668" s="91">
        <v>13755</v>
      </c>
      <c r="C1668" s="76" t="s">
        <v>212</v>
      </c>
      <c r="D1668" s="76" t="s">
        <v>912</v>
      </c>
      <c r="E1668" s="76" t="s">
        <v>899</v>
      </c>
      <c r="F1668" s="76" t="s">
        <v>900</v>
      </c>
      <c r="G1668" s="76">
        <v>6</v>
      </c>
      <c r="O1668" s="92"/>
    </row>
    <row r="1669" spans="1:15" x14ac:dyDescent="0.25">
      <c r="A1669" s="1">
        <v>1664</v>
      </c>
      <c r="B1669" s="91">
        <v>13756</v>
      </c>
      <c r="C1669" s="76" t="s">
        <v>212</v>
      </c>
      <c r="D1669" s="76" t="s">
        <v>912</v>
      </c>
      <c r="E1669" s="76" t="s">
        <v>899</v>
      </c>
      <c r="F1669" s="76" t="s">
        <v>900</v>
      </c>
      <c r="G1669" s="76">
        <v>6</v>
      </c>
      <c r="O1669" s="92"/>
    </row>
    <row r="1670" spans="1:15" x14ac:dyDescent="0.25">
      <c r="A1670" s="1">
        <v>1665</v>
      </c>
      <c r="B1670" s="91">
        <v>13757</v>
      </c>
      <c r="C1670" s="76" t="s">
        <v>212</v>
      </c>
      <c r="D1670" s="76" t="s">
        <v>912</v>
      </c>
      <c r="E1670" s="76" t="s">
        <v>899</v>
      </c>
      <c r="F1670" s="76" t="s">
        <v>900</v>
      </c>
      <c r="G1670" s="76">
        <v>6</v>
      </c>
      <c r="O1670" s="92"/>
    </row>
    <row r="1671" spans="1:15" x14ac:dyDescent="0.25">
      <c r="A1671" s="1">
        <v>1666</v>
      </c>
      <c r="B1671" s="91">
        <v>13758</v>
      </c>
      <c r="C1671" s="76" t="s">
        <v>212</v>
      </c>
      <c r="D1671" s="76" t="s">
        <v>929</v>
      </c>
      <c r="E1671" s="76" t="s">
        <v>899</v>
      </c>
      <c r="F1671" s="76" t="s">
        <v>900</v>
      </c>
      <c r="G1671" s="76">
        <v>6</v>
      </c>
      <c r="O1671" s="92"/>
    </row>
    <row r="1672" spans="1:15" x14ac:dyDescent="0.25">
      <c r="A1672" s="1">
        <v>1667</v>
      </c>
      <c r="B1672" s="91">
        <v>13760</v>
      </c>
      <c r="C1672" s="76" t="s">
        <v>212</v>
      </c>
      <c r="D1672" s="76" t="s">
        <v>935</v>
      </c>
      <c r="E1672" s="76" t="s">
        <v>899</v>
      </c>
      <c r="F1672" s="76" t="s">
        <v>900</v>
      </c>
      <c r="G1672" s="76">
        <v>6</v>
      </c>
      <c r="O1672" s="92"/>
    </row>
    <row r="1673" spans="1:15" x14ac:dyDescent="0.25">
      <c r="A1673" s="1">
        <v>1668</v>
      </c>
      <c r="B1673" s="91">
        <v>13761</v>
      </c>
      <c r="C1673" s="76" t="s">
        <v>212</v>
      </c>
      <c r="D1673" s="76" t="s">
        <v>935</v>
      </c>
      <c r="E1673" s="76" t="s">
        <v>899</v>
      </c>
      <c r="F1673" s="76" t="s">
        <v>900</v>
      </c>
      <c r="G1673" s="76">
        <v>6</v>
      </c>
      <c r="O1673" s="92"/>
    </row>
    <row r="1674" spans="1:15" x14ac:dyDescent="0.25">
      <c r="A1674" s="1">
        <v>1669</v>
      </c>
      <c r="B1674" s="91">
        <v>13762</v>
      </c>
      <c r="C1674" s="76" t="s">
        <v>212</v>
      </c>
      <c r="D1674" s="76" t="s">
        <v>935</v>
      </c>
      <c r="E1674" s="76" t="s">
        <v>899</v>
      </c>
      <c r="F1674" s="76" t="s">
        <v>900</v>
      </c>
      <c r="G1674" s="76">
        <v>6</v>
      </c>
      <c r="O1674" s="92"/>
    </row>
    <row r="1675" spans="1:15" x14ac:dyDescent="0.25">
      <c r="A1675" s="1">
        <v>1670</v>
      </c>
      <c r="B1675" s="91">
        <v>13763</v>
      </c>
      <c r="C1675" s="76" t="s">
        <v>212</v>
      </c>
      <c r="D1675" s="76" t="s">
        <v>935</v>
      </c>
      <c r="E1675" s="76" t="s">
        <v>899</v>
      </c>
      <c r="F1675" s="76" t="s">
        <v>900</v>
      </c>
      <c r="G1675" s="76">
        <v>6</v>
      </c>
      <c r="O1675" s="92"/>
    </row>
    <row r="1676" spans="1:15" x14ac:dyDescent="0.25">
      <c r="A1676" s="1">
        <v>1671</v>
      </c>
      <c r="B1676" s="91">
        <v>13774</v>
      </c>
      <c r="C1676" s="76" t="s">
        <v>212</v>
      </c>
      <c r="D1676" s="76" t="s">
        <v>912</v>
      </c>
      <c r="E1676" s="76" t="s">
        <v>899</v>
      </c>
      <c r="F1676" s="76" t="s">
        <v>900</v>
      </c>
      <c r="G1676" s="76">
        <v>6</v>
      </c>
      <c r="O1676" s="92"/>
    </row>
    <row r="1677" spans="1:15" x14ac:dyDescent="0.25">
      <c r="A1677" s="1">
        <v>1672</v>
      </c>
      <c r="B1677" s="91">
        <v>13775</v>
      </c>
      <c r="C1677" s="76" t="s">
        <v>212</v>
      </c>
      <c r="D1677" s="76" t="s">
        <v>912</v>
      </c>
      <c r="E1677" s="76" t="s">
        <v>899</v>
      </c>
      <c r="F1677" s="76" t="s">
        <v>900</v>
      </c>
      <c r="G1677" s="76">
        <v>6</v>
      </c>
      <c r="O1677" s="92"/>
    </row>
    <row r="1678" spans="1:15" x14ac:dyDescent="0.25">
      <c r="A1678" s="1">
        <v>1673</v>
      </c>
      <c r="B1678" s="91">
        <v>13776</v>
      </c>
      <c r="C1678" s="76" t="s">
        <v>212</v>
      </c>
      <c r="D1678" s="76" t="s">
        <v>910</v>
      </c>
      <c r="E1678" s="76" t="s">
        <v>899</v>
      </c>
      <c r="F1678" s="76" t="s">
        <v>900</v>
      </c>
      <c r="G1678" s="76">
        <v>6</v>
      </c>
      <c r="O1678" s="92"/>
    </row>
    <row r="1679" spans="1:15" x14ac:dyDescent="0.25">
      <c r="A1679" s="1">
        <v>1674</v>
      </c>
      <c r="B1679" s="91">
        <v>13777</v>
      </c>
      <c r="C1679" s="76" t="s">
        <v>212</v>
      </c>
      <c r="D1679" s="76" t="s">
        <v>935</v>
      </c>
      <c r="E1679" s="76" t="s">
        <v>899</v>
      </c>
      <c r="F1679" s="76" t="s">
        <v>900</v>
      </c>
      <c r="G1679" s="76">
        <v>6</v>
      </c>
      <c r="O1679" s="92"/>
    </row>
    <row r="1680" spans="1:15" x14ac:dyDescent="0.25">
      <c r="A1680" s="1">
        <v>1675</v>
      </c>
      <c r="B1680" s="91">
        <v>13778</v>
      </c>
      <c r="C1680" s="76" t="s">
        <v>212</v>
      </c>
      <c r="D1680" s="76" t="s">
        <v>929</v>
      </c>
      <c r="E1680" s="76" t="s">
        <v>899</v>
      </c>
      <c r="F1680" s="76" t="s">
        <v>900</v>
      </c>
      <c r="G1680" s="76">
        <v>6</v>
      </c>
      <c r="O1680" s="92"/>
    </row>
    <row r="1681" spans="1:15" x14ac:dyDescent="0.25">
      <c r="A1681" s="1">
        <v>1676</v>
      </c>
      <c r="B1681" s="91">
        <v>13780</v>
      </c>
      <c r="C1681" s="76" t="s">
        <v>212</v>
      </c>
      <c r="D1681" s="76" t="s">
        <v>929</v>
      </c>
      <c r="E1681" s="76" t="s">
        <v>899</v>
      </c>
      <c r="F1681" s="76" t="s">
        <v>900</v>
      </c>
      <c r="G1681" s="76">
        <v>6</v>
      </c>
      <c r="O1681" s="92"/>
    </row>
    <row r="1682" spans="1:15" x14ac:dyDescent="0.25">
      <c r="A1682" s="1">
        <v>1677</v>
      </c>
      <c r="B1682" s="91">
        <v>13782</v>
      </c>
      <c r="C1682" s="76" t="s">
        <v>212</v>
      </c>
      <c r="D1682" s="76" t="s">
        <v>912</v>
      </c>
      <c r="E1682" s="76" t="s">
        <v>899</v>
      </c>
      <c r="F1682" s="76" t="s">
        <v>900</v>
      </c>
      <c r="G1682" s="76">
        <v>6</v>
      </c>
      <c r="O1682" s="92"/>
    </row>
    <row r="1683" spans="1:15" x14ac:dyDescent="0.25">
      <c r="A1683" s="1">
        <v>1678</v>
      </c>
      <c r="B1683" s="91">
        <v>13783</v>
      </c>
      <c r="C1683" s="76" t="s">
        <v>212</v>
      </c>
      <c r="D1683" s="76" t="s">
        <v>912</v>
      </c>
      <c r="E1683" s="76" t="s">
        <v>899</v>
      </c>
      <c r="F1683" s="76" t="s">
        <v>900</v>
      </c>
      <c r="G1683" s="76">
        <v>6</v>
      </c>
      <c r="O1683" s="92"/>
    </row>
    <row r="1684" spans="1:15" x14ac:dyDescent="0.25">
      <c r="A1684" s="1">
        <v>1679</v>
      </c>
      <c r="B1684" s="91">
        <v>13784</v>
      </c>
      <c r="C1684" s="76" t="s">
        <v>219</v>
      </c>
      <c r="D1684" s="76" t="s">
        <v>925</v>
      </c>
      <c r="E1684" s="76" t="s">
        <v>899</v>
      </c>
      <c r="F1684" s="76" t="s">
        <v>900</v>
      </c>
      <c r="G1684" s="76">
        <v>5</v>
      </c>
      <c r="O1684" s="92"/>
    </row>
    <row r="1685" spans="1:15" x14ac:dyDescent="0.25">
      <c r="A1685" s="1">
        <v>1680</v>
      </c>
      <c r="B1685" s="91">
        <v>13786</v>
      </c>
      <c r="C1685" s="76" t="s">
        <v>212</v>
      </c>
      <c r="D1685" s="76" t="s">
        <v>912</v>
      </c>
      <c r="E1685" s="76" t="s">
        <v>899</v>
      </c>
      <c r="F1685" s="76" t="s">
        <v>900</v>
      </c>
      <c r="G1685" s="76">
        <v>6</v>
      </c>
      <c r="O1685" s="92"/>
    </row>
    <row r="1686" spans="1:15" x14ac:dyDescent="0.25">
      <c r="A1686" s="1">
        <v>1681</v>
      </c>
      <c r="B1686" s="91">
        <v>13787</v>
      </c>
      <c r="C1686" s="76" t="s">
        <v>212</v>
      </c>
      <c r="D1686" s="76" t="s">
        <v>935</v>
      </c>
      <c r="E1686" s="76" t="s">
        <v>899</v>
      </c>
      <c r="F1686" s="76" t="s">
        <v>900</v>
      </c>
      <c r="G1686" s="76">
        <v>6</v>
      </c>
      <c r="O1686" s="92"/>
    </row>
    <row r="1687" spans="1:15" x14ac:dyDescent="0.25">
      <c r="A1687" s="1">
        <v>1682</v>
      </c>
      <c r="B1687" s="91">
        <v>13788</v>
      </c>
      <c r="C1687" s="76" t="s">
        <v>212</v>
      </c>
      <c r="D1687" s="76" t="s">
        <v>912</v>
      </c>
      <c r="E1687" s="76" t="s">
        <v>899</v>
      </c>
      <c r="F1687" s="76" t="s">
        <v>900</v>
      </c>
      <c r="G1687" s="76">
        <v>6</v>
      </c>
      <c r="O1687" s="92"/>
    </row>
    <row r="1688" spans="1:15" x14ac:dyDescent="0.25">
      <c r="A1688" s="1">
        <v>1683</v>
      </c>
      <c r="B1688" s="91">
        <v>13790</v>
      </c>
      <c r="C1688" s="76" t="s">
        <v>212</v>
      </c>
      <c r="D1688" s="76" t="s">
        <v>935</v>
      </c>
      <c r="E1688" s="76" t="s">
        <v>899</v>
      </c>
      <c r="F1688" s="76" t="s">
        <v>900</v>
      </c>
      <c r="G1688" s="76">
        <v>6</v>
      </c>
      <c r="O1688" s="92"/>
    </row>
    <row r="1689" spans="1:15" x14ac:dyDescent="0.25">
      <c r="A1689" s="1">
        <v>1684</v>
      </c>
      <c r="B1689" s="91">
        <v>13794</v>
      </c>
      <c r="C1689" s="76" t="s">
        <v>212</v>
      </c>
      <c r="D1689" s="76" t="s">
        <v>935</v>
      </c>
      <c r="E1689" s="76" t="s">
        <v>899</v>
      </c>
      <c r="F1689" s="76" t="s">
        <v>900</v>
      </c>
      <c r="G1689" s="76">
        <v>6</v>
      </c>
      <c r="O1689" s="92"/>
    </row>
    <row r="1690" spans="1:15" x14ac:dyDescent="0.25">
      <c r="A1690" s="1">
        <v>1685</v>
      </c>
      <c r="B1690" s="91">
        <v>13795</v>
      </c>
      <c r="C1690" s="76" t="s">
        <v>212</v>
      </c>
      <c r="D1690" s="76" t="s">
        <v>935</v>
      </c>
      <c r="E1690" s="76" t="s">
        <v>899</v>
      </c>
      <c r="F1690" s="76" t="s">
        <v>900</v>
      </c>
      <c r="G1690" s="76">
        <v>6</v>
      </c>
      <c r="O1690" s="92"/>
    </row>
    <row r="1691" spans="1:15" x14ac:dyDescent="0.25">
      <c r="A1691" s="1">
        <v>1686</v>
      </c>
      <c r="B1691" s="91">
        <v>13796</v>
      </c>
      <c r="C1691" s="76" t="s">
        <v>212</v>
      </c>
      <c r="D1691" s="76" t="s">
        <v>910</v>
      </c>
      <c r="E1691" s="76" t="s">
        <v>899</v>
      </c>
      <c r="F1691" s="76" t="s">
        <v>900</v>
      </c>
      <c r="G1691" s="76">
        <v>6</v>
      </c>
      <c r="O1691" s="92"/>
    </row>
    <row r="1692" spans="1:15" x14ac:dyDescent="0.25">
      <c r="A1692" s="1">
        <v>1687</v>
      </c>
      <c r="B1692" s="91">
        <v>13797</v>
      </c>
      <c r="C1692" s="76" t="s">
        <v>212</v>
      </c>
      <c r="D1692" s="76" t="s">
        <v>935</v>
      </c>
      <c r="E1692" s="76" t="s">
        <v>899</v>
      </c>
      <c r="F1692" s="76" t="s">
        <v>900</v>
      </c>
      <c r="G1692" s="76">
        <v>6</v>
      </c>
      <c r="O1692" s="92"/>
    </row>
    <row r="1693" spans="1:15" x14ac:dyDescent="0.25">
      <c r="A1693" s="1">
        <v>1688</v>
      </c>
      <c r="B1693" s="91">
        <v>13801</v>
      </c>
      <c r="C1693" s="76" t="s">
        <v>212</v>
      </c>
      <c r="D1693" s="76" t="s">
        <v>929</v>
      </c>
      <c r="E1693" s="76" t="s">
        <v>899</v>
      </c>
      <c r="F1693" s="76" t="s">
        <v>900</v>
      </c>
      <c r="G1693" s="76">
        <v>6</v>
      </c>
      <c r="O1693" s="92"/>
    </row>
    <row r="1694" spans="1:15" x14ac:dyDescent="0.25">
      <c r="A1694" s="1">
        <v>1689</v>
      </c>
      <c r="B1694" s="91">
        <v>13802</v>
      </c>
      <c r="C1694" s="76" t="s">
        <v>212</v>
      </c>
      <c r="D1694" s="76" t="s">
        <v>935</v>
      </c>
      <c r="E1694" s="76" t="s">
        <v>899</v>
      </c>
      <c r="F1694" s="76" t="s">
        <v>900</v>
      </c>
      <c r="G1694" s="76">
        <v>6</v>
      </c>
      <c r="O1694" s="92"/>
    </row>
    <row r="1695" spans="1:15" x14ac:dyDescent="0.25">
      <c r="A1695" s="1">
        <v>1690</v>
      </c>
      <c r="B1695" s="91">
        <v>13803</v>
      </c>
      <c r="C1695" s="76" t="s">
        <v>219</v>
      </c>
      <c r="D1695" s="76" t="s">
        <v>925</v>
      </c>
      <c r="E1695" s="76" t="s">
        <v>899</v>
      </c>
      <c r="F1695" s="76" t="s">
        <v>900</v>
      </c>
      <c r="G1695" s="76">
        <v>5</v>
      </c>
      <c r="O1695" s="92"/>
    </row>
    <row r="1696" spans="1:15" x14ac:dyDescent="0.25">
      <c r="A1696" s="1">
        <v>1691</v>
      </c>
      <c r="B1696" s="91">
        <v>13804</v>
      </c>
      <c r="C1696" s="76" t="s">
        <v>212</v>
      </c>
      <c r="D1696" s="76" t="s">
        <v>912</v>
      </c>
      <c r="E1696" s="76" t="s">
        <v>899</v>
      </c>
      <c r="F1696" s="76" t="s">
        <v>900</v>
      </c>
      <c r="G1696" s="76">
        <v>6</v>
      </c>
      <c r="O1696" s="92"/>
    </row>
    <row r="1697" spans="1:15" x14ac:dyDescent="0.25">
      <c r="A1697" s="1">
        <v>1692</v>
      </c>
      <c r="B1697" s="91">
        <v>13806</v>
      </c>
      <c r="C1697" s="76" t="s">
        <v>212</v>
      </c>
      <c r="D1697" s="76" t="s">
        <v>912</v>
      </c>
      <c r="E1697" s="76" t="s">
        <v>899</v>
      </c>
      <c r="F1697" s="76" t="s">
        <v>900</v>
      </c>
      <c r="G1697" s="76">
        <v>6</v>
      </c>
      <c r="O1697" s="92"/>
    </row>
    <row r="1698" spans="1:15" x14ac:dyDescent="0.25">
      <c r="A1698" s="1">
        <v>1693</v>
      </c>
      <c r="B1698" s="91">
        <v>13807</v>
      </c>
      <c r="C1698" s="76" t="s">
        <v>212</v>
      </c>
      <c r="D1698" s="76" t="s">
        <v>910</v>
      </c>
      <c r="E1698" s="76" t="s">
        <v>899</v>
      </c>
      <c r="F1698" s="76" t="s">
        <v>900</v>
      </c>
      <c r="G1698" s="76">
        <v>6</v>
      </c>
      <c r="O1698" s="92"/>
    </row>
    <row r="1699" spans="1:15" x14ac:dyDescent="0.25">
      <c r="A1699" s="1">
        <v>1694</v>
      </c>
      <c r="B1699" s="91">
        <v>13808</v>
      </c>
      <c r="C1699" s="76" t="s">
        <v>212</v>
      </c>
      <c r="D1699" s="76" t="s">
        <v>910</v>
      </c>
      <c r="E1699" s="76" t="s">
        <v>899</v>
      </c>
      <c r="F1699" s="76" t="s">
        <v>900</v>
      </c>
      <c r="G1699" s="76">
        <v>6</v>
      </c>
      <c r="O1699" s="92"/>
    </row>
    <row r="1700" spans="1:15" x14ac:dyDescent="0.25">
      <c r="A1700" s="1">
        <v>1695</v>
      </c>
      <c r="B1700" s="91">
        <v>13809</v>
      </c>
      <c r="C1700" s="76" t="s">
        <v>212</v>
      </c>
      <c r="D1700" s="76" t="s">
        <v>929</v>
      </c>
      <c r="E1700" s="76" t="s">
        <v>899</v>
      </c>
      <c r="F1700" s="76" t="s">
        <v>900</v>
      </c>
      <c r="G1700" s="76">
        <v>6</v>
      </c>
      <c r="O1700" s="92"/>
    </row>
    <row r="1701" spans="1:15" x14ac:dyDescent="0.25">
      <c r="A1701" s="1">
        <v>1696</v>
      </c>
      <c r="B1701" s="91">
        <v>13810</v>
      </c>
      <c r="C1701" s="76" t="s">
        <v>212</v>
      </c>
      <c r="D1701" s="76" t="s">
        <v>910</v>
      </c>
      <c r="E1701" s="76" t="s">
        <v>899</v>
      </c>
      <c r="F1701" s="76" t="s">
        <v>900</v>
      </c>
      <c r="G1701" s="76">
        <v>6</v>
      </c>
      <c r="O1701" s="92"/>
    </row>
    <row r="1702" spans="1:15" x14ac:dyDescent="0.25">
      <c r="A1702" s="1">
        <v>1697</v>
      </c>
      <c r="B1702" s="91">
        <v>13811</v>
      </c>
      <c r="C1702" s="76" t="s">
        <v>212</v>
      </c>
      <c r="D1702" s="76" t="s">
        <v>934</v>
      </c>
      <c r="E1702" s="76" t="s">
        <v>899</v>
      </c>
      <c r="F1702" s="76" t="s">
        <v>888</v>
      </c>
      <c r="G1702" s="76">
        <v>5</v>
      </c>
      <c r="O1702" s="92"/>
    </row>
    <row r="1703" spans="1:15" x14ac:dyDescent="0.25">
      <c r="A1703" s="1">
        <v>1698</v>
      </c>
      <c r="B1703" s="91">
        <v>13812</v>
      </c>
      <c r="C1703" s="76" t="s">
        <v>212</v>
      </c>
      <c r="D1703" s="76" t="s">
        <v>934</v>
      </c>
      <c r="E1703" s="76" t="s">
        <v>899</v>
      </c>
      <c r="F1703" s="76" t="s">
        <v>888</v>
      </c>
      <c r="G1703" s="76">
        <v>5</v>
      </c>
      <c r="O1703" s="92"/>
    </row>
    <row r="1704" spans="1:15" x14ac:dyDescent="0.25">
      <c r="A1704" s="1">
        <v>1699</v>
      </c>
      <c r="B1704" s="91">
        <v>13813</v>
      </c>
      <c r="C1704" s="76" t="s">
        <v>212</v>
      </c>
      <c r="D1704" s="76" t="s">
        <v>935</v>
      </c>
      <c r="E1704" s="76" t="s">
        <v>899</v>
      </c>
      <c r="F1704" s="76" t="s">
        <v>900</v>
      </c>
      <c r="G1704" s="76">
        <v>6</v>
      </c>
      <c r="O1704" s="92"/>
    </row>
    <row r="1705" spans="1:15" x14ac:dyDescent="0.25">
      <c r="A1705" s="1">
        <v>1700</v>
      </c>
      <c r="B1705" s="91">
        <v>13814</v>
      </c>
      <c r="C1705" s="76" t="s">
        <v>212</v>
      </c>
      <c r="D1705" s="76" t="s">
        <v>929</v>
      </c>
      <c r="E1705" s="76" t="s">
        <v>899</v>
      </c>
      <c r="F1705" s="76" t="s">
        <v>900</v>
      </c>
      <c r="G1705" s="76">
        <v>6</v>
      </c>
      <c r="O1705" s="92"/>
    </row>
    <row r="1706" spans="1:15" x14ac:dyDescent="0.25">
      <c r="A1706" s="1">
        <v>1701</v>
      </c>
      <c r="B1706" s="91">
        <v>13815</v>
      </c>
      <c r="C1706" s="76" t="s">
        <v>212</v>
      </c>
      <c r="D1706" s="76" t="s">
        <v>929</v>
      </c>
      <c r="E1706" s="76" t="s">
        <v>899</v>
      </c>
      <c r="F1706" s="76" t="s">
        <v>900</v>
      </c>
      <c r="G1706" s="76">
        <v>6</v>
      </c>
      <c r="O1706" s="92"/>
    </row>
    <row r="1707" spans="1:15" x14ac:dyDescent="0.25">
      <c r="A1707" s="1">
        <v>1702</v>
      </c>
      <c r="B1707" s="91">
        <v>13820</v>
      </c>
      <c r="C1707" s="76" t="s">
        <v>212</v>
      </c>
      <c r="D1707" s="76" t="s">
        <v>910</v>
      </c>
      <c r="E1707" s="76" t="s">
        <v>899</v>
      </c>
      <c r="F1707" s="76" t="s">
        <v>900</v>
      </c>
      <c r="G1707" s="76">
        <v>6</v>
      </c>
      <c r="O1707" s="92"/>
    </row>
    <row r="1708" spans="1:15" x14ac:dyDescent="0.25">
      <c r="A1708" s="1">
        <v>1703</v>
      </c>
      <c r="B1708" s="91">
        <v>13825</v>
      </c>
      <c r="C1708" s="76" t="s">
        <v>212</v>
      </c>
      <c r="D1708" s="76" t="s">
        <v>910</v>
      </c>
      <c r="E1708" s="76" t="s">
        <v>899</v>
      </c>
      <c r="F1708" s="76" t="s">
        <v>900</v>
      </c>
      <c r="G1708" s="76">
        <v>6</v>
      </c>
      <c r="O1708" s="92"/>
    </row>
    <row r="1709" spans="1:15" x14ac:dyDescent="0.25">
      <c r="A1709" s="1">
        <v>1704</v>
      </c>
      <c r="B1709" s="91">
        <v>13826</v>
      </c>
      <c r="C1709" s="76" t="s">
        <v>212</v>
      </c>
      <c r="D1709" s="76" t="s">
        <v>935</v>
      </c>
      <c r="E1709" s="76" t="s">
        <v>899</v>
      </c>
      <c r="F1709" s="76" t="s">
        <v>900</v>
      </c>
      <c r="G1709" s="76">
        <v>6</v>
      </c>
      <c r="O1709" s="92"/>
    </row>
    <row r="1710" spans="1:15" x14ac:dyDescent="0.25">
      <c r="A1710" s="1">
        <v>1705</v>
      </c>
      <c r="B1710" s="91">
        <v>13827</v>
      </c>
      <c r="C1710" s="76" t="s">
        <v>212</v>
      </c>
      <c r="D1710" s="76" t="s">
        <v>934</v>
      </c>
      <c r="E1710" s="76" t="s">
        <v>899</v>
      </c>
      <c r="F1710" s="76" t="s">
        <v>888</v>
      </c>
      <c r="G1710" s="76">
        <v>5</v>
      </c>
      <c r="O1710" s="92"/>
    </row>
    <row r="1711" spans="1:15" x14ac:dyDescent="0.25">
      <c r="A1711" s="1">
        <v>1706</v>
      </c>
      <c r="B1711" s="91">
        <v>13830</v>
      </c>
      <c r="C1711" s="76" t="s">
        <v>212</v>
      </c>
      <c r="D1711" s="76" t="s">
        <v>929</v>
      </c>
      <c r="E1711" s="76" t="s">
        <v>899</v>
      </c>
      <c r="F1711" s="76" t="s">
        <v>900</v>
      </c>
      <c r="G1711" s="76">
        <v>6</v>
      </c>
      <c r="O1711" s="92"/>
    </row>
    <row r="1712" spans="1:15" x14ac:dyDescent="0.25">
      <c r="A1712" s="1">
        <v>1707</v>
      </c>
      <c r="B1712" s="91">
        <v>13832</v>
      </c>
      <c r="C1712" s="76" t="s">
        <v>212</v>
      </c>
      <c r="D1712" s="76" t="s">
        <v>929</v>
      </c>
      <c r="E1712" s="76" t="s">
        <v>899</v>
      </c>
      <c r="F1712" s="76" t="s">
        <v>900</v>
      </c>
      <c r="G1712" s="76">
        <v>6</v>
      </c>
      <c r="O1712" s="92"/>
    </row>
    <row r="1713" spans="1:15" x14ac:dyDescent="0.25">
      <c r="A1713" s="1">
        <v>1708</v>
      </c>
      <c r="B1713" s="91">
        <v>13833</v>
      </c>
      <c r="C1713" s="76" t="s">
        <v>212</v>
      </c>
      <c r="D1713" s="76" t="s">
        <v>935</v>
      </c>
      <c r="E1713" s="76" t="s">
        <v>899</v>
      </c>
      <c r="F1713" s="76" t="s">
        <v>900</v>
      </c>
      <c r="G1713" s="76">
        <v>6</v>
      </c>
      <c r="O1713" s="92"/>
    </row>
    <row r="1714" spans="1:15" x14ac:dyDescent="0.25">
      <c r="A1714" s="1">
        <v>1709</v>
      </c>
      <c r="B1714" s="91">
        <v>13834</v>
      </c>
      <c r="C1714" s="76" t="s">
        <v>212</v>
      </c>
      <c r="D1714" s="76" t="s">
        <v>910</v>
      </c>
      <c r="E1714" s="76" t="s">
        <v>899</v>
      </c>
      <c r="F1714" s="76" t="s">
        <v>900</v>
      </c>
      <c r="G1714" s="76">
        <v>6</v>
      </c>
      <c r="O1714" s="92"/>
    </row>
    <row r="1715" spans="1:15" x14ac:dyDescent="0.25">
      <c r="A1715" s="1">
        <v>1710</v>
      </c>
      <c r="B1715" s="91">
        <v>13835</v>
      </c>
      <c r="C1715" s="76" t="s">
        <v>212</v>
      </c>
      <c r="D1715" s="76" t="s">
        <v>934</v>
      </c>
      <c r="E1715" s="76" t="s">
        <v>899</v>
      </c>
      <c r="F1715" s="76" t="s">
        <v>888</v>
      </c>
      <c r="G1715" s="76">
        <v>5</v>
      </c>
      <c r="O1715" s="92"/>
    </row>
    <row r="1716" spans="1:15" x14ac:dyDescent="0.25">
      <c r="A1716" s="1">
        <v>1711</v>
      </c>
      <c r="B1716" s="91">
        <v>13837</v>
      </c>
      <c r="C1716" s="76" t="s">
        <v>212</v>
      </c>
      <c r="D1716" s="76" t="s">
        <v>912</v>
      </c>
      <c r="E1716" s="76" t="s">
        <v>899</v>
      </c>
      <c r="F1716" s="76" t="s">
        <v>900</v>
      </c>
      <c r="G1716" s="76">
        <v>6</v>
      </c>
      <c r="O1716" s="92"/>
    </row>
    <row r="1717" spans="1:15" x14ac:dyDescent="0.25">
      <c r="A1717" s="1">
        <v>1712</v>
      </c>
      <c r="B1717" s="91">
        <v>13838</v>
      </c>
      <c r="C1717" s="76" t="s">
        <v>212</v>
      </c>
      <c r="D1717" s="76" t="s">
        <v>912</v>
      </c>
      <c r="E1717" s="76" t="s">
        <v>899</v>
      </c>
      <c r="F1717" s="76" t="s">
        <v>900</v>
      </c>
      <c r="G1717" s="76">
        <v>6</v>
      </c>
      <c r="O1717" s="92"/>
    </row>
    <row r="1718" spans="1:15" x14ac:dyDescent="0.25">
      <c r="A1718" s="1">
        <v>1713</v>
      </c>
      <c r="B1718" s="91">
        <v>13839</v>
      </c>
      <c r="C1718" s="76" t="s">
        <v>212</v>
      </c>
      <c r="D1718" s="76" t="s">
        <v>912</v>
      </c>
      <c r="E1718" s="76" t="s">
        <v>899</v>
      </c>
      <c r="F1718" s="76" t="s">
        <v>900</v>
      </c>
      <c r="G1718" s="76">
        <v>6</v>
      </c>
      <c r="O1718" s="92"/>
    </row>
    <row r="1719" spans="1:15" x14ac:dyDescent="0.25">
      <c r="A1719" s="1">
        <v>1714</v>
      </c>
      <c r="B1719" s="91">
        <v>13840</v>
      </c>
      <c r="C1719" s="76" t="s">
        <v>212</v>
      </c>
      <c r="D1719" s="76" t="s">
        <v>934</v>
      </c>
      <c r="E1719" s="76" t="s">
        <v>899</v>
      </c>
      <c r="F1719" s="76" t="s">
        <v>888</v>
      </c>
      <c r="G1719" s="76">
        <v>5</v>
      </c>
      <c r="O1719" s="92"/>
    </row>
    <row r="1720" spans="1:15" x14ac:dyDescent="0.25">
      <c r="A1720" s="1">
        <v>1715</v>
      </c>
      <c r="B1720" s="91">
        <v>13841</v>
      </c>
      <c r="C1720" s="76" t="s">
        <v>212</v>
      </c>
      <c r="D1720" s="76" t="s">
        <v>929</v>
      </c>
      <c r="E1720" s="76" t="s">
        <v>899</v>
      </c>
      <c r="F1720" s="76" t="s">
        <v>900</v>
      </c>
      <c r="G1720" s="76">
        <v>6</v>
      </c>
      <c r="O1720" s="92"/>
    </row>
    <row r="1721" spans="1:15" x14ac:dyDescent="0.25">
      <c r="A1721" s="1">
        <v>1716</v>
      </c>
      <c r="B1721" s="91">
        <v>13842</v>
      </c>
      <c r="C1721" s="76" t="s">
        <v>212</v>
      </c>
      <c r="D1721" s="76" t="s">
        <v>912</v>
      </c>
      <c r="E1721" s="76" t="s">
        <v>899</v>
      </c>
      <c r="F1721" s="76" t="s">
        <v>900</v>
      </c>
      <c r="G1721" s="76">
        <v>6</v>
      </c>
      <c r="O1721" s="92"/>
    </row>
    <row r="1722" spans="1:15" x14ac:dyDescent="0.25">
      <c r="A1722" s="1">
        <v>1717</v>
      </c>
      <c r="B1722" s="91">
        <v>13843</v>
      </c>
      <c r="C1722" s="76" t="s">
        <v>212</v>
      </c>
      <c r="D1722" s="76" t="s">
        <v>929</v>
      </c>
      <c r="E1722" s="76" t="s">
        <v>899</v>
      </c>
      <c r="F1722" s="76" t="s">
        <v>900</v>
      </c>
      <c r="G1722" s="76">
        <v>6</v>
      </c>
      <c r="O1722" s="92"/>
    </row>
    <row r="1723" spans="1:15" x14ac:dyDescent="0.25">
      <c r="A1723" s="1">
        <v>1718</v>
      </c>
      <c r="B1723" s="91">
        <v>13844</v>
      </c>
      <c r="C1723" s="76" t="s">
        <v>212</v>
      </c>
      <c r="D1723" s="76" t="s">
        <v>929</v>
      </c>
      <c r="E1723" s="76" t="s">
        <v>899</v>
      </c>
      <c r="F1723" s="76" t="s">
        <v>900</v>
      </c>
      <c r="G1723" s="76">
        <v>6</v>
      </c>
      <c r="O1723" s="92"/>
    </row>
    <row r="1724" spans="1:15" x14ac:dyDescent="0.25">
      <c r="A1724" s="1">
        <v>1719</v>
      </c>
      <c r="B1724" s="91">
        <v>13845</v>
      </c>
      <c r="C1724" s="76" t="s">
        <v>212</v>
      </c>
      <c r="D1724" s="76" t="s">
        <v>934</v>
      </c>
      <c r="E1724" s="76" t="s">
        <v>899</v>
      </c>
      <c r="F1724" s="76" t="s">
        <v>888</v>
      </c>
      <c r="G1724" s="76">
        <v>5</v>
      </c>
      <c r="O1724" s="92"/>
    </row>
    <row r="1725" spans="1:15" x14ac:dyDescent="0.25">
      <c r="A1725" s="1">
        <v>1720</v>
      </c>
      <c r="B1725" s="91">
        <v>13846</v>
      </c>
      <c r="C1725" s="76" t="s">
        <v>212</v>
      </c>
      <c r="D1725" s="76" t="s">
        <v>912</v>
      </c>
      <c r="E1725" s="76" t="s">
        <v>899</v>
      </c>
      <c r="F1725" s="76" t="s">
        <v>900</v>
      </c>
      <c r="G1725" s="76">
        <v>6</v>
      </c>
      <c r="O1725" s="92"/>
    </row>
    <row r="1726" spans="1:15" x14ac:dyDescent="0.25">
      <c r="A1726" s="1">
        <v>1721</v>
      </c>
      <c r="B1726" s="91">
        <v>13847</v>
      </c>
      <c r="C1726" s="76" t="s">
        <v>212</v>
      </c>
      <c r="D1726" s="76" t="s">
        <v>912</v>
      </c>
      <c r="E1726" s="76" t="s">
        <v>899</v>
      </c>
      <c r="F1726" s="76" t="s">
        <v>900</v>
      </c>
      <c r="G1726" s="76">
        <v>6</v>
      </c>
      <c r="O1726" s="92"/>
    </row>
    <row r="1727" spans="1:15" x14ac:dyDescent="0.25">
      <c r="A1727" s="1">
        <v>1722</v>
      </c>
      <c r="B1727" s="91">
        <v>13848</v>
      </c>
      <c r="C1727" s="76" t="s">
        <v>212</v>
      </c>
      <c r="D1727" s="76" t="s">
        <v>935</v>
      </c>
      <c r="E1727" s="76" t="s">
        <v>899</v>
      </c>
      <c r="F1727" s="76" t="s">
        <v>900</v>
      </c>
      <c r="G1727" s="76">
        <v>6</v>
      </c>
      <c r="O1727" s="92"/>
    </row>
    <row r="1728" spans="1:15" x14ac:dyDescent="0.25">
      <c r="A1728" s="1">
        <v>1723</v>
      </c>
      <c r="B1728" s="91">
        <v>13849</v>
      </c>
      <c r="C1728" s="76" t="s">
        <v>212</v>
      </c>
      <c r="D1728" s="76" t="s">
        <v>910</v>
      </c>
      <c r="E1728" s="76" t="s">
        <v>899</v>
      </c>
      <c r="F1728" s="76" t="s">
        <v>900</v>
      </c>
      <c r="G1728" s="76">
        <v>6</v>
      </c>
      <c r="O1728" s="92"/>
    </row>
    <row r="1729" spans="1:15" x14ac:dyDescent="0.25">
      <c r="A1729" s="1">
        <v>1724</v>
      </c>
      <c r="B1729" s="91">
        <v>13850</v>
      </c>
      <c r="C1729" s="76" t="s">
        <v>212</v>
      </c>
      <c r="D1729" s="76" t="s">
        <v>935</v>
      </c>
      <c r="E1729" s="76" t="s">
        <v>899</v>
      </c>
      <c r="F1729" s="76" t="s">
        <v>900</v>
      </c>
      <c r="G1729" s="76">
        <v>6</v>
      </c>
      <c r="O1729" s="92"/>
    </row>
    <row r="1730" spans="1:15" x14ac:dyDescent="0.25">
      <c r="A1730" s="1">
        <v>1725</v>
      </c>
      <c r="B1730" s="91">
        <v>13851</v>
      </c>
      <c r="C1730" s="76" t="s">
        <v>212</v>
      </c>
      <c r="D1730" s="76" t="s">
        <v>935</v>
      </c>
      <c r="E1730" s="76" t="s">
        <v>899</v>
      </c>
      <c r="F1730" s="76" t="s">
        <v>900</v>
      </c>
      <c r="G1730" s="76">
        <v>6</v>
      </c>
      <c r="O1730" s="92"/>
    </row>
    <row r="1731" spans="1:15" x14ac:dyDescent="0.25">
      <c r="A1731" s="1">
        <v>1726</v>
      </c>
      <c r="B1731" s="91">
        <v>13856</v>
      </c>
      <c r="C1731" s="76" t="s">
        <v>212</v>
      </c>
      <c r="D1731" s="76" t="s">
        <v>912</v>
      </c>
      <c r="E1731" s="76" t="s">
        <v>899</v>
      </c>
      <c r="F1731" s="76" t="s">
        <v>900</v>
      </c>
      <c r="G1731" s="76">
        <v>6</v>
      </c>
      <c r="O1731" s="92"/>
    </row>
    <row r="1732" spans="1:15" x14ac:dyDescent="0.25">
      <c r="A1732" s="1">
        <v>1727</v>
      </c>
      <c r="B1732" s="91">
        <v>13859</v>
      </c>
      <c r="C1732" s="76" t="s">
        <v>212</v>
      </c>
      <c r="D1732" s="76" t="s">
        <v>910</v>
      </c>
      <c r="E1732" s="76" t="s">
        <v>899</v>
      </c>
      <c r="F1732" s="76" t="s">
        <v>900</v>
      </c>
      <c r="G1732" s="76">
        <v>6</v>
      </c>
      <c r="O1732" s="92"/>
    </row>
    <row r="1733" spans="1:15" x14ac:dyDescent="0.25">
      <c r="A1733" s="1">
        <v>1728</v>
      </c>
      <c r="B1733" s="91">
        <v>13860</v>
      </c>
      <c r="C1733" s="76" t="s">
        <v>212</v>
      </c>
      <c r="D1733" s="76" t="s">
        <v>912</v>
      </c>
      <c r="E1733" s="76" t="s">
        <v>899</v>
      </c>
      <c r="F1733" s="76" t="s">
        <v>900</v>
      </c>
      <c r="G1733" s="76">
        <v>6</v>
      </c>
      <c r="O1733" s="92"/>
    </row>
    <row r="1734" spans="1:15" x14ac:dyDescent="0.25">
      <c r="A1734" s="1">
        <v>1729</v>
      </c>
      <c r="B1734" s="91">
        <v>13861</v>
      </c>
      <c r="C1734" s="76" t="s">
        <v>212</v>
      </c>
      <c r="D1734" s="76" t="s">
        <v>910</v>
      </c>
      <c r="E1734" s="76" t="s">
        <v>899</v>
      </c>
      <c r="F1734" s="76" t="s">
        <v>900</v>
      </c>
      <c r="G1734" s="76">
        <v>6</v>
      </c>
      <c r="O1734" s="92"/>
    </row>
    <row r="1735" spans="1:15" x14ac:dyDescent="0.25">
      <c r="A1735" s="1">
        <v>1730</v>
      </c>
      <c r="B1735" s="91">
        <v>13862</v>
      </c>
      <c r="C1735" s="76" t="s">
        <v>212</v>
      </c>
      <c r="D1735" s="76" t="s">
        <v>935</v>
      </c>
      <c r="E1735" s="76" t="s">
        <v>899</v>
      </c>
      <c r="F1735" s="76" t="s">
        <v>900</v>
      </c>
      <c r="G1735" s="76">
        <v>6</v>
      </c>
      <c r="O1735" s="92"/>
    </row>
    <row r="1736" spans="1:15" x14ac:dyDescent="0.25">
      <c r="A1736" s="1">
        <v>1731</v>
      </c>
      <c r="B1736" s="91">
        <v>13863</v>
      </c>
      <c r="C1736" s="76" t="s">
        <v>219</v>
      </c>
      <c r="D1736" s="76" t="s">
        <v>925</v>
      </c>
      <c r="E1736" s="76" t="s">
        <v>899</v>
      </c>
      <c r="F1736" s="76" t="s">
        <v>900</v>
      </c>
      <c r="G1736" s="76">
        <v>5</v>
      </c>
      <c r="O1736" s="92"/>
    </row>
    <row r="1737" spans="1:15" x14ac:dyDescent="0.25">
      <c r="A1737" s="1">
        <v>1732</v>
      </c>
      <c r="B1737" s="91">
        <v>13864</v>
      </c>
      <c r="C1737" s="76" t="s">
        <v>212</v>
      </c>
      <c r="D1737" s="76" t="s">
        <v>934</v>
      </c>
      <c r="E1737" s="76" t="s">
        <v>899</v>
      </c>
      <c r="F1737" s="76" t="s">
        <v>888</v>
      </c>
      <c r="G1737" s="76">
        <v>5</v>
      </c>
      <c r="O1737" s="92"/>
    </row>
    <row r="1738" spans="1:15" x14ac:dyDescent="0.25">
      <c r="A1738" s="1">
        <v>1733</v>
      </c>
      <c r="B1738" s="91">
        <v>13865</v>
      </c>
      <c r="C1738" s="76" t="s">
        <v>212</v>
      </c>
      <c r="D1738" s="76" t="s">
        <v>935</v>
      </c>
      <c r="E1738" s="76" t="s">
        <v>899</v>
      </c>
      <c r="F1738" s="76" t="s">
        <v>900</v>
      </c>
      <c r="G1738" s="76">
        <v>6</v>
      </c>
      <c r="O1738" s="92"/>
    </row>
    <row r="1739" spans="1:15" x14ac:dyDescent="0.25">
      <c r="A1739" s="1">
        <v>1734</v>
      </c>
      <c r="B1739" s="91">
        <v>13901</v>
      </c>
      <c r="C1739" s="76" t="s">
        <v>212</v>
      </c>
      <c r="D1739" s="76" t="s">
        <v>935</v>
      </c>
      <c r="E1739" s="76" t="s">
        <v>899</v>
      </c>
      <c r="F1739" s="76" t="s">
        <v>900</v>
      </c>
      <c r="G1739" s="76">
        <v>6</v>
      </c>
      <c r="O1739" s="92"/>
    </row>
    <row r="1740" spans="1:15" x14ac:dyDescent="0.25">
      <c r="A1740" s="1">
        <v>1735</v>
      </c>
      <c r="B1740" s="91">
        <v>13902</v>
      </c>
      <c r="C1740" s="76" t="s">
        <v>212</v>
      </c>
      <c r="D1740" s="76" t="s">
        <v>935</v>
      </c>
      <c r="E1740" s="76" t="s">
        <v>899</v>
      </c>
      <c r="F1740" s="76" t="s">
        <v>900</v>
      </c>
      <c r="G1740" s="76">
        <v>6</v>
      </c>
      <c r="O1740" s="92"/>
    </row>
    <row r="1741" spans="1:15" x14ac:dyDescent="0.25">
      <c r="A1741" s="1">
        <v>1736</v>
      </c>
      <c r="B1741" s="91">
        <v>13903</v>
      </c>
      <c r="C1741" s="76" t="s">
        <v>212</v>
      </c>
      <c r="D1741" s="76" t="s">
        <v>935</v>
      </c>
      <c r="E1741" s="76" t="s">
        <v>899</v>
      </c>
      <c r="F1741" s="76" t="s">
        <v>900</v>
      </c>
      <c r="G1741" s="76">
        <v>6</v>
      </c>
      <c r="O1741" s="92"/>
    </row>
    <row r="1742" spans="1:15" x14ac:dyDescent="0.25">
      <c r="A1742" s="1">
        <v>1737</v>
      </c>
      <c r="B1742" s="91">
        <v>13904</v>
      </c>
      <c r="C1742" s="76" t="s">
        <v>212</v>
      </c>
      <c r="D1742" s="76" t="s">
        <v>935</v>
      </c>
      <c r="E1742" s="76" t="s">
        <v>899</v>
      </c>
      <c r="F1742" s="76" t="s">
        <v>900</v>
      </c>
      <c r="G1742" s="76">
        <v>6</v>
      </c>
      <c r="O1742" s="92"/>
    </row>
    <row r="1743" spans="1:15" x14ac:dyDescent="0.25">
      <c r="A1743" s="1">
        <v>1738</v>
      </c>
      <c r="B1743" s="91">
        <v>13905</v>
      </c>
      <c r="C1743" s="76" t="s">
        <v>212</v>
      </c>
      <c r="D1743" s="76" t="s">
        <v>935</v>
      </c>
      <c r="E1743" s="76" t="s">
        <v>899</v>
      </c>
      <c r="F1743" s="76" t="s">
        <v>900</v>
      </c>
      <c r="G1743" s="76">
        <v>6</v>
      </c>
      <c r="O1743" s="92"/>
    </row>
    <row r="1744" spans="1:15" x14ac:dyDescent="0.25">
      <c r="A1744" s="1">
        <v>1739</v>
      </c>
      <c r="B1744" s="91">
        <v>14001</v>
      </c>
      <c r="C1744" s="76" t="s">
        <v>213</v>
      </c>
      <c r="D1744" s="76" t="s">
        <v>936</v>
      </c>
      <c r="E1744" s="76" t="s">
        <v>899</v>
      </c>
      <c r="F1744" s="76" t="s">
        <v>900</v>
      </c>
      <c r="G1744" s="76">
        <v>5</v>
      </c>
      <c r="O1744" s="92"/>
    </row>
    <row r="1745" spans="1:15" x14ac:dyDescent="0.25">
      <c r="A1745" s="1">
        <v>1740</v>
      </c>
      <c r="B1745" s="91">
        <v>14004</v>
      </c>
      <c r="C1745" s="76" t="s">
        <v>213</v>
      </c>
      <c r="D1745" s="76" t="s">
        <v>936</v>
      </c>
      <c r="E1745" s="76" t="s">
        <v>899</v>
      </c>
      <c r="F1745" s="76" t="s">
        <v>900</v>
      </c>
      <c r="G1745" s="76">
        <v>5</v>
      </c>
      <c r="O1745" s="92"/>
    </row>
    <row r="1746" spans="1:15" x14ac:dyDescent="0.25">
      <c r="A1746" s="1">
        <v>1741</v>
      </c>
      <c r="B1746" s="91">
        <v>14005</v>
      </c>
      <c r="C1746" s="76" t="s">
        <v>213</v>
      </c>
      <c r="D1746" s="76" t="s">
        <v>937</v>
      </c>
      <c r="E1746" s="76" t="s">
        <v>899</v>
      </c>
      <c r="F1746" s="76" t="s">
        <v>900</v>
      </c>
      <c r="G1746" s="76">
        <v>5</v>
      </c>
      <c r="O1746" s="92"/>
    </row>
    <row r="1747" spans="1:15" x14ac:dyDescent="0.25">
      <c r="A1747" s="1">
        <v>1742</v>
      </c>
      <c r="B1747" s="91">
        <v>14006</v>
      </c>
      <c r="C1747" s="76" t="s">
        <v>213</v>
      </c>
      <c r="D1747" s="76" t="s">
        <v>936</v>
      </c>
      <c r="E1747" s="76" t="s">
        <v>899</v>
      </c>
      <c r="F1747" s="76" t="s">
        <v>900</v>
      </c>
      <c r="G1747" s="76">
        <v>5</v>
      </c>
      <c r="O1747" s="92"/>
    </row>
    <row r="1748" spans="1:15" x14ac:dyDescent="0.25">
      <c r="A1748" s="1">
        <v>1743</v>
      </c>
      <c r="B1748" s="91">
        <v>14008</v>
      </c>
      <c r="C1748" s="76" t="s">
        <v>213</v>
      </c>
      <c r="D1748" s="76" t="s">
        <v>938</v>
      </c>
      <c r="E1748" s="76" t="s">
        <v>899</v>
      </c>
      <c r="F1748" s="76" t="s">
        <v>900</v>
      </c>
      <c r="G1748" s="76">
        <v>5</v>
      </c>
      <c r="O1748" s="92"/>
    </row>
    <row r="1749" spans="1:15" x14ac:dyDescent="0.25">
      <c r="A1749" s="1">
        <v>1744</v>
      </c>
      <c r="B1749" s="91">
        <v>14009</v>
      </c>
      <c r="C1749" s="76" t="s">
        <v>213</v>
      </c>
      <c r="D1749" s="76" t="s">
        <v>939</v>
      </c>
      <c r="E1749" s="76" t="s">
        <v>899</v>
      </c>
      <c r="F1749" s="76" t="s">
        <v>900</v>
      </c>
      <c r="G1749" s="76">
        <v>6</v>
      </c>
      <c r="O1749" s="92"/>
    </row>
    <row r="1750" spans="1:15" x14ac:dyDescent="0.25">
      <c r="A1750" s="1">
        <v>1745</v>
      </c>
      <c r="B1750" s="91">
        <v>14010</v>
      </c>
      <c r="C1750" s="76" t="s">
        <v>213</v>
      </c>
      <c r="D1750" s="76" t="s">
        <v>936</v>
      </c>
      <c r="E1750" s="76" t="s">
        <v>899</v>
      </c>
      <c r="F1750" s="76" t="s">
        <v>900</v>
      </c>
      <c r="G1750" s="76">
        <v>5</v>
      </c>
      <c r="O1750" s="92"/>
    </row>
    <row r="1751" spans="1:15" x14ac:dyDescent="0.25">
      <c r="A1751" s="1">
        <v>1746</v>
      </c>
      <c r="B1751" s="91">
        <v>14011</v>
      </c>
      <c r="C1751" s="76" t="s">
        <v>213</v>
      </c>
      <c r="D1751" s="76" t="s">
        <v>939</v>
      </c>
      <c r="E1751" s="76" t="s">
        <v>899</v>
      </c>
      <c r="F1751" s="76" t="s">
        <v>900</v>
      </c>
      <c r="G1751" s="76">
        <v>6</v>
      </c>
      <c r="O1751" s="92"/>
    </row>
    <row r="1752" spans="1:15" x14ac:dyDescent="0.25">
      <c r="A1752" s="1">
        <v>1747</v>
      </c>
      <c r="B1752" s="91">
        <v>14012</v>
      </c>
      <c r="C1752" s="76" t="s">
        <v>213</v>
      </c>
      <c r="D1752" s="76" t="s">
        <v>938</v>
      </c>
      <c r="E1752" s="76" t="s">
        <v>899</v>
      </c>
      <c r="F1752" s="76" t="s">
        <v>900</v>
      </c>
      <c r="G1752" s="76">
        <v>5</v>
      </c>
      <c r="O1752" s="92"/>
    </row>
    <row r="1753" spans="1:15" x14ac:dyDescent="0.25">
      <c r="A1753" s="1">
        <v>1748</v>
      </c>
      <c r="B1753" s="91">
        <v>14013</v>
      </c>
      <c r="C1753" s="76" t="s">
        <v>213</v>
      </c>
      <c r="D1753" s="76" t="s">
        <v>937</v>
      </c>
      <c r="E1753" s="76" t="s">
        <v>899</v>
      </c>
      <c r="F1753" s="76" t="s">
        <v>900</v>
      </c>
      <c r="G1753" s="76">
        <v>5</v>
      </c>
      <c r="O1753" s="92"/>
    </row>
    <row r="1754" spans="1:15" x14ac:dyDescent="0.25">
      <c r="A1754" s="1">
        <v>1749</v>
      </c>
      <c r="B1754" s="91">
        <v>14020</v>
      </c>
      <c r="C1754" s="76" t="s">
        <v>213</v>
      </c>
      <c r="D1754" s="76" t="s">
        <v>937</v>
      </c>
      <c r="E1754" s="76" t="s">
        <v>899</v>
      </c>
      <c r="F1754" s="76" t="s">
        <v>900</v>
      </c>
      <c r="G1754" s="76">
        <v>5</v>
      </c>
      <c r="O1754" s="92"/>
    </row>
    <row r="1755" spans="1:15" x14ac:dyDescent="0.25">
      <c r="A1755" s="1">
        <v>1750</v>
      </c>
      <c r="B1755" s="91">
        <v>14021</v>
      </c>
      <c r="C1755" s="76" t="s">
        <v>213</v>
      </c>
      <c r="D1755" s="76" t="s">
        <v>937</v>
      </c>
      <c r="E1755" s="76" t="s">
        <v>899</v>
      </c>
      <c r="F1755" s="76" t="s">
        <v>900</v>
      </c>
      <c r="G1755" s="76">
        <v>5</v>
      </c>
      <c r="O1755" s="92"/>
    </row>
    <row r="1756" spans="1:15" x14ac:dyDescent="0.25">
      <c r="A1756" s="1">
        <v>1751</v>
      </c>
      <c r="B1756" s="91">
        <v>14024</v>
      </c>
      <c r="C1756" s="76" t="s">
        <v>213</v>
      </c>
      <c r="D1756" s="76" t="s">
        <v>939</v>
      </c>
      <c r="E1756" s="76" t="s">
        <v>899</v>
      </c>
      <c r="F1756" s="76" t="s">
        <v>900</v>
      </c>
      <c r="G1756" s="76">
        <v>6</v>
      </c>
      <c r="O1756" s="92"/>
    </row>
    <row r="1757" spans="1:15" x14ac:dyDescent="0.25">
      <c r="A1757" s="1">
        <v>1752</v>
      </c>
      <c r="B1757" s="91">
        <v>14025</v>
      </c>
      <c r="C1757" s="76" t="s">
        <v>213</v>
      </c>
      <c r="D1757" s="76" t="s">
        <v>936</v>
      </c>
      <c r="E1757" s="76" t="s">
        <v>899</v>
      </c>
      <c r="F1757" s="76" t="s">
        <v>900</v>
      </c>
      <c r="G1757" s="76">
        <v>5</v>
      </c>
      <c r="O1757" s="92"/>
    </row>
    <row r="1758" spans="1:15" x14ac:dyDescent="0.25">
      <c r="A1758" s="1">
        <v>1753</v>
      </c>
      <c r="B1758" s="91">
        <v>14026</v>
      </c>
      <c r="C1758" s="76" t="s">
        <v>213</v>
      </c>
      <c r="D1758" s="76" t="s">
        <v>936</v>
      </c>
      <c r="E1758" s="76" t="s">
        <v>899</v>
      </c>
      <c r="F1758" s="76" t="s">
        <v>900</v>
      </c>
      <c r="G1758" s="76">
        <v>5</v>
      </c>
      <c r="O1758" s="92"/>
    </row>
    <row r="1759" spans="1:15" x14ac:dyDescent="0.25">
      <c r="A1759" s="1">
        <v>1754</v>
      </c>
      <c r="B1759" s="91">
        <v>14027</v>
      </c>
      <c r="C1759" s="76" t="s">
        <v>213</v>
      </c>
      <c r="D1759" s="76" t="s">
        <v>936</v>
      </c>
      <c r="E1759" s="76" t="s">
        <v>899</v>
      </c>
      <c r="F1759" s="76" t="s">
        <v>900</v>
      </c>
      <c r="G1759" s="76">
        <v>5</v>
      </c>
      <c r="O1759" s="92"/>
    </row>
    <row r="1760" spans="1:15" x14ac:dyDescent="0.25">
      <c r="A1760" s="1">
        <v>1755</v>
      </c>
      <c r="B1760" s="91">
        <v>14028</v>
      </c>
      <c r="C1760" s="76" t="s">
        <v>213</v>
      </c>
      <c r="D1760" s="76" t="s">
        <v>938</v>
      </c>
      <c r="E1760" s="76" t="s">
        <v>899</v>
      </c>
      <c r="F1760" s="76" t="s">
        <v>900</v>
      </c>
      <c r="G1760" s="76">
        <v>5</v>
      </c>
      <c r="O1760" s="92"/>
    </row>
    <row r="1761" spans="1:15" x14ac:dyDescent="0.25">
      <c r="A1761" s="1">
        <v>1756</v>
      </c>
      <c r="B1761" s="91">
        <v>14029</v>
      </c>
      <c r="C1761" s="76" t="s">
        <v>213</v>
      </c>
      <c r="D1761" s="76" t="s">
        <v>940</v>
      </c>
      <c r="E1761" s="76" t="s">
        <v>899</v>
      </c>
      <c r="F1761" s="76" t="s">
        <v>900</v>
      </c>
      <c r="G1761" s="76">
        <v>6</v>
      </c>
      <c r="O1761" s="92"/>
    </row>
    <row r="1762" spans="1:15" x14ac:dyDescent="0.25">
      <c r="A1762" s="1">
        <v>1757</v>
      </c>
      <c r="B1762" s="91">
        <v>14030</v>
      </c>
      <c r="C1762" s="76" t="s">
        <v>213</v>
      </c>
      <c r="D1762" s="76" t="s">
        <v>936</v>
      </c>
      <c r="E1762" s="76" t="s">
        <v>899</v>
      </c>
      <c r="F1762" s="76" t="s">
        <v>900</v>
      </c>
      <c r="G1762" s="76">
        <v>5</v>
      </c>
      <c r="O1762" s="92"/>
    </row>
    <row r="1763" spans="1:15" x14ac:dyDescent="0.25">
      <c r="A1763" s="1">
        <v>1758</v>
      </c>
      <c r="B1763" s="91">
        <v>14031</v>
      </c>
      <c r="C1763" s="76" t="s">
        <v>213</v>
      </c>
      <c r="D1763" s="76" t="s">
        <v>936</v>
      </c>
      <c r="E1763" s="76" t="s">
        <v>899</v>
      </c>
      <c r="F1763" s="76" t="s">
        <v>900</v>
      </c>
      <c r="G1763" s="76">
        <v>5</v>
      </c>
      <c r="O1763" s="92"/>
    </row>
    <row r="1764" spans="1:15" x14ac:dyDescent="0.25">
      <c r="A1764" s="1">
        <v>1759</v>
      </c>
      <c r="B1764" s="91">
        <v>14032</v>
      </c>
      <c r="C1764" s="76" t="s">
        <v>213</v>
      </c>
      <c r="D1764" s="76" t="s">
        <v>936</v>
      </c>
      <c r="E1764" s="76" t="s">
        <v>899</v>
      </c>
      <c r="F1764" s="76" t="s">
        <v>900</v>
      </c>
      <c r="G1764" s="76">
        <v>5</v>
      </c>
      <c r="O1764" s="92"/>
    </row>
    <row r="1765" spans="1:15" x14ac:dyDescent="0.25">
      <c r="A1765" s="1">
        <v>1760</v>
      </c>
      <c r="B1765" s="91">
        <v>14033</v>
      </c>
      <c r="C1765" s="76" t="s">
        <v>213</v>
      </c>
      <c r="D1765" s="76" t="s">
        <v>936</v>
      </c>
      <c r="E1765" s="76" t="s">
        <v>899</v>
      </c>
      <c r="F1765" s="76" t="s">
        <v>900</v>
      </c>
      <c r="G1765" s="76">
        <v>5</v>
      </c>
      <c r="O1765" s="92"/>
    </row>
    <row r="1766" spans="1:15" x14ac:dyDescent="0.25">
      <c r="A1766" s="1">
        <v>1761</v>
      </c>
      <c r="B1766" s="91">
        <v>14034</v>
      </c>
      <c r="C1766" s="76" t="s">
        <v>213</v>
      </c>
      <c r="D1766" s="76" t="s">
        <v>936</v>
      </c>
      <c r="E1766" s="76" t="s">
        <v>899</v>
      </c>
      <c r="F1766" s="76" t="s">
        <v>900</v>
      </c>
      <c r="G1766" s="76">
        <v>5</v>
      </c>
      <c r="O1766" s="92"/>
    </row>
    <row r="1767" spans="1:15" x14ac:dyDescent="0.25">
      <c r="A1767" s="1">
        <v>1762</v>
      </c>
      <c r="B1767" s="91">
        <v>14035</v>
      </c>
      <c r="C1767" s="76" t="s">
        <v>213</v>
      </c>
      <c r="D1767" s="76" t="s">
        <v>936</v>
      </c>
      <c r="E1767" s="76" t="s">
        <v>899</v>
      </c>
      <c r="F1767" s="76" t="s">
        <v>900</v>
      </c>
      <c r="G1767" s="76">
        <v>5</v>
      </c>
      <c r="O1767" s="92"/>
    </row>
    <row r="1768" spans="1:15" x14ac:dyDescent="0.25">
      <c r="A1768" s="1">
        <v>1763</v>
      </c>
      <c r="B1768" s="91">
        <v>14036</v>
      </c>
      <c r="C1768" s="76" t="s">
        <v>213</v>
      </c>
      <c r="D1768" s="76" t="s">
        <v>937</v>
      </c>
      <c r="E1768" s="76" t="s">
        <v>899</v>
      </c>
      <c r="F1768" s="76" t="s">
        <v>900</v>
      </c>
      <c r="G1768" s="76">
        <v>5</v>
      </c>
      <c r="O1768" s="92"/>
    </row>
    <row r="1769" spans="1:15" x14ac:dyDescent="0.25">
      <c r="A1769" s="1">
        <v>1764</v>
      </c>
      <c r="B1769" s="91">
        <v>14037</v>
      </c>
      <c r="C1769" s="76" t="s">
        <v>213</v>
      </c>
      <c r="D1769" s="76" t="s">
        <v>939</v>
      </c>
      <c r="E1769" s="76" t="s">
        <v>899</v>
      </c>
      <c r="F1769" s="76" t="s">
        <v>900</v>
      </c>
      <c r="G1769" s="76">
        <v>6</v>
      </c>
      <c r="O1769" s="92"/>
    </row>
    <row r="1770" spans="1:15" x14ac:dyDescent="0.25">
      <c r="A1770" s="1">
        <v>1765</v>
      </c>
      <c r="B1770" s="91">
        <v>14038</v>
      </c>
      <c r="C1770" s="76" t="s">
        <v>213</v>
      </c>
      <c r="D1770" s="76" t="s">
        <v>936</v>
      </c>
      <c r="E1770" s="76" t="s">
        <v>899</v>
      </c>
      <c r="F1770" s="76" t="s">
        <v>900</v>
      </c>
      <c r="G1770" s="76">
        <v>5</v>
      </c>
      <c r="O1770" s="92"/>
    </row>
    <row r="1771" spans="1:15" x14ac:dyDescent="0.25">
      <c r="A1771" s="1">
        <v>1766</v>
      </c>
      <c r="B1771" s="91">
        <v>14039</v>
      </c>
      <c r="C1771" s="76" t="s">
        <v>213</v>
      </c>
      <c r="D1771" s="76" t="s">
        <v>939</v>
      </c>
      <c r="E1771" s="76" t="s">
        <v>899</v>
      </c>
      <c r="F1771" s="76" t="s">
        <v>900</v>
      </c>
      <c r="G1771" s="76">
        <v>6</v>
      </c>
      <c r="O1771" s="92"/>
    </row>
    <row r="1772" spans="1:15" x14ac:dyDescent="0.25">
      <c r="A1772" s="1">
        <v>1767</v>
      </c>
      <c r="B1772" s="91">
        <v>14040</v>
      </c>
      <c r="C1772" s="76" t="s">
        <v>213</v>
      </c>
      <c r="D1772" s="76" t="s">
        <v>937</v>
      </c>
      <c r="E1772" s="76" t="s">
        <v>899</v>
      </c>
      <c r="F1772" s="76" t="s">
        <v>900</v>
      </c>
      <c r="G1772" s="76">
        <v>5</v>
      </c>
      <c r="O1772" s="92"/>
    </row>
    <row r="1773" spans="1:15" x14ac:dyDescent="0.25">
      <c r="A1773" s="1">
        <v>1768</v>
      </c>
      <c r="B1773" s="91">
        <v>14041</v>
      </c>
      <c r="C1773" s="76" t="s">
        <v>213</v>
      </c>
      <c r="D1773" s="76" t="s">
        <v>941</v>
      </c>
      <c r="E1773" s="76" t="s">
        <v>899</v>
      </c>
      <c r="F1773" s="76" t="s">
        <v>900</v>
      </c>
      <c r="G1773" s="76">
        <v>6</v>
      </c>
      <c r="O1773" s="92"/>
    </row>
    <row r="1774" spans="1:15" x14ac:dyDescent="0.25">
      <c r="A1774" s="1">
        <v>1769</v>
      </c>
      <c r="B1774" s="91">
        <v>14042</v>
      </c>
      <c r="C1774" s="76" t="s">
        <v>213</v>
      </c>
      <c r="D1774" s="76" t="s">
        <v>941</v>
      </c>
      <c r="E1774" s="76" t="s">
        <v>899</v>
      </c>
      <c r="F1774" s="76" t="s">
        <v>900</v>
      </c>
      <c r="G1774" s="76">
        <v>6</v>
      </c>
      <c r="O1774" s="92"/>
    </row>
    <row r="1775" spans="1:15" x14ac:dyDescent="0.25">
      <c r="A1775" s="1">
        <v>1770</v>
      </c>
      <c r="B1775" s="91">
        <v>14043</v>
      </c>
      <c r="C1775" s="76" t="s">
        <v>213</v>
      </c>
      <c r="D1775" s="76" t="s">
        <v>936</v>
      </c>
      <c r="E1775" s="76" t="s">
        <v>899</v>
      </c>
      <c r="F1775" s="76" t="s">
        <v>900</v>
      </c>
      <c r="G1775" s="76">
        <v>5</v>
      </c>
      <c r="O1775" s="92"/>
    </row>
    <row r="1776" spans="1:15" x14ac:dyDescent="0.25">
      <c r="A1776" s="1">
        <v>1771</v>
      </c>
      <c r="B1776" s="91">
        <v>14047</v>
      </c>
      <c r="C1776" s="76" t="s">
        <v>213</v>
      </c>
      <c r="D1776" s="76" t="s">
        <v>936</v>
      </c>
      <c r="E1776" s="76" t="s">
        <v>899</v>
      </c>
      <c r="F1776" s="76" t="s">
        <v>900</v>
      </c>
      <c r="G1776" s="76">
        <v>5</v>
      </c>
      <c r="O1776" s="92"/>
    </row>
    <row r="1777" spans="1:15" x14ac:dyDescent="0.25">
      <c r="A1777" s="1">
        <v>1772</v>
      </c>
      <c r="B1777" s="91">
        <v>14048</v>
      </c>
      <c r="C1777" s="76" t="s">
        <v>213</v>
      </c>
      <c r="D1777" s="76" t="s">
        <v>942</v>
      </c>
      <c r="E1777" s="76" t="s">
        <v>899</v>
      </c>
      <c r="F1777" s="76" t="s">
        <v>900</v>
      </c>
      <c r="G1777" s="76">
        <v>5</v>
      </c>
      <c r="O1777" s="92"/>
    </row>
    <row r="1778" spans="1:15" x14ac:dyDescent="0.25">
      <c r="A1778" s="1">
        <v>1773</v>
      </c>
      <c r="B1778" s="91">
        <v>14051</v>
      </c>
      <c r="C1778" s="76" t="s">
        <v>213</v>
      </c>
      <c r="D1778" s="76" t="s">
        <v>936</v>
      </c>
      <c r="E1778" s="76" t="s">
        <v>899</v>
      </c>
      <c r="F1778" s="76" t="s">
        <v>900</v>
      </c>
      <c r="G1778" s="76">
        <v>5</v>
      </c>
      <c r="O1778" s="92"/>
    </row>
    <row r="1779" spans="1:15" x14ac:dyDescent="0.25">
      <c r="A1779" s="1">
        <v>1774</v>
      </c>
      <c r="B1779" s="91">
        <v>14052</v>
      </c>
      <c r="C1779" s="76" t="s">
        <v>213</v>
      </c>
      <c r="D1779" s="76" t="s">
        <v>936</v>
      </c>
      <c r="E1779" s="76" t="s">
        <v>899</v>
      </c>
      <c r="F1779" s="76" t="s">
        <v>900</v>
      </c>
      <c r="G1779" s="76">
        <v>5</v>
      </c>
      <c r="O1779" s="92"/>
    </row>
    <row r="1780" spans="1:15" x14ac:dyDescent="0.25">
      <c r="A1780" s="1">
        <v>1775</v>
      </c>
      <c r="B1780" s="91">
        <v>14054</v>
      </c>
      <c r="C1780" s="76" t="s">
        <v>213</v>
      </c>
      <c r="D1780" s="76" t="s">
        <v>937</v>
      </c>
      <c r="E1780" s="76" t="s">
        <v>899</v>
      </c>
      <c r="F1780" s="76" t="s">
        <v>900</v>
      </c>
      <c r="G1780" s="76">
        <v>5</v>
      </c>
      <c r="O1780" s="92"/>
    </row>
    <row r="1781" spans="1:15" x14ac:dyDescent="0.25">
      <c r="A1781" s="1">
        <v>1776</v>
      </c>
      <c r="B1781" s="91">
        <v>14055</v>
      </c>
      <c r="C1781" s="76" t="s">
        <v>213</v>
      </c>
      <c r="D1781" s="76" t="s">
        <v>936</v>
      </c>
      <c r="E1781" s="76" t="s">
        <v>899</v>
      </c>
      <c r="F1781" s="76" t="s">
        <v>900</v>
      </c>
      <c r="G1781" s="76">
        <v>5</v>
      </c>
      <c r="O1781" s="92"/>
    </row>
    <row r="1782" spans="1:15" x14ac:dyDescent="0.25">
      <c r="A1782" s="1">
        <v>1777</v>
      </c>
      <c r="B1782" s="91">
        <v>14056</v>
      </c>
      <c r="C1782" s="76" t="s">
        <v>213</v>
      </c>
      <c r="D1782" s="76" t="s">
        <v>937</v>
      </c>
      <c r="E1782" s="76" t="s">
        <v>899</v>
      </c>
      <c r="F1782" s="76" t="s">
        <v>900</v>
      </c>
      <c r="G1782" s="76">
        <v>5</v>
      </c>
      <c r="O1782" s="92"/>
    </row>
    <row r="1783" spans="1:15" x14ac:dyDescent="0.25">
      <c r="A1783" s="1">
        <v>1778</v>
      </c>
      <c r="B1783" s="91">
        <v>14057</v>
      </c>
      <c r="C1783" s="76" t="s">
        <v>213</v>
      </c>
      <c r="D1783" s="76" t="s">
        <v>936</v>
      </c>
      <c r="E1783" s="76" t="s">
        <v>899</v>
      </c>
      <c r="F1783" s="76" t="s">
        <v>900</v>
      </c>
      <c r="G1783" s="76">
        <v>5</v>
      </c>
      <c r="O1783" s="92"/>
    </row>
    <row r="1784" spans="1:15" x14ac:dyDescent="0.25">
      <c r="A1784" s="1">
        <v>1779</v>
      </c>
      <c r="B1784" s="91">
        <v>14058</v>
      </c>
      <c r="C1784" s="76" t="s">
        <v>213</v>
      </c>
      <c r="D1784" s="76" t="s">
        <v>937</v>
      </c>
      <c r="E1784" s="76" t="s">
        <v>899</v>
      </c>
      <c r="F1784" s="76" t="s">
        <v>900</v>
      </c>
      <c r="G1784" s="76">
        <v>5</v>
      </c>
      <c r="O1784" s="92"/>
    </row>
    <row r="1785" spans="1:15" x14ac:dyDescent="0.25">
      <c r="A1785" s="1">
        <v>1780</v>
      </c>
      <c r="B1785" s="91">
        <v>14059</v>
      </c>
      <c r="C1785" s="76" t="s">
        <v>213</v>
      </c>
      <c r="D1785" s="76" t="s">
        <v>936</v>
      </c>
      <c r="E1785" s="76" t="s">
        <v>899</v>
      </c>
      <c r="F1785" s="76" t="s">
        <v>900</v>
      </c>
      <c r="G1785" s="76">
        <v>5</v>
      </c>
      <c r="O1785" s="92"/>
    </row>
    <row r="1786" spans="1:15" x14ac:dyDescent="0.25">
      <c r="A1786" s="1">
        <v>1781</v>
      </c>
      <c r="B1786" s="91">
        <v>14060</v>
      </c>
      <c r="C1786" s="76" t="s">
        <v>213</v>
      </c>
      <c r="D1786" s="76" t="s">
        <v>941</v>
      </c>
      <c r="E1786" s="76" t="s">
        <v>899</v>
      </c>
      <c r="F1786" s="76" t="s">
        <v>900</v>
      </c>
      <c r="G1786" s="76">
        <v>6</v>
      </c>
      <c r="O1786" s="92"/>
    </row>
    <row r="1787" spans="1:15" x14ac:dyDescent="0.25">
      <c r="A1787" s="1">
        <v>1782</v>
      </c>
      <c r="B1787" s="91">
        <v>14061</v>
      </c>
      <c r="C1787" s="76" t="s">
        <v>213</v>
      </c>
      <c r="D1787" s="76" t="s">
        <v>936</v>
      </c>
      <c r="E1787" s="76" t="s">
        <v>899</v>
      </c>
      <c r="F1787" s="76" t="s">
        <v>900</v>
      </c>
      <c r="G1787" s="76">
        <v>5</v>
      </c>
      <c r="O1787" s="92"/>
    </row>
    <row r="1788" spans="1:15" x14ac:dyDescent="0.25">
      <c r="A1788" s="1">
        <v>1783</v>
      </c>
      <c r="B1788" s="91">
        <v>14062</v>
      </c>
      <c r="C1788" s="76" t="s">
        <v>213</v>
      </c>
      <c r="D1788" s="76" t="s">
        <v>942</v>
      </c>
      <c r="E1788" s="76" t="s">
        <v>899</v>
      </c>
      <c r="F1788" s="76" t="s">
        <v>900</v>
      </c>
      <c r="G1788" s="76">
        <v>5</v>
      </c>
      <c r="O1788" s="92"/>
    </row>
    <row r="1789" spans="1:15" x14ac:dyDescent="0.25">
      <c r="A1789" s="1">
        <v>1784</v>
      </c>
      <c r="B1789" s="91">
        <v>14063</v>
      </c>
      <c r="C1789" s="76" t="s">
        <v>213</v>
      </c>
      <c r="D1789" s="76" t="s">
        <v>942</v>
      </c>
      <c r="E1789" s="76" t="s">
        <v>899</v>
      </c>
      <c r="F1789" s="76" t="s">
        <v>900</v>
      </c>
      <c r="G1789" s="76">
        <v>5</v>
      </c>
      <c r="O1789" s="92"/>
    </row>
    <row r="1790" spans="1:15" x14ac:dyDescent="0.25">
      <c r="A1790" s="1">
        <v>1785</v>
      </c>
      <c r="B1790" s="91">
        <v>14065</v>
      </c>
      <c r="C1790" s="76" t="s">
        <v>213</v>
      </c>
      <c r="D1790" s="76" t="s">
        <v>941</v>
      </c>
      <c r="E1790" s="76" t="s">
        <v>899</v>
      </c>
      <c r="F1790" s="76" t="s">
        <v>900</v>
      </c>
      <c r="G1790" s="76">
        <v>6</v>
      </c>
      <c r="O1790" s="92"/>
    </row>
    <row r="1791" spans="1:15" x14ac:dyDescent="0.25">
      <c r="A1791" s="1">
        <v>1786</v>
      </c>
      <c r="B1791" s="91">
        <v>14066</v>
      </c>
      <c r="C1791" s="76" t="s">
        <v>213</v>
      </c>
      <c r="D1791" s="76" t="s">
        <v>939</v>
      </c>
      <c r="E1791" s="76" t="s">
        <v>899</v>
      </c>
      <c r="F1791" s="76" t="s">
        <v>900</v>
      </c>
      <c r="G1791" s="76">
        <v>6</v>
      </c>
      <c r="O1791" s="92"/>
    </row>
    <row r="1792" spans="1:15" x14ac:dyDescent="0.25">
      <c r="A1792" s="1">
        <v>1787</v>
      </c>
      <c r="B1792" s="91">
        <v>14067</v>
      </c>
      <c r="C1792" s="76" t="s">
        <v>213</v>
      </c>
      <c r="D1792" s="76" t="s">
        <v>938</v>
      </c>
      <c r="E1792" s="76" t="s">
        <v>899</v>
      </c>
      <c r="F1792" s="76" t="s">
        <v>900</v>
      </c>
      <c r="G1792" s="76">
        <v>5</v>
      </c>
      <c r="O1792" s="92"/>
    </row>
    <row r="1793" spans="1:15" x14ac:dyDescent="0.25">
      <c r="A1793" s="1">
        <v>1788</v>
      </c>
      <c r="B1793" s="91">
        <v>14068</v>
      </c>
      <c r="C1793" s="76" t="s">
        <v>213</v>
      </c>
      <c r="D1793" s="76" t="s">
        <v>936</v>
      </c>
      <c r="E1793" s="76" t="s">
        <v>899</v>
      </c>
      <c r="F1793" s="76" t="s">
        <v>900</v>
      </c>
      <c r="G1793" s="76">
        <v>5</v>
      </c>
      <c r="O1793" s="92"/>
    </row>
    <row r="1794" spans="1:15" x14ac:dyDescent="0.25">
      <c r="A1794" s="1">
        <v>1789</v>
      </c>
      <c r="B1794" s="91">
        <v>14069</v>
      </c>
      <c r="C1794" s="76" t="s">
        <v>213</v>
      </c>
      <c r="D1794" s="76" t="s">
        <v>936</v>
      </c>
      <c r="E1794" s="76" t="s">
        <v>899</v>
      </c>
      <c r="F1794" s="76" t="s">
        <v>900</v>
      </c>
      <c r="G1794" s="76">
        <v>5</v>
      </c>
      <c r="O1794" s="92"/>
    </row>
    <row r="1795" spans="1:15" x14ac:dyDescent="0.25">
      <c r="A1795" s="1">
        <v>1790</v>
      </c>
      <c r="B1795" s="91">
        <v>14070</v>
      </c>
      <c r="C1795" s="76" t="s">
        <v>213</v>
      </c>
      <c r="D1795" s="76" t="s">
        <v>941</v>
      </c>
      <c r="E1795" s="76" t="s">
        <v>899</v>
      </c>
      <c r="F1795" s="76" t="s">
        <v>900</v>
      </c>
      <c r="G1795" s="76">
        <v>6</v>
      </c>
      <c r="O1795" s="92"/>
    </row>
    <row r="1796" spans="1:15" x14ac:dyDescent="0.25">
      <c r="A1796" s="1">
        <v>1791</v>
      </c>
      <c r="B1796" s="91">
        <v>14072</v>
      </c>
      <c r="C1796" s="76" t="s">
        <v>213</v>
      </c>
      <c r="D1796" s="76" t="s">
        <v>936</v>
      </c>
      <c r="E1796" s="76" t="s">
        <v>899</v>
      </c>
      <c r="F1796" s="76" t="s">
        <v>900</v>
      </c>
      <c r="G1796" s="76">
        <v>5</v>
      </c>
      <c r="O1796" s="92"/>
    </row>
    <row r="1797" spans="1:15" x14ac:dyDescent="0.25">
      <c r="A1797" s="1">
        <v>1792</v>
      </c>
      <c r="B1797" s="91">
        <v>14075</v>
      </c>
      <c r="C1797" s="76" t="s">
        <v>213</v>
      </c>
      <c r="D1797" s="76" t="s">
        <v>936</v>
      </c>
      <c r="E1797" s="76" t="s">
        <v>899</v>
      </c>
      <c r="F1797" s="76" t="s">
        <v>900</v>
      </c>
      <c r="G1797" s="76">
        <v>5</v>
      </c>
      <c r="O1797" s="92"/>
    </row>
    <row r="1798" spans="1:15" x14ac:dyDescent="0.25">
      <c r="A1798" s="1">
        <v>1793</v>
      </c>
      <c r="B1798" s="91">
        <v>14080</v>
      </c>
      <c r="C1798" s="76" t="s">
        <v>213</v>
      </c>
      <c r="D1798" s="76" t="s">
        <v>936</v>
      </c>
      <c r="E1798" s="76" t="s">
        <v>899</v>
      </c>
      <c r="F1798" s="76" t="s">
        <v>900</v>
      </c>
      <c r="G1798" s="76">
        <v>5</v>
      </c>
      <c r="O1798" s="92"/>
    </row>
    <row r="1799" spans="1:15" x14ac:dyDescent="0.25">
      <c r="A1799" s="1">
        <v>1794</v>
      </c>
      <c r="B1799" s="91">
        <v>14081</v>
      </c>
      <c r="C1799" s="76" t="s">
        <v>213</v>
      </c>
      <c r="D1799" s="76" t="s">
        <v>936</v>
      </c>
      <c r="E1799" s="76" t="s">
        <v>899</v>
      </c>
      <c r="F1799" s="76" t="s">
        <v>900</v>
      </c>
      <c r="G1799" s="76">
        <v>5</v>
      </c>
      <c r="O1799" s="92"/>
    </row>
    <row r="1800" spans="1:15" x14ac:dyDescent="0.25">
      <c r="A1800" s="1">
        <v>1795</v>
      </c>
      <c r="B1800" s="91">
        <v>14082</v>
      </c>
      <c r="C1800" s="76" t="s">
        <v>213</v>
      </c>
      <c r="D1800" s="76" t="s">
        <v>939</v>
      </c>
      <c r="E1800" s="76" t="s">
        <v>899</v>
      </c>
      <c r="F1800" s="76" t="s">
        <v>900</v>
      </c>
      <c r="G1800" s="76">
        <v>6</v>
      </c>
      <c r="O1800" s="92"/>
    </row>
    <row r="1801" spans="1:15" x14ac:dyDescent="0.25">
      <c r="A1801" s="1">
        <v>1796</v>
      </c>
      <c r="B1801" s="91">
        <v>14083</v>
      </c>
      <c r="C1801" s="76" t="s">
        <v>213</v>
      </c>
      <c r="D1801" s="76" t="s">
        <v>939</v>
      </c>
      <c r="E1801" s="76" t="s">
        <v>899</v>
      </c>
      <c r="F1801" s="76" t="s">
        <v>900</v>
      </c>
      <c r="G1801" s="76">
        <v>6</v>
      </c>
      <c r="O1801" s="92"/>
    </row>
    <row r="1802" spans="1:15" x14ac:dyDescent="0.25">
      <c r="A1802" s="1">
        <v>1797</v>
      </c>
      <c r="B1802" s="91">
        <v>14085</v>
      </c>
      <c r="C1802" s="76" t="s">
        <v>213</v>
      </c>
      <c r="D1802" s="76" t="s">
        <v>936</v>
      </c>
      <c r="E1802" s="76" t="s">
        <v>899</v>
      </c>
      <c r="F1802" s="76" t="s">
        <v>900</v>
      </c>
      <c r="G1802" s="76">
        <v>5</v>
      </c>
      <c r="O1802" s="92"/>
    </row>
    <row r="1803" spans="1:15" x14ac:dyDescent="0.25">
      <c r="A1803" s="1">
        <v>1798</v>
      </c>
      <c r="B1803" s="91">
        <v>14086</v>
      </c>
      <c r="C1803" s="76" t="s">
        <v>213</v>
      </c>
      <c r="D1803" s="76" t="s">
        <v>936</v>
      </c>
      <c r="E1803" s="76" t="s">
        <v>899</v>
      </c>
      <c r="F1803" s="76" t="s">
        <v>900</v>
      </c>
      <c r="G1803" s="76">
        <v>5</v>
      </c>
      <c r="O1803" s="92"/>
    </row>
    <row r="1804" spans="1:15" x14ac:dyDescent="0.25">
      <c r="A1804" s="1">
        <v>1799</v>
      </c>
      <c r="B1804" s="91">
        <v>14091</v>
      </c>
      <c r="C1804" s="76" t="s">
        <v>213</v>
      </c>
      <c r="D1804" s="76" t="s">
        <v>936</v>
      </c>
      <c r="E1804" s="76" t="s">
        <v>899</v>
      </c>
      <c r="F1804" s="76" t="s">
        <v>900</v>
      </c>
      <c r="G1804" s="76">
        <v>5</v>
      </c>
      <c r="O1804" s="92"/>
    </row>
    <row r="1805" spans="1:15" x14ac:dyDescent="0.25">
      <c r="A1805" s="1">
        <v>1800</v>
      </c>
      <c r="B1805" s="91">
        <v>14092</v>
      </c>
      <c r="C1805" s="76" t="s">
        <v>213</v>
      </c>
      <c r="D1805" s="76" t="s">
        <v>938</v>
      </c>
      <c r="E1805" s="76" t="s">
        <v>899</v>
      </c>
      <c r="F1805" s="76" t="s">
        <v>900</v>
      </c>
      <c r="G1805" s="76">
        <v>5</v>
      </c>
      <c r="O1805" s="92"/>
    </row>
    <row r="1806" spans="1:15" x14ac:dyDescent="0.25">
      <c r="A1806" s="1">
        <v>1801</v>
      </c>
      <c r="B1806" s="91">
        <v>14094</v>
      </c>
      <c r="C1806" s="76" t="s">
        <v>213</v>
      </c>
      <c r="D1806" s="76" t="s">
        <v>938</v>
      </c>
      <c r="E1806" s="76" t="s">
        <v>899</v>
      </c>
      <c r="F1806" s="76" t="s">
        <v>900</v>
      </c>
      <c r="G1806" s="76">
        <v>5</v>
      </c>
      <c r="O1806" s="92"/>
    </row>
    <row r="1807" spans="1:15" x14ac:dyDescent="0.25">
      <c r="A1807" s="1">
        <v>1802</v>
      </c>
      <c r="B1807" s="91">
        <v>14095</v>
      </c>
      <c r="C1807" s="76" t="s">
        <v>213</v>
      </c>
      <c r="D1807" s="76" t="s">
        <v>938</v>
      </c>
      <c r="E1807" s="76" t="s">
        <v>899</v>
      </c>
      <c r="F1807" s="76" t="s">
        <v>900</v>
      </c>
      <c r="G1807" s="76">
        <v>5</v>
      </c>
      <c r="O1807" s="92"/>
    </row>
    <row r="1808" spans="1:15" x14ac:dyDescent="0.25">
      <c r="A1808" s="1">
        <v>1803</v>
      </c>
      <c r="B1808" s="91">
        <v>14098</v>
      </c>
      <c r="C1808" s="76" t="s">
        <v>213</v>
      </c>
      <c r="D1808" s="76" t="s">
        <v>943</v>
      </c>
      <c r="E1808" s="76" t="s">
        <v>899</v>
      </c>
      <c r="F1808" s="76" t="s">
        <v>900</v>
      </c>
      <c r="G1808" s="76">
        <v>5</v>
      </c>
      <c r="O1808" s="92"/>
    </row>
    <row r="1809" spans="1:15" x14ac:dyDescent="0.25">
      <c r="A1809" s="1">
        <v>1804</v>
      </c>
      <c r="B1809" s="91">
        <v>14101</v>
      </c>
      <c r="C1809" s="76" t="s">
        <v>213</v>
      </c>
      <c r="D1809" s="76" t="s">
        <v>941</v>
      </c>
      <c r="E1809" s="76" t="s">
        <v>899</v>
      </c>
      <c r="F1809" s="76" t="s">
        <v>900</v>
      </c>
      <c r="G1809" s="76">
        <v>6</v>
      </c>
      <c r="O1809" s="92"/>
    </row>
    <row r="1810" spans="1:15" x14ac:dyDescent="0.25">
      <c r="A1810" s="1">
        <v>1805</v>
      </c>
      <c r="B1810" s="91">
        <v>14102</v>
      </c>
      <c r="C1810" s="76" t="s">
        <v>213</v>
      </c>
      <c r="D1810" s="76" t="s">
        <v>936</v>
      </c>
      <c r="E1810" s="76" t="s">
        <v>899</v>
      </c>
      <c r="F1810" s="76" t="s">
        <v>900</v>
      </c>
      <c r="G1810" s="76">
        <v>5</v>
      </c>
      <c r="O1810" s="92"/>
    </row>
    <row r="1811" spans="1:15" x14ac:dyDescent="0.25">
      <c r="A1811" s="1">
        <v>1806</v>
      </c>
      <c r="B1811" s="91">
        <v>14103</v>
      </c>
      <c r="C1811" s="76" t="s">
        <v>213</v>
      </c>
      <c r="D1811" s="76" t="s">
        <v>943</v>
      </c>
      <c r="E1811" s="76" t="s">
        <v>899</v>
      </c>
      <c r="F1811" s="76" t="s">
        <v>900</v>
      </c>
      <c r="G1811" s="76">
        <v>5</v>
      </c>
      <c r="O1811" s="92"/>
    </row>
    <row r="1812" spans="1:15" x14ac:dyDescent="0.25">
      <c r="A1812" s="1">
        <v>1807</v>
      </c>
      <c r="B1812" s="91">
        <v>14105</v>
      </c>
      <c r="C1812" s="76" t="s">
        <v>213</v>
      </c>
      <c r="D1812" s="76" t="s">
        <v>938</v>
      </c>
      <c r="E1812" s="76" t="s">
        <v>899</v>
      </c>
      <c r="F1812" s="76" t="s">
        <v>900</v>
      </c>
      <c r="G1812" s="76">
        <v>5</v>
      </c>
      <c r="O1812" s="92"/>
    </row>
    <row r="1813" spans="1:15" x14ac:dyDescent="0.25">
      <c r="A1813" s="1">
        <v>1808</v>
      </c>
      <c r="B1813" s="91">
        <v>14107</v>
      </c>
      <c r="C1813" s="76" t="s">
        <v>213</v>
      </c>
      <c r="D1813" s="76" t="s">
        <v>938</v>
      </c>
      <c r="E1813" s="76" t="s">
        <v>899</v>
      </c>
      <c r="F1813" s="76" t="s">
        <v>900</v>
      </c>
      <c r="G1813" s="76">
        <v>5</v>
      </c>
      <c r="O1813" s="92"/>
    </row>
    <row r="1814" spans="1:15" x14ac:dyDescent="0.25">
      <c r="A1814" s="1">
        <v>1809</v>
      </c>
      <c r="B1814" s="91">
        <v>14108</v>
      </c>
      <c r="C1814" s="76" t="s">
        <v>213</v>
      </c>
      <c r="D1814" s="76" t="s">
        <v>938</v>
      </c>
      <c r="E1814" s="76" t="s">
        <v>899</v>
      </c>
      <c r="F1814" s="76" t="s">
        <v>900</v>
      </c>
      <c r="G1814" s="76">
        <v>5</v>
      </c>
      <c r="O1814" s="92"/>
    </row>
    <row r="1815" spans="1:15" x14ac:dyDescent="0.25">
      <c r="A1815" s="1">
        <v>1810</v>
      </c>
      <c r="B1815" s="91">
        <v>14109</v>
      </c>
      <c r="C1815" s="76" t="s">
        <v>213</v>
      </c>
      <c r="D1815" s="76" t="s">
        <v>938</v>
      </c>
      <c r="E1815" s="76" t="s">
        <v>899</v>
      </c>
      <c r="F1815" s="76" t="s">
        <v>900</v>
      </c>
      <c r="G1815" s="76">
        <v>5</v>
      </c>
      <c r="O1815" s="92"/>
    </row>
    <row r="1816" spans="1:15" x14ac:dyDescent="0.25">
      <c r="A1816" s="1">
        <v>1811</v>
      </c>
      <c r="B1816" s="91">
        <v>14110</v>
      </c>
      <c r="C1816" s="76" t="s">
        <v>213</v>
      </c>
      <c r="D1816" s="76" t="s">
        <v>936</v>
      </c>
      <c r="E1816" s="76" t="s">
        <v>899</v>
      </c>
      <c r="F1816" s="76" t="s">
        <v>900</v>
      </c>
      <c r="G1816" s="76">
        <v>5</v>
      </c>
      <c r="O1816" s="92"/>
    </row>
    <row r="1817" spans="1:15" x14ac:dyDescent="0.25">
      <c r="A1817" s="1">
        <v>1812</v>
      </c>
      <c r="B1817" s="91">
        <v>14111</v>
      </c>
      <c r="C1817" s="76" t="s">
        <v>213</v>
      </c>
      <c r="D1817" s="76" t="s">
        <v>936</v>
      </c>
      <c r="E1817" s="76" t="s">
        <v>899</v>
      </c>
      <c r="F1817" s="76" t="s">
        <v>900</v>
      </c>
      <c r="G1817" s="76">
        <v>5</v>
      </c>
      <c r="O1817" s="92"/>
    </row>
    <row r="1818" spans="1:15" x14ac:dyDescent="0.25">
      <c r="A1818" s="1">
        <v>1813</v>
      </c>
      <c r="B1818" s="91">
        <v>14112</v>
      </c>
      <c r="C1818" s="76" t="s">
        <v>213</v>
      </c>
      <c r="D1818" s="76" t="s">
        <v>936</v>
      </c>
      <c r="E1818" s="76" t="s">
        <v>899</v>
      </c>
      <c r="F1818" s="76" t="s">
        <v>900</v>
      </c>
      <c r="G1818" s="76">
        <v>5</v>
      </c>
      <c r="O1818" s="92"/>
    </row>
    <row r="1819" spans="1:15" x14ac:dyDescent="0.25">
      <c r="A1819" s="1">
        <v>1814</v>
      </c>
      <c r="B1819" s="91">
        <v>14113</v>
      </c>
      <c r="C1819" s="76" t="s">
        <v>213</v>
      </c>
      <c r="D1819" s="76" t="s">
        <v>939</v>
      </c>
      <c r="E1819" s="76" t="s">
        <v>899</v>
      </c>
      <c r="F1819" s="76" t="s">
        <v>900</v>
      </c>
      <c r="G1819" s="76">
        <v>6</v>
      </c>
      <c r="O1819" s="92"/>
    </row>
    <row r="1820" spans="1:15" x14ac:dyDescent="0.25">
      <c r="A1820" s="1">
        <v>1815</v>
      </c>
      <c r="B1820" s="91">
        <v>14120</v>
      </c>
      <c r="C1820" s="76" t="s">
        <v>213</v>
      </c>
      <c r="D1820" s="76" t="s">
        <v>938</v>
      </c>
      <c r="E1820" s="76" t="s">
        <v>899</v>
      </c>
      <c r="F1820" s="76" t="s">
        <v>900</v>
      </c>
      <c r="G1820" s="76">
        <v>5</v>
      </c>
      <c r="O1820" s="92"/>
    </row>
    <row r="1821" spans="1:15" x14ac:dyDescent="0.25">
      <c r="A1821" s="1">
        <v>1816</v>
      </c>
      <c r="B1821" s="91">
        <v>14125</v>
      </c>
      <c r="C1821" s="76" t="s">
        <v>213</v>
      </c>
      <c r="D1821" s="76" t="s">
        <v>937</v>
      </c>
      <c r="E1821" s="76" t="s">
        <v>899</v>
      </c>
      <c r="F1821" s="76" t="s">
        <v>900</v>
      </c>
      <c r="G1821" s="76">
        <v>5</v>
      </c>
      <c r="O1821" s="92"/>
    </row>
    <row r="1822" spans="1:15" x14ac:dyDescent="0.25">
      <c r="A1822" s="1">
        <v>1817</v>
      </c>
      <c r="B1822" s="91">
        <v>14126</v>
      </c>
      <c r="C1822" s="76" t="s">
        <v>213</v>
      </c>
      <c r="D1822" s="76" t="s">
        <v>938</v>
      </c>
      <c r="E1822" s="76" t="s">
        <v>899</v>
      </c>
      <c r="F1822" s="76" t="s">
        <v>900</v>
      </c>
      <c r="G1822" s="76">
        <v>5</v>
      </c>
      <c r="O1822" s="92"/>
    </row>
    <row r="1823" spans="1:15" x14ac:dyDescent="0.25">
      <c r="A1823" s="1">
        <v>1818</v>
      </c>
      <c r="B1823" s="91">
        <v>14127</v>
      </c>
      <c r="C1823" s="76" t="s">
        <v>213</v>
      </c>
      <c r="D1823" s="76" t="s">
        <v>936</v>
      </c>
      <c r="E1823" s="76" t="s">
        <v>899</v>
      </c>
      <c r="F1823" s="76" t="s">
        <v>900</v>
      </c>
      <c r="G1823" s="76">
        <v>5</v>
      </c>
      <c r="O1823" s="92"/>
    </row>
    <row r="1824" spans="1:15" x14ac:dyDescent="0.25">
      <c r="A1824" s="1">
        <v>1819</v>
      </c>
      <c r="B1824" s="91">
        <v>14129</v>
      </c>
      <c r="C1824" s="76" t="s">
        <v>213</v>
      </c>
      <c r="D1824" s="76" t="s">
        <v>941</v>
      </c>
      <c r="E1824" s="76" t="s">
        <v>899</v>
      </c>
      <c r="F1824" s="76" t="s">
        <v>900</v>
      </c>
      <c r="G1824" s="76">
        <v>6</v>
      </c>
      <c r="O1824" s="92"/>
    </row>
    <row r="1825" spans="1:15" x14ac:dyDescent="0.25">
      <c r="A1825" s="1">
        <v>1820</v>
      </c>
      <c r="B1825" s="91">
        <v>14130</v>
      </c>
      <c r="C1825" s="76" t="s">
        <v>213</v>
      </c>
      <c r="D1825" s="76" t="s">
        <v>939</v>
      </c>
      <c r="E1825" s="76" t="s">
        <v>899</v>
      </c>
      <c r="F1825" s="76" t="s">
        <v>900</v>
      </c>
      <c r="G1825" s="76">
        <v>6</v>
      </c>
      <c r="O1825" s="92"/>
    </row>
    <row r="1826" spans="1:15" x14ac:dyDescent="0.25">
      <c r="A1826" s="1">
        <v>1821</v>
      </c>
      <c r="B1826" s="91">
        <v>14131</v>
      </c>
      <c r="C1826" s="76" t="s">
        <v>213</v>
      </c>
      <c r="D1826" s="76" t="s">
        <v>938</v>
      </c>
      <c r="E1826" s="76" t="s">
        <v>899</v>
      </c>
      <c r="F1826" s="76" t="s">
        <v>900</v>
      </c>
      <c r="G1826" s="76">
        <v>5</v>
      </c>
      <c r="O1826" s="92"/>
    </row>
    <row r="1827" spans="1:15" x14ac:dyDescent="0.25">
      <c r="A1827" s="1">
        <v>1822</v>
      </c>
      <c r="B1827" s="91">
        <v>14132</v>
      </c>
      <c r="C1827" s="76" t="s">
        <v>213</v>
      </c>
      <c r="D1827" s="76" t="s">
        <v>938</v>
      </c>
      <c r="E1827" s="76" t="s">
        <v>899</v>
      </c>
      <c r="F1827" s="76" t="s">
        <v>900</v>
      </c>
      <c r="G1827" s="76">
        <v>5</v>
      </c>
      <c r="O1827" s="92"/>
    </row>
    <row r="1828" spans="1:15" x14ac:dyDescent="0.25">
      <c r="A1828" s="1">
        <v>1823</v>
      </c>
      <c r="B1828" s="91">
        <v>14133</v>
      </c>
      <c r="C1828" s="76" t="s">
        <v>213</v>
      </c>
      <c r="D1828" s="76" t="s">
        <v>941</v>
      </c>
      <c r="E1828" s="76" t="s">
        <v>899</v>
      </c>
      <c r="F1828" s="76" t="s">
        <v>900</v>
      </c>
      <c r="G1828" s="76">
        <v>6</v>
      </c>
      <c r="O1828" s="92"/>
    </row>
    <row r="1829" spans="1:15" x14ac:dyDescent="0.25">
      <c r="A1829" s="1">
        <v>1824</v>
      </c>
      <c r="B1829" s="91">
        <v>14134</v>
      </c>
      <c r="C1829" s="76" t="s">
        <v>213</v>
      </c>
      <c r="D1829" s="76" t="s">
        <v>936</v>
      </c>
      <c r="E1829" s="76" t="s">
        <v>899</v>
      </c>
      <c r="F1829" s="76" t="s">
        <v>900</v>
      </c>
      <c r="G1829" s="76">
        <v>5</v>
      </c>
      <c r="O1829" s="92"/>
    </row>
    <row r="1830" spans="1:15" x14ac:dyDescent="0.25">
      <c r="A1830" s="1">
        <v>1825</v>
      </c>
      <c r="B1830" s="91">
        <v>14135</v>
      </c>
      <c r="C1830" s="76" t="s">
        <v>213</v>
      </c>
      <c r="D1830" s="76" t="s">
        <v>942</v>
      </c>
      <c r="E1830" s="76" t="s">
        <v>899</v>
      </c>
      <c r="F1830" s="76" t="s">
        <v>900</v>
      </c>
      <c r="G1830" s="76">
        <v>5</v>
      </c>
      <c r="O1830" s="92"/>
    </row>
    <row r="1831" spans="1:15" x14ac:dyDescent="0.25">
      <c r="A1831" s="1">
        <v>1826</v>
      </c>
      <c r="B1831" s="91">
        <v>14136</v>
      </c>
      <c r="C1831" s="76" t="s">
        <v>213</v>
      </c>
      <c r="D1831" s="76" t="s">
        <v>942</v>
      </c>
      <c r="E1831" s="76" t="s">
        <v>899</v>
      </c>
      <c r="F1831" s="76" t="s">
        <v>900</v>
      </c>
      <c r="G1831" s="76">
        <v>5</v>
      </c>
      <c r="O1831" s="92"/>
    </row>
    <row r="1832" spans="1:15" x14ac:dyDescent="0.25">
      <c r="A1832" s="1">
        <v>1827</v>
      </c>
      <c r="B1832" s="91">
        <v>14138</v>
      </c>
      <c r="C1832" s="76" t="s">
        <v>213</v>
      </c>
      <c r="D1832" s="76" t="s">
        <v>941</v>
      </c>
      <c r="E1832" s="76" t="s">
        <v>899</v>
      </c>
      <c r="F1832" s="76" t="s">
        <v>900</v>
      </c>
      <c r="G1832" s="76">
        <v>6</v>
      </c>
      <c r="O1832" s="92"/>
    </row>
    <row r="1833" spans="1:15" x14ac:dyDescent="0.25">
      <c r="A1833" s="1">
        <v>1828</v>
      </c>
      <c r="B1833" s="91">
        <v>14139</v>
      </c>
      <c r="C1833" s="76" t="s">
        <v>213</v>
      </c>
      <c r="D1833" s="76" t="s">
        <v>936</v>
      </c>
      <c r="E1833" s="76" t="s">
        <v>899</v>
      </c>
      <c r="F1833" s="76" t="s">
        <v>900</v>
      </c>
      <c r="G1833" s="76">
        <v>5</v>
      </c>
      <c r="O1833" s="92"/>
    </row>
    <row r="1834" spans="1:15" x14ac:dyDescent="0.25">
      <c r="A1834" s="1">
        <v>1829</v>
      </c>
      <c r="B1834" s="91">
        <v>14140</v>
      </c>
      <c r="C1834" s="76" t="s">
        <v>213</v>
      </c>
      <c r="D1834" s="76" t="s">
        <v>936</v>
      </c>
      <c r="E1834" s="76" t="s">
        <v>899</v>
      </c>
      <c r="F1834" s="76" t="s">
        <v>900</v>
      </c>
      <c r="G1834" s="76">
        <v>5</v>
      </c>
      <c r="O1834" s="92"/>
    </row>
    <row r="1835" spans="1:15" x14ac:dyDescent="0.25">
      <c r="A1835" s="1">
        <v>1830</v>
      </c>
      <c r="B1835" s="91">
        <v>14141</v>
      </c>
      <c r="C1835" s="76" t="s">
        <v>213</v>
      </c>
      <c r="D1835" s="76" t="s">
        <v>936</v>
      </c>
      <c r="E1835" s="76" t="s">
        <v>899</v>
      </c>
      <c r="F1835" s="76" t="s">
        <v>900</v>
      </c>
      <c r="G1835" s="76">
        <v>5</v>
      </c>
      <c r="O1835" s="92"/>
    </row>
    <row r="1836" spans="1:15" x14ac:dyDescent="0.25">
      <c r="A1836" s="1">
        <v>1831</v>
      </c>
      <c r="B1836" s="91">
        <v>14143</v>
      </c>
      <c r="C1836" s="76" t="s">
        <v>213</v>
      </c>
      <c r="D1836" s="76" t="s">
        <v>937</v>
      </c>
      <c r="E1836" s="76" t="s">
        <v>899</v>
      </c>
      <c r="F1836" s="76" t="s">
        <v>900</v>
      </c>
      <c r="G1836" s="76">
        <v>5</v>
      </c>
      <c r="O1836" s="92"/>
    </row>
    <row r="1837" spans="1:15" x14ac:dyDescent="0.25">
      <c r="A1837" s="1">
        <v>1832</v>
      </c>
      <c r="B1837" s="91">
        <v>14144</v>
      </c>
      <c r="C1837" s="76" t="s">
        <v>213</v>
      </c>
      <c r="D1837" s="76" t="s">
        <v>938</v>
      </c>
      <c r="E1837" s="76" t="s">
        <v>899</v>
      </c>
      <c r="F1837" s="76" t="s">
        <v>900</v>
      </c>
      <c r="G1837" s="76">
        <v>5</v>
      </c>
      <c r="O1837" s="92"/>
    </row>
    <row r="1838" spans="1:15" x14ac:dyDescent="0.25">
      <c r="A1838" s="1">
        <v>1833</v>
      </c>
      <c r="B1838" s="91">
        <v>14145</v>
      </c>
      <c r="C1838" s="76" t="s">
        <v>213</v>
      </c>
      <c r="D1838" s="76" t="s">
        <v>939</v>
      </c>
      <c r="E1838" s="76" t="s">
        <v>899</v>
      </c>
      <c r="F1838" s="76" t="s">
        <v>900</v>
      </c>
      <c r="G1838" s="76">
        <v>6</v>
      </c>
      <c r="O1838" s="92"/>
    </row>
    <row r="1839" spans="1:15" x14ac:dyDescent="0.25">
      <c r="A1839" s="1">
        <v>1834</v>
      </c>
      <c r="B1839" s="91">
        <v>14150</v>
      </c>
      <c r="C1839" s="76" t="s">
        <v>213</v>
      </c>
      <c r="D1839" s="76" t="s">
        <v>936</v>
      </c>
      <c r="E1839" s="76" t="s">
        <v>899</v>
      </c>
      <c r="F1839" s="76" t="s">
        <v>900</v>
      </c>
      <c r="G1839" s="76">
        <v>5</v>
      </c>
      <c r="O1839" s="92"/>
    </row>
    <row r="1840" spans="1:15" x14ac:dyDescent="0.25">
      <c r="A1840" s="1">
        <v>1835</v>
      </c>
      <c r="B1840" s="91">
        <v>14151</v>
      </c>
      <c r="C1840" s="76" t="s">
        <v>213</v>
      </c>
      <c r="D1840" s="76" t="s">
        <v>936</v>
      </c>
      <c r="E1840" s="76" t="s">
        <v>899</v>
      </c>
      <c r="F1840" s="76" t="s">
        <v>900</v>
      </c>
      <c r="G1840" s="76">
        <v>5</v>
      </c>
      <c r="O1840" s="92"/>
    </row>
    <row r="1841" spans="1:15" x14ac:dyDescent="0.25">
      <c r="A1841" s="1">
        <v>1836</v>
      </c>
      <c r="B1841" s="91">
        <v>14166</v>
      </c>
      <c r="C1841" s="76" t="s">
        <v>213</v>
      </c>
      <c r="D1841" s="76" t="s">
        <v>942</v>
      </c>
      <c r="E1841" s="76" t="s">
        <v>899</v>
      </c>
      <c r="F1841" s="76" t="s">
        <v>900</v>
      </c>
      <c r="G1841" s="76">
        <v>5</v>
      </c>
      <c r="O1841" s="92"/>
    </row>
    <row r="1842" spans="1:15" x14ac:dyDescent="0.25">
      <c r="A1842" s="1">
        <v>1837</v>
      </c>
      <c r="B1842" s="91">
        <v>14167</v>
      </c>
      <c r="C1842" s="76" t="s">
        <v>213</v>
      </c>
      <c r="D1842" s="76" t="s">
        <v>939</v>
      </c>
      <c r="E1842" s="76" t="s">
        <v>899</v>
      </c>
      <c r="F1842" s="76" t="s">
        <v>900</v>
      </c>
      <c r="G1842" s="76">
        <v>6</v>
      </c>
      <c r="O1842" s="92"/>
    </row>
    <row r="1843" spans="1:15" x14ac:dyDescent="0.25">
      <c r="A1843" s="1">
        <v>1838</v>
      </c>
      <c r="B1843" s="91">
        <v>14168</v>
      </c>
      <c r="C1843" s="76" t="s">
        <v>213</v>
      </c>
      <c r="D1843" s="76" t="s">
        <v>941</v>
      </c>
      <c r="E1843" s="76" t="s">
        <v>899</v>
      </c>
      <c r="F1843" s="76" t="s">
        <v>900</v>
      </c>
      <c r="G1843" s="76">
        <v>6</v>
      </c>
      <c r="O1843" s="92"/>
    </row>
    <row r="1844" spans="1:15" x14ac:dyDescent="0.25">
      <c r="A1844" s="1">
        <v>1839</v>
      </c>
      <c r="B1844" s="91">
        <v>14169</v>
      </c>
      <c r="C1844" s="76" t="s">
        <v>213</v>
      </c>
      <c r="D1844" s="76" t="s">
        <v>936</v>
      </c>
      <c r="E1844" s="76" t="s">
        <v>899</v>
      </c>
      <c r="F1844" s="76" t="s">
        <v>900</v>
      </c>
      <c r="G1844" s="76">
        <v>5</v>
      </c>
      <c r="O1844" s="92"/>
    </row>
    <row r="1845" spans="1:15" x14ac:dyDescent="0.25">
      <c r="A1845" s="1">
        <v>1840</v>
      </c>
      <c r="B1845" s="91">
        <v>14170</v>
      </c>
      <c r="C1845" s="76" t="s">
        <v>213</v>
      </c>
      <c r="D1845" s="76" t="s">
        <v>936</v>
      </c>
      <c r="E1845" s="76" t="s">
        <v>899</v>
      </c>
      <c r="F1845" s="76" t="s">
        <v>900</v>
      </c>
      <c r="G1845" s="76">
        <v>5</v>
      </c>
      <c r="O1845" s="92"/>
    </row>
    <row r="1846" spans="1:15" x14ac:dyDescent="0.25">
      <c r="A1846" s="1">
        <v>1841</v>
      </c>
      <c r="B1846" s="91">
        <v>14171</v>
      </c>
      <c r="C1846" s="76" t="s">
        <v>213</v>
      </c>
      <c r="D1846" s="76" t="s">
        <v>941</v>
      </c>
      <c r="E1846" s="76" t="s">
        <v>899</v>
      </c>
      <c r="F1846" s="76" t="s">
        <v>900</v>
      </c>
      <c r="G1846" s="76">
        <v>6</v>
      </c>
      <c r="O1846" s="92"/>
    </row>
    <row r="1847" spans="1:15" x14ac:dyDescent="0.25">
      <c r="A1847" s="1">
        <v>1842</v>
      </c>
      <c r="B1847" s="91">
        <v>14172</v>
      </c>
      <c r="C1847" s="76" t="s">
        <v>213</v>
      </c>
      <c r="D1847" s="76" t="s">
        <v>938</v>
      </c>
      <c r="E1847" s="76" t="s">
        <v>899</v>
      </c>
      <c r="F1847" s="76" t="s">
        <v>900</v>
      </c>
      <c r="G1847" s="76">
        <v>5</v>
      </c>
      <c r="O1847" s="92"/>
    </row>
    <row r="1848" spans="1:15" x14ac:dyDescent="0.25">
      <c r="A1848" s="1">
        <v>1843</v>
      </c>
      <c r="B1848" s="91">
        <v>14173</v>
      </c>
      <c r="C1848" s="76" t="s">
        <v>213</v>
      </c>
      <c r="D1848" s="76" t="s">
        <v>941</v>
      </c>
      <c r="E1848" s="76" t="s">
        <v>899</v>
      </c>
      <c r="F1848" s="76" t="s">
        <v>900</v>
      </c>
      <c r="G1848" s="76">
        <v>6</v>
      </c>
      <c r="O1848" s="92"/>
    </row>
    <row r="1849" spans="1:15" x14ac:dyDescent="0.25">
      <c r="A1849" s="1">
        <v>1844</v>
      </c>
      <c r="B1849" s="91">
        <v>14174</v>
      </c>
      <c r="C1849" s="76" t="s">
        <v>213</v>
      </c>
      <c r="D1849" s="76" t="s">
        <v>938</v>
      </c>
      <c r="E1849" s="76" t="s">
        <v>899</v>
      </c>
      <c r="F1849" s="76" t="s">
        <v>900</v>
      </c>
      <c r="G1849" s="76">
        <v>5</v>
      </c>
      <c r="O1849" s="92"/>
    </row>
    <row r="1850" spans="1:15" x14ac:dyDescent="0.25">
      <c r="A1850" s="1">
        <v>1845</v>
      </c>
      <c r="B1850" s="91">
        <v>14201</v>
      </c>
      <c r="C1850" s="76" t="s">
        <v>213</v>
      </c>
      <c r="D1850" s="76" t="s">
        <v>936</v>
      </c>
      <c r="E1850" s="76" t="s">
        <v>899</v>
      </c>
      <c r="F1850" s="76" t="s">
        <v>900</v>
      </c>
      <c r="G1850" s="76">
        <v>5</v>
      </c>
      <c r="O1850" s="92"/>
    </row>
    <row r="1851" spans="1:15" x14ac:dyDescent="0.25">
      <c r="A1851" s="1">
        <v>1846</v>
      </c>
      <c r="B1851" s="91">
        <v>14202</v>
      </c>
      <c r="C1851" s="76" t="s">
        <v>213</v>
      </c>
      <c r="D1851" s="76" t="s">
        <v>936</v>
      </c>
      <c r="E1851" s="76" t="s">
        <v>899</v>
      </c>
      <c r="F1851" s="76" t="s">
        <v>900</v>
      </c>
      <c r="G1851" s="76">
        <v>5</v>
      </c>
      <c r="O1851" s="92"/>
    </row>
    <row r="1852" spans="1:15" x14ac:dyDescent="0.25">
      <c r="A1852" s="1">
        <v>1847</v>
      </c>
      <c r="B1852" s="91">
        <v>14203</v>
      </c>
      <c r="C1852" s="76" t="s">
        <v>213</v>
      </c>
      <c r="D1852" s="76" t="s">
        <v>936</v>
      </c>
      <c r="E1852" s="76" t="s">
        <v>899</v>
      </c>
      <c r="F1852" s="76" t="s">
        <v>900</v>
      </c>
      <c r="G1852" s="76">
        <v>5</v>
      </c>
      <c r="O1852" s="92"/>
    </row>
    <row r="1853" spans="1:15" x14ac:dyDescent="0.25">
      <c r="A1853" s="1">
        <v>1848</v>
      </c>
      <c r="B1853" s="91">
        <v>14204</v>
      </c>
      <c r="C1853" s="76" t="s">
        <v>213</v>
      </c>
      <c r="D1853" s="76" t="s">
        <v>936</v>
      </c>
      <c r="E1853" s="76" t="s">
        <v>899</v>
      </c>
      <c r="F1853" s="76" t="s">
        <v>900</v>
      </c>
      <c r="G1853" s="76">
        <v>5</v>
      </c>
      <c r="O1853" s="92"/>
    </row>
    <row r="1854" spans="1:15" x14ac:dyDescent="0.25">
      <c r="A1854" s="1">
        <v>1849</v>
      </c>
      <c r="B1854" s="91">
        <v>14205</v>
      </c>
      <c r="C1854" s="76" t="s">
        <v>213</v>
      </c>
      <c r="D1854" s="76" t="s">
        <v>936</v>
      </c>
      <c r="E1854" s="76" t="s">
        <v>899</v>
      </c>
      <c r="F1854" s="76" t="s">
        <v>900</v>
      </c>
      <c r="G1854" s="76">
        <v>5</v>
      </c>
      <c r="O1854" s="92"/>
    </row>
    <row r="1855" spans="1:15" x14ac:dyDescent="0.25">
      <c r="A1855" s="1">
        <v>1850</v>
      </c>
      <c r="B1855" s="91">
        <v>14206</v>
      </c>
      <c r="C1855" s="76" t="s">
        <v>213</v>
      </c>
      <c r="D1855" s="76" t="s">
        <v>936</v>
      </c>
      <c r="E1855" s="76" t="s">
        <v>899</v>
      </c>
      <c r="F1855" s="76" t="s">
        <v>900</v>
      </c>
      <c r="G1855" s="76">
        <v>5</v>
      </c>
      <c r="O1855" s="92"/>
    </row>
    <row r="1856" spans="1:15" x14ac:dyDescent="0.25">
      <c r="A1856" s="1">
        <v>1851</v>
      </c>
      <c r="B1856" s="91">
        <v>14207</v>
      </c>
      <c r="C1856" s="76" t="s">
        <v>213</v>
      </c>
      <c r="D1856" s="76" t="s">
        <v>936</v>
      </c>
      <c r="E1856" s="76" t="s">
        <v>899</v>
      </c>
      <c r="F1856" s="76" t="s">
        <v>900</v>
      </c>
      <c r="G1856" s="76">
        <v>5</v>
      </c>
      <c r="O1856" s="92"/>
    </row>
    <row r="1857" spans="1:15" x14ac:dyDescent="0.25">
      <c r="A1857" s="1">
        <v>1852</v>
      </c>
      <c r="B1857" s="91">
        <v>14208</v>
      </c>
      <c r="C1857" s="76" t="s">
        <v>213</v>
      </c>
      <c r="D1857" s="76" t="s">
        <v>936</v>
      </c>
      <c r="E1857" s="76" t="s">
        <v>899</v>
      </c>
      <c r="F1857" s="76" t="s">
        <v>900</v>
      </c>
      <c r="G1857" s="76">
        <v>5</v>
      </c>
      <c r="O1857" s="92"/>
    </row>
    <row r="1858" spans="1:15" x14ac:dyDescent="0.25">
      <c r="A1858" s="1">
        <v>1853</v>
      </c>
      <c r="B1858" s="91">
        <v>14209</v>
      </c>
      <c r="C1858" s="76" t="s">
        <v>213</v>
      </c>
      <c r="D1858" s="76" t="s">
        <v>936</v>
      </c>
      <c r="E1858" s="76" t="s">
        <v>899</v>
      </c>
      <c r="F1858" s="76" t="s">
        <v>900</v>
      </c>
      <c r="G1858" s="76">
        <v>5</v>
      </c>
      <c r="O1858" s="92"/>
    </row>
    <row r="1859" spans="1:15" x14ac:dyDescent="0.25">
      <c r="A1859" s="1">
        <v>1854</v>
      </c>
      <c r="B1859" s="91">
        <v>14210</v>
      </c>
      <c r="C1859" s="76" t="s">
        <v>213</v>
      </c>
      <c r="D1859" s="76" t="s">
        <v>936</v>
      </c>
      <c r="E1859" s="76" t="s">
        <v>899</v>
      </c>
      <c r="F1859" s="76" t="s">
        <v>900</v>
      </c>
      <c r="G1859" s="76">
        <v>5</v>
      </c>
      <c r="O1859" s="92"/>
    </row>
    <row r="1860" spans="1:15" x14ac:dyDescent="0.25">
      <c r="A1860" s="1">
        <v>1855</v>
      </c>
      <c r="B1860" s="91">
        <v>14211</v>
      </c>
      <c r="C1860" s="76" t="s">
        <v>213</v>
      </c>
      <c r="D1860" s="76" t="s">
        <v>936</v>
      </c>
      <c r="E1860" s="76" t="s">
        <v>899</v>
      </c>
      <c r="F1860" s="76" t="s">
        <v>900</v>
      </c>
      <c r="G1860" s="76">
        <v>5</v>
      </c>
      <c r="O1860" s="92"/>
    </row>
    <row r="1861" spans="1:15" x14ac:dyDescent="0.25">
      <c r="A1861" s="1">
        <v>1856</v>
      </c>
      <c r="B1861" s="91">
        <v>14212</v>
      </c>
      <c r="C1861" s="76" t="s">
        <v>213</v>
      </c>
      <c r="D1861" s="76" t="s">
        <v>936</v>
      </c>
      <c r="E1861" s="76" t="s">
        <v>899</v>
      </c>
      <c r="F1861" s="76" t="s">
        <v>900</v>
      </c>
      <c r="G1861" s="76">
        <v>5</v>
      </c>
      <c r="O1861" s="92"/>
    </row>
    <row r="1862" spans="1:15" x14ac:dyDescent="0.25">
      <c r="A1862" s="1">
        <v>1857</v>
      </c>
      <c r="B1862" s="91">
        <v>14213</v>
      </c>
      <c r="C1862" s="76" t="s">
        <v>213</v>
      </c>
      <c r="D1862" s="76" t="s">
        <v>936</v>
      </c>
      <c r="E1862" s="76" t="s">
        <v>899</v>
      </c>
      <c r="F1862" s="76" t="s">
        <v>900</v>
      </c>
      <c r="G1862" s="76">
        <v>5</v>
      </c>
      <c r="O1862" s="92"/>
    </row>
    <row r="1863" spans="1:15" x14ac:dyDescent="0.25">
      <c r="A1863" s="1">
        <v>1858</v>
      </c>
      <c r="B1863" s="91">
        <v>14214</v>
      </c>
      <c r="C1863" s="76" t="s">
        <v>213</v>
      </c>
      <c r="D1863" s="76" t="s">
        <v>936</v>
      </c>
      <c r="E1863" s="76" t="s">
        <v>899</v>
      </c>
      <c r="F1863" s="76" t="s">
        <v>900</v>
      </c>
      <c r="G1863" s="76">
        <v>5</v>
      </c>
      <c r="O1863" s="92"/>
    </row>
    <row r="1864" spans="1:15" x14ac:dyDescent="0.25">
      <c r="A1864" s="1">
        <v>1859</v>
      </c>
      <c r="B1864" s="91">
        <v>14215</v>
      </c>
      <c r="C1864" s="76" t="s">
        <v>213</v>
      </c>
      <c r="D1864" s="76" t="s">
        <v>936</v>
      </c>
      <c r="E1864" s="76" t="s">
        <v>899</v>
      </c>
      <c r="F1864" s="76" t="s">
        <v>900</v>
      </c>
      <c r="G1864" s="76">
        <v>5</v>
      </c>
      <c r="O1864" s="92"/>
    </row>
    <row r="1865" spans="1:15" x14ac:dyDescent="0.25">
      <c r="A1865" s="1">
        <v>1860</v>
      </c>
      <c r="B1865" s="91">
        <v>14216</v>
      </c>
      <c r="C1865" s="76" t="s">
        <v>213</v>
      </c>
      <c r="D1865" s="76" t="s">
        <v>936</v>
      </c>
      <c r="E1865" s="76" t="s">
        <v>899</v>
      </c>
      <c r="F1865" s="76" t="s">
        <v>900</v>
      </c>
      <c r="G1865" s="76">
        <v>5</v>
      </c>
      <c r="O1865" s="92"/>
    </row>
    <row r="1866" spans="1:15" x14ac:dyDescent="0.25">
      <c r="A1866" s="1">
        <v>1861</v>
      </c>
      <c r="B1866" s="91">
        <v>14217</v>
      </c>
      <c r="C1866" s="76" t="s">
        <v>213</v>
      </c>
      <c r="D1866" s="76" t="s">
        <v>936</v>
      </c>
      <c r="E1866" s="76" t="s">
        <v>899</v>
      </c>
      <c r="F1866" s="76" t="s">
        <v>900</v>
      </c>
      <c r="G1866" s="76">
        <v>5</v>
      </c>
      <c r="O1866" s="92"/>
    </row>
    <row r="1867" spans="1:15" x14ac:dyDescent="0.25">
      <c r="A1867" s="1">
        <v>1862</v>
      </c>
      <c r="B1867" s="91">
        <v>14218</v>
      </c>
      <c r="C1867" s="76" t="s">
        <v>213</v>
      </c>
      <c r="D1867" s="76" t="s">
        <v>936</v>
      </c>
      <c r="E1867" s="76" t="s">
        <v>899</v>
      </c>
      <c r="F1867" s="76" t="s">
        <v>900</v>
      </c>
      <c r="G1867" s="76">
        <v>5</v>
      </c>
      <c r="O1867" s="92"/>
    </row>
    <row r="1868" spans="1:15" x14ac:dyDescent="0.25">
      <c r="A1868" s="1">
        <v>1863</v>
      </c>
      <c r="B1868" s="91">
        <v>14219</v>
      </c>
      <c r="C1868" s="76" t="s">
        <v>213</v>
      </c>
      <c r="D1868" s="76" t="s">
        <v>936</v>
      </c>
      <c r="E1868" s="76" t="s">
        <v>899</v>
      </c>
      <c r="F1868" s="76" t="s">
        <v>900</v>
      </c>
      <c r="G1868" s="76">
        <v>5</v>
      </c>
      <c r="O1868" s="92"/>
    </row>
    <row r="1869" spans="1:15" x14ac:dyDescent="0.25">
      <c r="A1869" s="1">
        <v>1864</v>
      </c>
      <c r="B1869" s="91">
        <v>14220</v>
      </c>
      <c r="C1869" s="76" t="s">
        <v>213</v>
      </c>
      <c r="D1869" s="76" t="s">
        <v>936</v>
      </c>
      <c r="E1869" s="76" t="s">
        <v>899</v>
      </c>
      <c r="F1869" s="76" t="s">
        <v>900</v>
      </c>
      <c r="G1869" s="76">
        <v>5</v>
      </c>
      <c r="O1869" s="92"/>
    </row>
    <row r="1870" spans="1:15" x14ac:dyDescent="0.25">
      <c r="A1870" s="1">
        <v>1865</v>
      </c>
      <c r="B1870" s="91">
        <v>14221</v>
      </c>
      <c r="C1870" s="76" t="s">
        <v>213</v>
      </c>
      <c r="D1870" s="76" t="s">
        <v>936</v>
      </c>
      <c r="E1870" s="76" t="s">
        <v>899</v>
      </c>
      <c r="F1870" s="76" t="s">
        <v>900</v>
      </c>
      <c r="G1870" s="76">
        <v>5</v>
      </c>
      <c r="O1870" s="92"/>
    </row>
    <row r="1871" spans="1:15" x14ac:dyDescent="0.25">
      <c r="A1871" s="1">
        <v>1866</v>
      </c>
      <c r="B1871" s="91">
        <v>14222</v>
      </c>
      <c r="C1871" s="76" t="s">
        <v>213</v>
      </c>
      <c r="D1871" s="76" t="s">
        <v>936</v>
      </c>
      <c r="E1871" s="76" t="s">
        <v>899</v>
      </c>
      <c r="F1871" s="76" t="s">
        <v>900</v>
      </c>
      <c r="G1871" s="76">
        <v>5</v>
      </c>
      <c r="O1871" s="92"/>
    </row>
    <row r="1872" spans="1:15" x14ac:dyDescent="0.25">
      <c r="A1872" s="1">
        <v>1867</v>
      </c>
      <c r="B1872" s="91">
        <v>14223</v>
      </c>
      <c r="C1872" s="76" t="s">
        <v>213</v>
      </c>
      <c r="D1872" s="76" t="s">
        <v>936</v>
      </c>
      <c r="E1872" s="76" t="s">
        <v>899</v>
      </c>
      <c r="F1872" s="76" t="s">
        <v>900</v>
      </c>
      <c r="G1872" s="76">
        <v>5</v>
      </c>
      <c r="O1872" s="92"/>
    </row>
    <row r="1873" spans="1:15" x14ac:dyDescent="0.25">
      <c r="A1873" s="1">
        <v>1868</v>
      </c>
      <c r="B1873" s="91">
        <v>14224</v>
      </c>
      <c r="C1873" s="76" t="s">
        <v>213</v>
      </c>
      <c r="D1873" s="76" t="s">
        <v>936</v>
      </c>
      <c r="E1873" s="76" t="s">
        <v>899</v>
      </c>
      <c r="F1873" s="76" t="s">
        <v>900</v>
      </c>
      <c r="G1873" s="76">
        <v>5</v>
      </c>
      <c r="O1873" s="92"/>
    </row>
    <row r="1874" spans="1:15" x14ac:dyDescent="0.25">
      <c r="A1874" s="1">
        <v>1869</v>
      </c>
      <c r="B1874" s="91">
        <v>14225</v>
      </c>
      <c r="C1874" s="76" t="s">
        <v>213</v>
      </c>
      <c r="D1874" s="76" t="s">
        <v>936</v>
      </c>
      <c r="E1874" s="76" t="s">
        <v>899</v>
      </c>
      <c r="F1874" s="76" t="s">
        <v>900</v>
      </c>
      <c r="G1874" s="76">
        <v>5</v>
      </c>
      <c r="O1874" s="92"/>
    </row>
    <row r="1875" spans="1:15" x14ac:dyDescent="0.25">
      <c r="A1875" s="1">
        <v>1870</v>
      </c>
      <c r="B1875" s="91">
        <v>14226</v>
      </c>
      <c r="C1875" s="76" t="s">
        <v>213</v>
      </c>
      <c r="D1875" s="76" t="s">
        <v>936</v>
      </c>
      <c r="E1875" s="76" t="s">
        <v>899</v>
      </c>
      <c r="F1875" s="76" t="s">
        <v>900</v>
      </c>
      <c r="G1875" s="76">
        <v>5</v>
      </c>
      <c r="O1875" s="92"/>
    </row>
    <row r="1876" spans="1:15" x14ac:dyDescent="0.25">
      <c r="A1876" s="1">
        <v>1871</v>
      </c>
      <c r="B1876" s="91">
        <v>14227</v>
      </c>
      <c r="C1876" s="76" t="s">
        <v>213</v>
      </c>
      <c r="D1876" s="76" t="s">
        <v>936</v>
      </c>
      <c r="E1876" s="76" t="s">
        <v>899</v>
      </c>
      <c r="F1876" s="76" t="s">
        <v>900</v>
      </c>
      <c r="G1876" s="76">
        <v>5</v>
      </c>
      <c r="O1876" s="92"/>
    </row>
    <row r="1877" spans="1:15" x14ac:dyDescent="0.25">
      <c r="A1877" s="1">
        <v>1872</v>
      </c>
      <c r="B1877" s="91">
        <v>14228</v>
      </c>
      <c r="C1877" s="76" t="s">
        <v>213</v>
      </c>
      <c r="D1877" s="76" t="s">
        <v>936</v>
      </c>
      <c r="E1877" s="76" t="s">
        <v>899</v>
      </c>
      <c r="F1877" s="76" t="s">
        <v>900</v>
      </c>
      <c r="G1877" s="76">
        <v>5</v>
      </c>
      <c r="O1877" s="92"/>
    </row>
    <row r="1878" spans="1:15" x14ac:dyDescent="0.25">
      <c r="A1878" s="1">
        <v>1873</v>
      </c>
      <c r="B1878" s="91">
        <v>14231</v>
      </c>
      <c r="C1878" s="76" t="s">
        <v>213</v>
      </c>
      <c r="D1878" s="76" t="s">
        <v>936</v>
      </c>
      <c r="E1878" s="76" t="s">
        <v>899</v>
      </c>
      <c r="F1878" s="76" t="s">
        <v>900</v>
      </c>
      <c r="G1878" s="76">
        <v>5</v>
      </c>
      <c r="O1878" s="92"/>
    </row>
    <row r="1879" spans="1:15" x14ac:dyDescent="0.25">
      <c r="A1879" s="1">
        <v>1874</v>
      </c>
      <c r="B1879" s="91">
        <v>14233</v>
      </c>
      <c r="C1879" s="76" t="s">
        <v>213</v>
      </c>
      <c r="D1879" s="76" t="s">
        <v>936</v>
      </c>
      <c r="E1879" s="76" t="s">
        <v>899</v>
      </c>
      <c r="F1879" s="76" t="s">
        <v>900</v>
      </c>
      <c r="G1879" s="76">
        <v>5</v>
      </c>
      <c r="O1879" s="92"/>
    </row>
    <row r="1880" spans="1:15" x14ac:dyDescent="0.25">
      <c r="A1880" s="1">
        <v>1875</v>
      </c>
      <c r="B1880" s="91">
        <v>14240</v>
      </c>
      <c r="C1880" s="76" t="s">
        <v>213</v>
      </c>
      <c r="D1880" s="76" t="s">
        <v>936</v>
      </c>
      <c r="E1880" s="76" t="s">
        <v>899</v>
      </c>
      <c r="F1880" s="76" t="s">
        <v>900</v>
      </c>
      <c r="G1880" s="76">
        <v>5</v>
      </c>
      <c r="O1880" s="92"/>
    </row>
    <row r="1881" spans="1:15" x14ac:dyDescent="0.25">
      <c r="A1881" s="1">
        <v>1876</v>
      </c>
      <c r="B1881" s="91">
        <v>14241</v>
      </c>
      <c r="C1881" s="76" t="s">
        <v>213</v>
      </c>
      <c r="D1881" s="76" t="s">
        <v>936</v>
      </c>
      <c r="E1881" s="76" t="s">
        <v>899</v>
      </c>
      <c r="F1881" s="76" t="s">
        <v>900</v>
      </c>
      <c r="G1881" s="76">
        <v>5</v>
      </c>
      <c r="O1881" s="92"/>
    </row>
    <row r="1882" spans="1:15" x14ac:dyDescent="0.25">
      <c r="A1882" s="1">
        <v>1877</v>
      </c>
      <c r="B1882" s="91">
        <v>14260</v>
      </c>
      <c r="C1882" s="76" t="s">
        <v>213</v>
      </c>
      <c r="D1882" s="76" t="s">
        <v>936</v>
      </c>
      <c r="E1882" s="76" t="s">
        <v>899</v>
      </c>
      <c r="F1882" s="76" t="s">
        <v>900</v>
      </c>
      <c r="G1882" s="76">
        <v>5</v>
      </c>
      <c r="O1882" s="92"/>
    </row>
    <row r="1883" spans="1:15" x14ac:dyDescent="0.25">
      <c r="A1883" s="1">
        <v>1878</v>
      </c>
      <c r="B1883" s="91">
        <v>14261</v>
      </c>
      <c r="C1883" s="76" t="s">
        <v>213</v>
      </c>
      <c r="D1883" s="76" t="s">
        <v>936</v>
      </c>
      <c r="E1883" s="76" t="s">
        <v>899</v>
      </c>
      <c r="F1883" s="76" t="s">
        <v>900</v>
      </c>
      <c r="G1883" s="76">
        <v>5</v>
      </c>
      <c r="O1883" s="92"/>
    </row>
    <row r="1884" spans="1:15" x14ac:dyDescent="0.25">
      <c r="A1884" s="1">
        <v>1879</v>
      </c>
      <c r="B1884" s="91">
        <v>14263</v>
      </c>
      <c r="C1884" s="76" t="s">
        <v>213</v>
      </c>
      <c r="D1884" s="76" t="s">
        <v>936</v>
      </c>
      <c r="E1884" s="76" t="s">
        <v>899</v>
      </c>
      <c r="F1884" s="76" t="s">
        <v>900</v>
      </c>
      <c r="G1884" s="76">
        <v>5</v>
      </c>
      <c r="O1884" s="92"/>
    </row>
    <row r="1885" spans="1:15" x14ac:dyDescent="0.25">
      <c r="A1885" s="1">
        <v>1880</v>
      </c>
      <c r="B1885" s="91">
        <v>14264</v>
      </c>
      <c r="C1885" s="76" t="s">
        <v>213</v>
      </c>
      <c r="D1885" s="76" t="s">
        <v>936</v>
      </c>
      <c r="E1885" s="76" t="s">
        <v>899</v>
      </c>
      <c r="F1885" s="76" t="s">
        <v>900</v>
      </c>
      <c r="G1885" s="76">
        <v>5</v>
      </c>
      <c r="O1885" s="92"/>
    </row>
    <row r="1886" spans="1:15" x14ac:dyDescent="0.25">
      <c r="A1886" s="1">
        <v>1881</v>
      </c>
      <c r="B1886" s="91">
        <v>14265</v>
      </c>
      <c r="C1886" s="76" t="s">
        <v>213</v>
      </c>
      <c r="D1886" s="76" t="s">
        <v>936</v>
      </c>
      <c r="E1886" s="76" t="s">
        <v>899</v>
      </c>
      <c r="F1886" s="76" t="s">
        <v>900</v>
      </c>
      <c r="G1886" s="76">
        <v>5</v>
      </c>
      <c r="O1886" s="92"/>
    </row>
    <row r="1887" spans="1:15" x14ac:dyDescent="0.25">
      <c r="A1887" s="1">
        <v>1882</v>
      </c>
      <c r="B1887" s="91">
        <v>14267</v>
      </c>
      <c r="C1887" s="76" t="s">
        <v>213</v>
      </c>
      <c r="D1887" s="76" t="s">
        <v>936</v>
      </c>
      <c r="E1887" s="76" t="s">
        <v>899</v>
      </c>
      <c r="F1887" s="76" t="s">
        <v>900</v>
      </c>
      <c r="G1887" s="76">
        <v>5</v>
      </c>
      <c r="O1887" s="92"/>
    </row>
    <row r="1888" spans="1:15" x14ac:dyDescent="0.25">
      <c r="A1888" s="1">
        <v>1883</v>
      </c>
      <c r="B1888" s="91">
        <v>14269</v>
      </c>
      <c r="C1888" s="76" t="s">
        <v>213</v>
      </c>
      <c r="D1888" s="76" t="s">
        <v>936</v>
      </c>
      <c r="E1888" s="76" t="s">
        <v>899</v>
      </c>
      <c r="F1888" s="76" t="s">
        <v>900</v>
      </c>
      <c r="G1888" s="76">
        <v>5</v>
      </c>
      <c r="O1888" s="92"/>
    </row>
    <row r="1889" spans="1:15" x14ac:dyDescent="0.25">
      <c r="A1889" s="1">
        <v>1884</v>
      </c>
      <c r="B1889" s="91">
        <v>14270</v>
      </c>
      <c r="C1889" s="76" t="s">
        <v>213</v>
      </c>
      <c r="D1889" s="76" t="s">
        <v>936</v>
      </c>
      <c r="E1889" s="76" t="s">
        <v>899</v>
      </c>
      <c r="F1889" s="76" t="s">
        <v>900</v>
      </c>
      <c r="G1889" s="76">
        <v>5</v>
      </c>
      <c r="O1889" s="92"/>
    </row>
    <row r="1890" spans="1:15" x14ac:dyDescent="0.25">
      <c r="A1890" s="1">
        <v>1885</v>
      </c>
      <c r="B1890" s="91">
        <v>14272</v>
      </c>
      <c r="C1890" s="76" t="s">
        <v>213</v>
      </c>
      <c r="D1890" s="76" t="s">
        <v>936</v>
      </c>
      <c r="E1890" s="76" t="s">
        <v>899</v>
      </c>
      <c r="F1890" s="76" t="s">
        <v>900</v>
      </c>
      <c r="G1890" s="76">
        <v>5</v>
      </c>
      <c r="O1890" s="92"/>
    </row>
    <row r="1891" spans="1:15" x14ac:dyDescent="0.25">
      <c r="A1891" s="1">
        <v>1886</v>
      </c>
      <c r="B1891" s="91">
        <v>14273</v>
      </c>
      <c r="C1891" s="76" t="s">
        <v>213</v>
      </c>
      <c r="D1891" s="76" t="s">
        <v>936</v>
      </c>
      <c r="E1891" s="76" t="s">
        <v>899</v>
      </c>
      <c r="F1891" s="76" t="s">
        <v>900</v>
      </c>
      <c r="G1891" s="76">
        <v>5</v>
      </c>
      <c r="O1891" s="92"/>
    </row>
    <row r="1892" spans="1:15" x14ac:dyDescent="0.25">
      <c r="A1892" s="1">
        <v>1887</v>
      </c>
      <c r="B1892" s="91">
        <v>14276</v>
      </c>
      <c r="C1892" s="76" t="s">
        <v>213</v>
      </c>
      <c r="D1892" s="76" t="s">
        <v>936</v>
      </c>
      <c r="E1892" s="76" t="s">
        <v>899</v>
      </c>
      <c r="F1892" s="76" t="s">
        <v>900</v>
      </c>
      <c r="G1892" s="76">
        <v>5</v>
      </c>
      <c r="O1892" s="92"/>
    </row>
    <row r="1893" spans="1:15" x14ac:dyDescent="0.25">
      <c r="A1893" s="1">
        <v>1888</v>
      </c>
      <c r="B1893" s="91">
        <v>14280</v>
      </c>
      <c r="C1893" s="76" t="s">
        <v>213</v>
      </c>
      <c r="D1893" s="76" t="s">
        <v>936</v>
      </c>
      <c r="E1893" s="76" t="s">
        <v>899</v>
      </c>
      <c r="F1893" s="76" t="s">
        <v>900</v>
      </c>
      <c r="G1893" s="76">
        <v>5</v>
      </c>
      <c r="O1893" s="92"/>
    </row>
    <row r="1894" spans="1:15" x14ac:dyDescent="0.25">
      <c r="A1894" s="1">
        <v>1889</v>
      </c>
      <c r="B1894" s="91">
        <v>14301</v>
      </c>
      <c r="C1894" s="76" t="s">
        <v>213</v>
      </c>
      <c r="D1894" s="76" t="s">
        <v>938</v>
      </c>
      <c r="E1894" s="76" t="s">
        <v>899</v>
      </c>
      <c r="F1894" s="76" t="s">
        <v>900</v>
      </c>
      <c r="G1894" s="76">
        <v>5</v>
      </c>
      <c r="O1894" s="92"/>
    </row>
    <row r="1895" spans="1:15" x14ac:dyDescent="0.25">
      <c r="A1895" s="1">
        <v>1890</v>
      </c>
      <c r="B1895" s="91">
        <v>14302</v>
      </c>
      <c r="C1895" s="76" t="s">
        <v>213</v>
      </c>
      <c r="D1895" s="76" t="s">
        <v>938</v>
      </c>
      <c r="E1895" s="76" t="s">
        <v>899</v>
      </c>
      <c r="F1895" s="76" t="s">
        <v>900</v>
      </c>
      <c r="G1895" s="76">
        <v>5</v>
      </c>
      <c r="O1895" s="92"/>
    </row>
    <row r="1896" spans="1:15" x14ac:dyDescent="0.25">
      <c r="A1896" s="1">
        <v>1891</v>
      </c>
      <c r="B1896" s="91">
        <v>14303</v>
      </c>
      <c r="C1896" s="76" t="s">
        <v>213</v>
      </c>
      <c r="D1896" s="76" t="s">
        <v>938</v>
      </c>
      <c r="E1896" s="76" t="s">
        <v>899</v>
      </c>
      <c r="F1896" s="76" t="s">
        <v>900</v>
      </c>
      <c r="G1896" s="76">
        <v>5</v>
      </c>
      <c r="O1896" s="92"/>
    </row>
    <row r="1897" spans="1:15" x14ac:dyDescent="0.25">
      <c r="A1897" s="1">
        <v>1892</v>
      </c>
      <c r="B1897" s="91">
        <v>14304</v>
      </c>
      <c r="C1897" s="76" t="s">
        <v>213</v>
      </c>
      <c r="D1897" s="76" t="s">
        <v>938</v>
      </c>
      <c r="E1897" s="76" t="s">
        <v>899</v>
      </c>
      <c r="F1897" s="76" t="s">
        <v>900</v>
      </c>
      <c r="G1897" s="76">
        <v>5</v>
      </c>
      <c r="O1897" s="92"/>
    </row>
    <row r="1898" spans="1:15" x14ac:dyDescent="0.25">
      <c r="A1898" s="1">
        <v>1893</v>
      </c>
      <c r="B1898" s="91">
        <v>14305</v>
      </c>
      <c r="C1898" s="76" t="s">
        <v>213</v>
      </c>
      <c r="D1898" s="76" t="s">
        <v>938</v>
      </c>
      <c r="E1898" s="76" t="s">
        <v>899</v>
      </c>
      <c r="F1898" s="76" t="s">
        <v>900</v>
      </c>
      <c r="G1898" s="76">
        <v>5</v>
      </c>
      <c r="O1898" s="92"/>
    </row>
    <row r="1899" spans="1:15" x14ac:dyDescent="0.25">
      <c r="A1899" s="1">
        <v>1894</v>
      </c>
      <c r="B1899" s="91">
        <v>14410</v>
      </c>
      <c r="C1899" s="76" t="s">
        <v>213</v>
      </c>
      <c r="D1899" s="76" t="s">
        <v>944</v>
      </c>
      <c r="E1899" s="76" t="s">
        <v>899</v>
      </c>
      <c r="F1899" s="76" t="s">
        <v>900</v>
      </c>
      <c r="G1899" s="76">
        <v>5</v>
      </c>
      <c r="O1899" s="92"/>
    </row>
    <row r="1900" spans="1:15" x14ac:dyDescent="0.25">
      <c r="A1900" s="1">
        <v>1895</v>
      </c>
      <c r="B1900" s="91">
        <v>14411</v>
      </c>
      <c r="C1900" s="76" t="s">
        <v>213</v>
      </c>
      <c r="D1900" s="76" t="s">
        <v>943</v>
      </c>
      <c r="E1900" s="76" t="s">
        <v>899</v>
      </c>
      <c r="F1900" s="76" t="s">
        <v>900</v>
      </c>
      <c r="G1900" s="76">
        <v>5</v>
      </c>
      <c r="O1900" s="92"/>
    </row>
    <row r="1901" spans="1:15" x14ac:dyDescent="0.25">
      <c r="A1901" s="1">
        <v>1896</v>
      </c>
      <c r="B1901" s="91">
        <v>14413</v>
      </c>
      <c r="C1901" s="76" t="s">
        <v>219</v>
      </c>
      <c r="D1901" s="76" t="s">
        <v>930</v>
      </c>
      <c r="E1901" s="76" t="s">
        <v>899</v>
      </c>
      <c r="F1901" s="76" t="s">
        <v>900</v>
      </c>
      <c r="G1901" s="76">
        <v>5</v>
      </c>
      <c r="O1901" s="92"/>
    </row>
    <row r="1902" spans="1:15" x14ac:dyDescent="0.25">
      <c r="A1902" s="1">
        <v>1897</v>
      </c>
      <c r="B1902" s="91">
        <v>14414</v>
      </c>
      <c r="C1902" s="76" t="s">
        <v>213</v>
      </c>
      <c r="D1902" s="76" t="s">
        <v>945</v>
      </c>
      <c r="E1902" s="76" t="s">
        <v>899</v>
      </c>
      <c r="F1902" s="76" t="s">
        <v>900</v>
      </c>
      <c r="G1902" s="76">
        <v>5</v>
      </c>
      <c r="O1902" s="92"/>
    </row>
    <row r="1903" spans="1:15" x14ac:dyDescent="0.25">
      <c r="A1903" s="1">
        <v>1898</v>
      </c>
      <c r="B1903" s="91">
        <v>14415</v>
      </c>
      <c r="C1903" s="76" t="s">
        <v>219</v>
      </c>
      <c r="D1903" s="76" t="s">
        <v>946</v>
      </c>
      <c r="E1903" s="76" t="s">
        <v>899</v>
      </c>
      <c r="F1903" s="76" t="s">
        <v>900</v>
      </c>
      <c r="G1903" s="76">
        <v>5</v>
      </c>
      <c r="O1903" s="92"/>
    </row>
    <row r="1904" spans="1:15" x14ac:dyDescent="0.25">
      <c r="A1904" s="1">
        <v>1899</v>
      </c>
      <c r="B1904" s="91">
        <v>14416</v>
      </c>
      <c r="C1904" s="76" t="s">
        <v>213</v>
      </c>
      <c r="D1904" s="76" t="s">
        <v>937</v>
      </c>
      <c r="E1904" s="76" t="s">
        <v>899</v>
      </c>
      <c r="F1904" s="76" t="s">
        <v>900</v>
      </c>
      <c r="G1904" s="76">
        <v>5</v>
      </c>
      <c r="O1904" s="92"/>
    </row>
    <row r="1905" spans="1:15" x14ac:dyDescent="0.25">
      <c r="A1905" s="1">
        <v>1900</v>
      </c>
      <c r="B1905" s="91">
        <v>14418</v>
      </c>
      <c r="C1905" s="76" t="s">
        <v>219</v>
      </c>
      <c r="D1905" s="76" t="s">
        <v>946</v>
      </c>
      <c r="E1905" s="76" t="s">
        <v>899</v>
      </c>
      <c r="F1905" s="76" t="s">
        <v>900</v>
      </c>
      <c r="G1905" s="76">
        <v>5</v>
      </c>
      <c r="O1905" s="92"/>
    </row>
    <row r="1906" spans="1:15" x14ac:dyDescent="0.25">
      <c r="A1906" s="1">
        <v>1901</v>
      </c>
      <c r="B1906" s="91">
        <v>14420</v>
      </c>
      <c r="C1906" s="76" t="s">
        <v>213</v>
      </c>
      <c r="D1906" s="76" t="s">
        <v>944</v>
      </c>
      <c r="E1906" s="76" t="s">
        <v>899</v>
      </c>
      <c r="F1906" s="76" t="s">
        <v>900</v>
      </c>
      <c r="G1906" s="76">
        <v>5</v>
      </c>
      <c r="O1906" s="92"/>
    </row>
    <row r="1907" spans="1:15" x14ac:dyDescent="0.25">
      <c r="A1907" s="1">
        <v>1902</v>
      </c>
      <c r="B1907" s="91">
        <v>14422</v>
      </c>
      <c r="C1907" s="76" t="s">
        <v>213</v>
      </c>
      <c r="D1907" s="76" t="s">
        <v>937</v>
      </c>
      <c r="E1907" s="76" t="s">
        <v>899</v>
      </c>
      <c r="F1907" s="76" t="s">
        <v>900</v>
      </c>
      <c r="G1907" s="76">
        <v>5</v>
      </c>
      <c r="O1907" s="92"/>
    </row>
    <row r="1908" spans="1:15" x14ac:dyDescent="0.25">
      <c r="A1908" s="1">
        <v>1903</v>
      </c>
      <c r="B1908" s="91">
        <v>14423</v>
      </c>
      <c r="C1908" s="76" t="s">
        <v>213</v>
      </c>
      <c r="D1908" s="76" t="s">
        <v>945</v>
      </c>
      <c r="E1908" s="76" t="s">
        <v>899</v>
      </c>
      <c r="F1908" s="76" t="s">
        <v>900</v>
      </c>
      <c r="G1908" s="76">
        <v>5</v>
      </c>
      <c r="O1908" s="92"/>
    </row>
    <row r="1909" spans="1:15" x14ac:dyDescent="0.25">
      <c r="A1909" s="1">
        <v>1904</v>
      </c>
      <c r="B1909" s="91">
        <v>14424</v>
      </c>
      <c r="C1909" s="76" t="s">
        <v>219</v>
      </c>
      <c r="D1909" s="76" t="s">
        <v>947</v>
      </c>
      <c r="E1909" s="76" t="s">
        <v>899</v>
      </c>
      <c r="F1909" s="76" t="s">
        <v>900</v>
      </c>
      <c r="G1909" s="76">
        <v>5</v>
      </c>
      <c r="O1909" s="92"/>
    </row>
    <row r="1910" spans="1:15" x14ac:dyDescent="0.25">
      <c r="A1910" s="1">
        <v>1905</v>
      </c>
      <c r="B1910" s="91">
        <v>14425</v>
      </c>
      <c r="C1910" s="76" t="s">
        <v>219</v>
      </c>
      <c r="D1910" s="76" t="s">
        <v>947</v>
      </c>
      <c r="E1910" s="76" t="s">
        <v>899</v>
      </c>
      <c r="F1910" s="76" t="s">
        <v>900</v>
      </c>
      <c r="G1910" s="76">
        <v>5</v>
      </c>
      <c r="O1910" s="92"/>
    </row>
    <row r="1911" spans="1:15" x14ac:dyDescent="0.25">
      <c r="A1911" s="1">
        <v>1906</v>
      </c>
      <c r="B1911" s="91">
        <v>14427</v>
      </c>
      <c r="C1911" s="76" t="s">
        <v>213</v>
      </c>
      <c r="D1911" s="76" t="s">
        <v>939</v>
      </c>
      <c r="E1911" s="76" t="s">
        <v>899</v>
      </c>
      <c r="F1911" s="76" t="s">
        <v>900</v>
      </c>
      <c r="G1911" s="76">
        <v>6</v>
      </c>
      <c r="O1911" s="92"/>
    </row>
    <row r="1912" spans="1:15" x14ac:dyDescent="0.25">
      <c r="A1912" s="1">
        <v>1907</v>
      </c>
      <c r="B1912" s="91">
        <v>14428</v>
      </c>
      <c r="C1912" s="76" t="s">
        <v>213</v>
      </c>
      <c r="D1912" s="76" t="s">
        <v>944</v>
      </c>
      <c r="E1912" s="76" t="s">
        <v>899</v>
      </c>
      <c r="F1912" s="76" t="s">
        <v>900</v>
      </c>
      <c r="G1912" s="76">
        <v>5</v>
      </c>
      <c r="O1912" s="92"/>
    </row>
    <row r="1913" spans="1:15" x14ac:dyDescent="0.25">
      <c r="A1913" s="1">
        <v>1908</v>
      </c>
      <c r="B1913" s="91">
        <v>14429</v>
      </c>
      <c r="C1913" s="76" t="s">
        <v>213</v>
      </c>
      <c r="D1913" s="76" t="s">
        <v>943</v>
      </c>
      <c r="E1913" s="76" t="s">
        <v>899</v>
      </c>
      <c r="F1913" s="76" t="s">
        <v>900</v>
      </c>
      <c r="G1913" s="76">
        <v>5</v>
      </c>
      <c r="O1913" s="92"/>
    </row>
    <row r="1914" spans="1:15" x14ac:dyDescent="0.25">
      <c r="A1914" s="1">
        <v>1909</v>
      </c>
      <c r="B1914" s="91">
        <v>14430</v>
      </c>
      <c r="C1914" s="76" t="s">
        <v>213</v>
      </c>
      <c r="D1914" s="76" t="s">
        <v>944</v>
      </c>
      <c r="E1914" s="76" t="s">
        <v>899</v>
      </c>
      <c r="F1914" s="76" t="s">
        <v>900</v>
      </c>
      <c r="G1914" s="76">
        <v>5</v>
      </c>
      <c r="O1914" s="92"/>
    </row>
    <row r="1915" spans="1:15" x14ac:dyDescent="0.25">
      <c r="A1915" s="1">
        <v>1910</v>
      </c>
      <c r="B1915" s="91">
        <v>14432</v>
      </c>
      <c r="C1915" s="76" t="s">
        <v>219</v>
      </c>
      <c r="D1915" s="76" t="s">
        <v>947</v>
      </c>
      <c r="E1915" s="76" t="s">
        <v>899</v>
      </c>
      <c r="F1915" s="76" t="s">
        <v>900</v>
      </c>
      <c r="G1915" s="76">
        <v>5</v>
      </c>
      <c r="O1915" s="92"/>
    </row>
    <row r="1916" spans="1:15" x14ac:dyDescent="0.25">
      <c r="A1916" s="1">
        <v>1911</v>
      </c>
      <c r="B1916" s="91">
        <v>14433</v>
      </c>
      <c r="C1916" s="76" t="s">
        <v>219</v>
      </c>
      <c r="D1916" s="76" t="s">
        <v>930</v>
      </c>
      <c r="E1916" s="76" t="s">
        <v>899</v>
      </c>
      <c r="F1916" s="76" t="s">
        <v>900</v>
      </c>
      <c r="G1916" s="76">
        <v>5</v>
      </c>
      <c r="O1916" s="92"/>
    </row>
    <row r="1917" spans="1:15" x14ac:dyDescent="0.25">
      <c r="A1917" s="1">
        <v>1912</v>
      </c>
      <c r="B1917" s="91">
        <v>14435</v>
      </c>
      <c r="C1917" s="76" t="s">
        <v>213</v>
      </c>
      <c r="D1917" s="76" t="s">
        <v>945</v>
      </c>
      <c r="E1917" s="76" t="s">
        <v>899</v>
      </c>
      <c r="F1917" s="76" t="s">
        <v>900</v>
      </c>
      <c r="G1917" s="76">
        <v>5</v>
      </c>
      <c r="O1917" s="92"/>
    </row>
    <row r="1918" spans="1:15" x14ac:dyDescent="0.25">
      <c r="A1918" s="1">
        <v>1913</v>
      </c>
      <c r="B1918" s="91">
        <v>14437</v>
      </c>
      <c r="C1918" s="76" t="s">
        <v>213</v>
      </c>
      <c r="D1918" s="76" t="s">
        <v>945</v>
      </c>
      <c r="E1918" s="76" t="s">
        <v>899</v>
      </c>
      <c r="F1918" s="76" t="s">
        <v>900</v>
      </c>
      <c r="G1918" s="76">
        <v>5</v>
      </c>
      <c r="O1918" s="92"/>
    </row>
    <row r="1919" spans="1:15" x14ac:dyDescent="0.25">
      <c r="A1919" s="1">
        <v>1914</v>
      </c>
      <c r="B1919" s="91">
        <v>14441</v>
      </c>
      <c r="C1919" s="76" t="s">
        <v>219</v>
      </c>
      <c r="D1919" s="76" t="s">
        <v>946</v>
      </c>
      <c r="E1919" s="76" t="s">
        <v>899</v>
      </c>
      <c r="F1919" s="76" t="s">
        <v>900</v>
      </c>
      <c r="G1919" s="76">
        <v>5</v>
      </c>
      <c r="O1919" s="92"/>
    </row>
    <row r="1920" spans="1:15" x14ac:dyDescent="0.25">
      <c r="A1920" s="1">
        <v>1915</v>
      </c>
      <c r="B1920" s="91">
        <v>14443</v>
      </c>
      <c r="C1920" s="76" t="s">
        <v>219</v>
      </c>
      <c r="D1920" s="76" t="s">
        <v>947</v>
      </c>
      <c r="E1920" s="76" t="s">
        <v>899</v>
      </c>
      <c r="F1920" s="76" t="s">
        <v>900</v>
      </c>
      <c r="G1920" s="76">
        <v>5</v>
      </c>
      <c r="O1920" s="92"/>
    </row>
    <row r="1921" spans="1:15" x14ac:dyDescent="0.25">
      <c r="A1921" s="1">
        <v>1916</v>
      </c>
      <c r="B1921" s="91">
        <v>14445</v>
      </c>
      <c r="C1921" s="76" t="s">
        <v>213</v>
      </c>
      <c r="D1921" s="76" t="s">
        <v>944</v>
      </c>
      <c r="E1921" s="76" t="s">
        <v>899</v>
      </c>
      <c r="F1921" s="76" t="s">
        <v>900</v>
      </c>
      <c r="G1921" s="76">
        <v>5</v>
      </c>
      <c r="O1921" s="92"/>
    </row>
    <row r="1922" spans="1:15" x14ac:dyDescent="0.25">
      <c r="A1922" s="1">
        <v>1917</v>
      </c>
      <c r="B1922" s="91">
        <v>14449</v>
      </c>
      <c r="C1922" s="76" t="s">
        <v>219</v>
      </c>
      <c r="D1922" s="76" t="s">
        <v>930</v>
      </c>
      <c r="E1922" s="76" t="s">
        <v>899</v>
      </c>
      <c r="F1922" s="76" t="s">
        <v>900</v>
      </c>
      <c r="G1922" s="76">
        <v>5</v>
      </c>
      <c r="O1922" s="92"/>
    </row>
    <row r="1923" spans="1:15" x14ac:dyDescent="0.25">
      <c r="A1923" s="1">
        <v>1918</v>
      </c>
      <c r="B1923" s="91">
        <v>14450</v>
      </c>
      <c r="C1923" s="76" t="s">
        <v>213</v>
      </c>
      <c r="D1923" s="76" t="s">
        <v>944</v>
      </c>
      <c r="E1923" s="76" t="s">
        <v>899</v>
      </c>
      <c r="F1923" s="76" t="s">
        <v>900</v>
      </c>
      <c r="G1923" s="76">
        <v>5</v>
      </c>
      <c r="O1923" s="92"/>
    </row>
    <row r="1924" spans="1:15" x14ac:dyDescent="0.25">
      <c r="A1924" s="1">
        <v>1919</v>
      </c>
      <c r="B1924" s="91">
        <v>14452</v>
      </c>
      <c r="C1924" s="76" t="s">
        <v>213</v>
      </c>
      <c r="D1924" s="76" t="s">
        <v>943</v>
      </c>
      <c r="E1924" s="76" t="s">
        <v>899</v>
      </c>
      <c r="F1924" s="76" t="s">
        <v>900</v>
      </c>
      <c r="G1924" s="76">
        <v>5</v>
      </c>
      <c r="O1924" s="92"/>
    </row>
    <row r="1925" spans="1:15" x14ac:dyDescent="0.25">
      <c r="A1925" s="1">
        <v>1920</v>
      </c>
      <c r="B1925" s="91">
        <v>14453</v>
      </c>
      <c r="C1925" s="76" t="s">
        <v>219</v>
      </c>
      <c r="D1925" s="76" t="s">
        <v>947</v>
      </c>
      <c r="E1925" s="76" t="s">
        <v>899</v>
      </c>
      <c r="F1925" s="76" t="s">
        <v>900</v>
      </c>
      <c r="G1925" s="76">
        <v>5</v>
      </c>
      <c r="O1925" s="92"/>
    </row>
    <row r="1926" spans="1:15" x14ac:dyDescent="0.25">
      <c r="A1926" s="1">
        <v>1921</v>
      </c>
      <c r="B1926" s="91">
        <v>14454</v>
      </c>
      <c r="C1926" s="76" t="s">
        <v>213</v>
      </c>
      <c r="D1926" s="76" t="s">
        <v>945</v>
      </c>
      <c r="E1926" s="76" t="s">
        <v>899</v>
      </c>
      <c r="F1926" s="76" t="s">
        <v>900</v>
      </c>
      <c r="G1926" s="76">
        <v>5</v>
      </c>
      <c r="O1926" s="92"/>
    </row>
    <row r="1927" spans="1:15" x14ac:dyDescent="0.25">
      <c r="A1927" s="1">
        <v>1922</v>
      </c>
      <c r="B1927" s="91">
        <v>14456</v>
      </c>
      <c r="C1927" s="76" t="s">
        <v>219</v>
      </c>
      <c r="D1927" s="76" t="s">
        <v>947</v>
      </c>
      <c r="E1927" s="76" t="s">
        <v>899</v>
      </c>
      <c r="F1927" s="76" t="s">
        <v>900</v>
      </c>
      <c r="G1927" s="76">
        <v>5</v>
      </c>
      <c r="O1927" s="92"/>
    </row>
    <row r="1928" spans="1:15" x14ac:dyDescent="0.25">
      <c r="A1928" s="1">
        <v>1923</v>
      </c>
      <c r="B1928" s="91">
        <v>14461</v>
      </c>
      <c r="C1928" s="76" t="s">
        <v>219</v>
      </c>
      <c r="D1928" s="76" t="s">
        <v>947</v>
      </c>
      <c r="E1928" s="76" t="s">
        <v>899</v>
      </c>
      <c r="F1928" s="76" t="s">
        <v>900</v>
      </c>
      <c r="G1928" s="76">
        <v>5</v>
      </c>
      <c r="O1928" s="92"/>
    </row>
    <row r="1929" spans="1:15" x14ac:dyDescent="0.25">
      <c r="A1929" s="1">
        <v>1924</v>
      </c>
      <c r="B1929" s="91">
        <v>14462</v>
      </c>
      <c r="C1929" s="76" t="s">
        <v>213</v>
      </c>
      <c r="D1929" s="76" t="s">
        <v>945</v>
      </c>
      <c r="E1929" s="76" t="s">
        <v>899</v>
      </c>
      <c r="F1929" s="76" t="s">
        <v>900</v>
      </c>
      <c r="G1929" s="76">
        <v>5</v>
      </c>
      <c r="O1929" s="92"/>
    </row>
    <row r="1930" spans="1:15" x14ac:dyDescent="0.25">
      <c r="A1930" s="1">
        <v>1925</v>
      </c>
      <c r="B1930" s="91">
        <v>14463</v>
      </c>
      <c r="C1930" s="76" t="s">
        <v>219</v>
      </c>
      <c r="D1930" s="76" t="s">
        <v>947</v>
      </c>
      <c r="E1930" s="76" t="s">
        <v>899</v>
      </c>
      <c r="F1930" s="76" t="s">
        <v>900</v>
      </c>
      <c r="G1930" s="76">
        <v>5</v>
      </c>
      <c r="O1930" s="92"/>
    </row>
    <row r="1931" spans="1:15" x14ac:dyDescent="0.25">
      <c r="A1931" s="1">
        <v>1926</v>
      </c>
      <c r="B1931" s="91">
        <v>14464</v>
      </c>
      <c r="C1931" s="76" t="s">
        <v>213</v>
      </c>
      <c r="D1931" s="76" t="s">
        <v>944</v>
      </c>
      <c r="E1931" s="76" t="s">
        <v>899</v>
      </c>
      <c r="F1931" s="76" t="s">
        <v>900</v>
      </c>
      <c r="G1931" s="76">
        <v>5</v>
      </c>
      <c r="O1931" s="92"/>
    </row>
    <row r="1932" spans="1:15" x14ac:dyDescent="0.25">
      <c r="A1932" s="1">
        <v>1927</v>
      </c>
      <c r="B1932" s="91">
        <v>14466</v>
      </c>
      <c r="C1932" s="76" t="s">
        <v>219</v>
      </c>
      <c r="D1932" s="76" t="s">
        <v>947</v>
      </c>
      <c r="E1932" s="76" t="s">
        <v>899</v>
      </c>
      <c r="F1932" s="76" t="s">
        <v>900</v>
      </c>
      <c r="G1932" s="76">
        <v>5</v>
      </c>
      <c r="O1932" s="92"/>
    </row>
    <row r="1933" spans="1:15" x14ac:dyDescent="0.25">
      <c r="A1933" s="1">
        <v>1928</v>
      </c>
      <c r="B1933" s="91">
        <v>14467</v>
      </c>
      <c r="C1933" s="76" t="s">
        <v>213</v>
      </c>
      <c r="D1933" s="76" t="s">
        <v>944</v>
      </c>
      <c r="E1933" s="76" t="s">
        <v>899</v>
      </c>
      <c r="F1933" s="76" t="s">
        <v>900</v>
      </c>
      <c r="G1933" s="76">
        <v>5</v>
      </c>
      <c r="O1933" s="92"/>
    </row>
    <row r="1934" spans="1:15" x14ac:dyDescent="0.25">
      <c r="A1934" s="1">
        <v>1929</v>
      </c>
      <c r="B1934" s="91">
        <v>14468</v>
      </c>
      <c r="C1934" s="76" t="s">
        <v>213</v>
      </c>
      <c r="D1934" s="76" t="s">
        <v>944</v>
      </c>
      <c r="E1934" s="76" t="s">
        <v>899</v>
      </c>
      <c r="F1934" s="76" t="s">
        <v>900</v>
      </c>
      <c r="G1934" s="76">
        <v>5</v>
      </c>
      <c r="O1934" s="92"/>
    </row>
    <row r="1935" spans="1:15" x14ac:dyDescent="0.25">
      <c r="A1935" s="1">
        <v>1930</v>
      </c>
      <c r="B1935" s="91">
        <v>14469</v>
      </c>
      <c r="C1935" s="76" t="s">
        <v>219</v>
      </c>
      <c r="D1935" s="76" t="s">
        <v>947</v>
      </c>
      <c r="E1935" s="76" t="s">
        <v>899</v>
      </c>
      <c r="F1935" s="76" t="s">
        <v>900</v>
      </c>
      <c r="G1935" s="76">
        <v>5</v>
      </c>
      <c r="O1935" s="92"/>
    </row>
    <row r="1936" spans="1:15" x14ac:dyDescent="0.25">
      <c r="A1936" s="1">
        <v>1931</v>
      </c>
      <c r="B1936" s="91">
        <v>14470</v>
      </c>
      <c r="C1936" s="76" t="s">
        <v>213</v>
      </c>
      <c r="D1936" s="76" t="s">
        <v>943</v>
      </c>
      <c r="E1936" s="76" t="s">
        <v>899</v>
      </c>
      <c r="F1936" s="76" t="s">
        <v>900</v>
      </c>
      <c r="G1936" s="76">
        <v>5</v>
      </c>
      <c r="O1936" s="92"/>
    </row>
    <row r="1937" spans="1:15" x14ac:dyDescent="0.25">
      <c r="A1937" s="1">
        <v>1932</v>
      </c>
      <c r="B1937" s="91">
        <v>14471</v>
      </c>
      <c r="C1937" s="76" t="s">
        <v>219</v>
      </c>
      <c r="D1937" s="76" t="s">
        <v>947</v>
      </c>
      <c r="E1937" s="76" t="s">
        <v>899</v>
      </c>
      <c r="F1937" s="76" t="s">
        <v>900</v>
      </c>
      <c r="G1937" s="76">
        <v>5</v>
      </c>
      <c r="O1937" s="92"/>
    </row>
    <row r="1938" spans="1:15" x14ac:dyDescent="0.25">
      <c r="A1938" s="1">
        <v>1933</v>
      </c>
      <c r="B1938" s="91">
        <v>14472</v>
      </c>
      <c r="C1938" s="76" t="s">
        <v>213</v>
      </c>
      <c r="D1938" s="76" t="s">
        <v>944</v>
      </c>
      <c r="E1938" s="76" t="s">
        <v>899</v>
      </c>
      <c r="F1938" s="76" t="s">
        <v>900</v>
      </c>
      <c r="G1938" s="76">
        <v>5</v>
      </c>
      <c r="O1938" s="92"/>
    </row>
    <row r="1939" spans="1:15" x14ac:dyDescent="0.25">
      <c r="A1939" s="1">
        <v>1934</v>
      </c>
      <c r="B1939" s="91">
        <v>14475</v>
      </c>
      <c r="C1939" s="76" t="s">
        <v>219</v>
      </c>
      <c r="D1939" s="76" t="s">
        <v>947</v>
      </c>
      <c r="E1939" s="76" t="s">
        <v>899</v>
      </c>
      <c r="F1939" s="76" t="s">
        <v>900</v>
      </c>
      <c r="G1939" s="76">
        <v>5</v>
      </c>
      <c r="O1939" s="92"/>
    </row>
    <row r="1940" spans="1:15" x14ac:dyDescent="0.25">
      <c r="A1940" s="1">
        <v>1935</v>
      </c>
      <c r="B1940" s="91">
        <v>14476</v>
      </c>
      <c r="C1940" s="76" t="s">
        <v>213</v>
      </c>
      <c r="D1940" s="76" t="s">
        <v>943</v>
      </c>
      <c r="E1940" s="76" t="s">
        <v>899</v>
      </c>
      <c r="F1940" s="76" t="s">
        <v>900</v>
      </c>
      <c r="G1940" s="76">
        <v>5</v>
      </c>
      <c r="O1940" s="92"/>
    </row>
    <row r="1941" spans="1:15" x14ac:dyDescent="0.25">
      <c r="A1941" s="1">
        <v>1936</v>
      </c>
      <c r="B1941" s="91">
        <v>14477</v>
      </c>
      <c r="C1941" s="76" t="s">
        <v>213</v>
      </c>
      <c r="D1941" s="76" t="s">
        <v>943</v>
      </c>
      <c r="E1941" s="76" t="s">
        <v>899</v>
      </c>
      <c r="F1941" s="76" t="s">
        <v>900</v>
      </c>
      <c r="G1941" s="76">
        <v>5</v>
      </c>
      <c r="O1941" s="92"/>
    </row>
    <row r="1942" spans="1:15" x14ac:dyDescent="0.25">
      <c r="A1942" s="1">
        <v>1937</v>
      </c>
      <c r="B1942" s="91">
        <v>14478</v>
      </c>
      <c r="C1942" s="76" t="s">
        <v>219</v>
      </c>
      <c r="D1942" s="76" t="s">
        <v>946</v>
      </c>
      <c r="E1942" s="76" t="s">
        <v>899</v>
      </c>
      <c r="F1942" s="76" t="s">
        <v>900</v>
      </c>
      <c r="G1942" s="76">
        <v>5</v>
      </c>
      <c r="O1942" s="92"/>
    </row>
    <row r="1943" spans="1:15" x14ac:dyDescent="0.25">
      <c r="A1943" s="1">
        <v>1938</v>
      </c>
      <c r="B1943" s="91">
        <v>14479</v>
      </c>
      <c r="C1943" s="76" t="s">
        <v>213</v>
      </c>
      <c r="D1943" s="76" t="s">
        <v>943</v>
      </c>
      <c r="E1943" s="76" t="s">
        <v>899</v>
      </c>
      <c r="F1943" s="76" t="s">
        <v>900</v>
      </c>
      <c r="G1943" s="76">
        <v>5</v>
      </c>
      <c r="O1943" s="92"/>
    </row>
    <row r="1944" spans="1:15" x14ac:dyDescent="0.25">
      <c r="A1944" s="1">
        <v>1939</v>
      </c>
      <c r="B1944" s="91">
        <v>14480</v>
      </c>
      <c r="C1944" s="76" t="s">
        <v>213</v>
      </c>
      <c r="D1944" s="76" t="s">
        <v>945</v>
      </c>
      <c r="E1944" s="76" t="s">
        <v>899</v>
      </c>
      <c r="F1944" s="76" t="s">
        <v>900</v>
      </c>
      <c r="G1944" s="76">
        <v>5</v>
      </c>
      <c r="O1944" s="92"/>
    </row>
    <row r="1945" spans="1:15" x14ac:dyDescent="0.25">
      <c r="A1945" s="1">
        <v>1940</v>
      </c>
      <c r="B1945" s="91">
        <v>14481</v>
      </c>
      <c r="C1945" s="76" t="s">
        <v>213</v>
      </c>
      <c r="D1945" s="76" t="s">
        <v>945</v>
      </c>
      <c r="E1945" s="76" t="s">
        <v>899</v>
      </c>
      <c r="F1945" s="76" t="s">
        <v>900</v>
      </c>
      <c r="G1945" s="76">
        <v>5</v>
      </c>
      <c r="O1945" s="92"/>
    </row>
    <row r="1946" spans="1:15" x14ac:dyDescent="0.25">
      <c r="A1946" s="1">
        <v>1941</v>
      </c>
      <c r="B1946" s="91">
        <v>14482</v>
      </c>
      <c r="C1946" s="76" t="s">
        <v>213</v>
      </c>
      <c r="D1946" s="76" t="s">
        <v>937</v>
      </c>
      <c r="E1946" s="76" t="s">
        <v>899</v>
      </c>
      <c r="F1946" s="76" t="s">
        <v>900</v>
      </c>
      <c r="G1946" s="76">
        <v>5</v>
      </c>
      <c r="O1946" s="92"/>
    </row>
    <row r="1947" spans="1:15" x14ac:dyDescent="0.25">
      <c r="A1947" s="1">
        <v>1942</v>
      </c>
      <c r="B1947" s="91">
        <v>14485</v>
      </c>
      <c r="C1947" s="76" t="s">
        <v>213</v>
      </c>
      <c r="D1947" s="76" t="s">
        <v>945</v>
      </c>
      <c r="E1947" s="76" t="s">
        <v>899</v>
      </c>
      <c r="F1947" s="76" t="s">
        <v>900</v>
      </c>
      <c r="G1947" s="76">
        <v>5</v>
      </c>
      <c r="O1947" s="92"/>
    </row>
    <row r="1948" spans="1:15" x14ac:dyDescent="0.25">
      <c r="A1948" s="1">
        <v>1943</v>
      </c>
      <c r="B1948" s="91">
        <v>14486</v>
      </c>
      <c r="C1948" s="76" t="s">
        <v>213</v>
      </c>
      <c r="D1948" s="76" t="s">
        <v>945</v>
      </c>
      <c r="E1948" s="76" t="s">
        <v>899</v>
      </c>
      <c r="F1948" s="76" t="s">
        <v>900</v>
      </c>
      <c r="G1948" s="76">
        <v>5</v>
      </c>
      <c r="O1948" s="92"/>
    </row>
    <row r="1949" spans="1:15" x14ac:dyDescent="0.25">
      <c r="A1949" s="1">
        <v>1944</v>
      </c>
      <c r="B1949" s="91">
        <v>14487</v>
      </c>
      <c r="C1949" s="76" t="s">
        <v>213</v>
      </c>
      <c r="D1949" s="76" t="s">
        <v>945</v>
      </c>
      <c r="E1949" s="76" t="s">
        <v>899</v>
      </c>
      <c r="F1949" s="76" t="s">
        <v>900</v>
      </c>
      <c r="G1949" s="76">
        <v>5</v>
      </c>
      <c r="O1949" s="92"/>
    </row>
    <row r="1950" spans="1:15" x14ac:dyDescent="0.25">
      <c r="A1950" s="1">
        <v>1945</v>
      </c>
      <c r="B1950" s="91">
        <v>14488</v>
      </c>
      <c r="C1950" s="76" t="s">
        <v>213</v>
      </c>
      <c r="D1950" s="76" t="s">
        <v>945</v>
      </c>
      <c r="E1950" s="76" t="s">
        <v>899</v>
      </c>
      <c r="F1950" s="76" t="s">
        <v>900</v>
      </c>
      <c r="G1950" s="76">
        <v>5</v>
      </c>
      <c r="O1950" s="92"/>
    </row>
    <row r="1951" spans="1:15" x14ac:dyDescent="0.25">
      <c r="A1951" s="1">
        <v>1946</v>
      </c>
      <c r="B1951" s="91">
        <v>14489</v>
      </c>
      <c r="C1951" s="76" t="s">
        <v>219</v>
      </c>
      <c r="D1951" s="76" t="s">
        <v>930</v>
      </c>
      <c r="E1951" s="76" t="s">
        <v>899</v>
      </c>
      <c r="F1951" s="76" t="s">
        <v>900</v>
      </c>
      <c r="G1951" s="76">
        <v>5</v>
      </c>
      <c r="O1951" s="92"/>
    </row>
    <row r="1952" spans="1:15" x14ac:dyDescent="0.25">
      <c r="A1952" s="1">
        <v>1947</v>
      </c>
      <c r="B1952" s="91">
        <v>14502</v>
      </c>
      <c r="C1952" s="76" t="s">
        <v>219</v>
      </c>
      <c r="D1952" s="76" t="s">
        <v>930</v>
      </c>
      <c r="E1952" s="76" t="s">
        <v>899</v>
      </c>
      <c r="F1952" s="76" t="s">
        <v>900</v>
      </c>
      <c r="G1952" s="76">
        <v>5</v>
      </c>
      <c r="O1952" s="92"/>
    </row>
    <row r="1953" spans="1:15" x14ac:dyDescent="0.25">
      <c r="A1953" s="1">
        <v>1948</v>
      </c>
      <c r="B1953" s="91">
        <v>14504</v>
      </c>
      <c r="C1953" s="76" t="s">
        <v>219</v>
      </c>
      <c r="D1953" s="76" t="s">
        <v>947</v>
      </c>
      <c r="E1953" s="76" t="s">
        <v>899</v>
      </c>
      <c r="F1953" s="76" t="s">
        <v>900</v>
      </c>
      <c r="G1953" s="76">
        <v>5</v>
      </c>
      <c r="O1953" s="92"/>
    </row>
    <row r="1954" spans="1:15" x14ac:dyDescent="0.25">
      <c r="A1954" s="1">
        <v>1949</v>
      </c>
      <c r="B1954" s="91">
        <v>14505</v>
      </c>
      <c r="C1954" s="76" t="s">
        <v>219</v>
      </c>
      <c r="D1954" s="76" t="s">
        <v>930</v>
      </c>
      <c r="E1954" s="76" t="s">
        <v>899</v>
      </c>
      <c r="F1954" s="76" t="s">
        <v>900</v>
      </c>
      <c r="G1954" s="76">
        <v>5</v>
      </c>
      <c r="O1954" s="92"/>
    </row>
    <row r="1955" spans="1:15" x14ac:dyDescent="0.25">
      <c r="A1955" s="1">
        <v>1950</v>
      </c>
      <c r="B1955" s="91">
        <v>14506</v>
      </c>
      <c r="C1955" s="76" t="s">
        <v>213</v>
      </c>
      <c r="D1955" s="76" t="s">
        <v>944</v>
      </c>
      <c r="E1955" s="76" t="s">
        <v>899</v>
      </c>
      <c r="F1955" s="76" t="s">
        <v>900</v>
      </c>
      <c r="G1955" s="76">
        <v>5</v>
      </c>
      <c r="O1955" s="92"/>
    </row>
    <row r="1956" spans="1:15" x14ac:dyDescent="0.25">
      <c r="A1956" s="1">
        <v>1951</v>
      </c>
      <c r="B1956" s="91">
        <v>14507</v>
      </c>
      <c r="C1956" s="76" t="s">
        <v>219</v>
      </c>
      <c r="D1956" s="76" t="s">
        <v>946</v>
      </c>
      <c r="E1956" s="76" t="s">
        <v>899</v>
      </c>
      <c r="F1956" s="76" t="s">
        <v>900</v>
      </c>
      <c r="G1956" s="76">
        <v>5</v>
      </c>
      <c r="O1956" s="92"/>
    </row>
    <row r="1957" spans="1:15" x14ac:dyDescent="0.25">
      <c r="A1957" s="1">
        <v>1952</v>
      </c>
      <c r="B1957" s="91">
        <v>14508</v>
      </c>
      <c r="C1957" s="76" t="s">
        <v>213</v>
      </c>
      <c r="D1957" s="76" t="s">
        <v>944</v>
      </c>
      <c r="E1957" s="76" t="s">
        <v>899</v>
      </c>
      <c r="F1957" s="76" t="s">
        <v>900</v>
      </c>
      <c r="G1957" s="76">
        <v>5</v>
      </c>
      <c r="O1957" s="92"/>
    </row>
    <row r="1958" spans="1:15" x14ac:dyDescent="0.25">
      <c r="A1958" s="1">
        <v>1953</v>
      </c>
      <c r="B1958" s="91">
        <v>14510</v>
      </c>
      <c r="C1958" s="76" t="s">
        <v>213</v>
      </c>
      <c r="D1958" s="76" t="s">
        <v>945</v>
      </c>
      <c r="E1958" s="76" t="s">
        <v>899</v>
      </c>
      <c r="F1958" s="76" t="s">
        <v>900</v>
      </c>
      <c r="G1958" s="76">
        <v>5</v>
      </c>
      <c r="O1958" s="92"/>
    </row>
    <row r="1959" spans="1:15" x14ac:dyDescent="0.25">
      <c r="A1959" s="1">
        <v>1954</v>
      </c>
      <c r="B1959" s="91">
        <v>14511</v>
      </c>
      <c r="C1959" s="76" t="s">
        <v>213</v>
      </c>
      <c r="D1959" s="76" t="s">
        <v>944</v>
      </c>
      <c r="E1959" s="76" t="s">
        <v>899</v>
      </c>
      <c r="F1959" s="76" t="s">
        <v>900</v>
      </c>
      <c r="G1959" s="76">
        <v>5</v>
      </c>
      <c r="O1959" s="92"/>
    </row>
    <row r="1960" spans="1:15" x14ac:dyDescent="0.25">
      <c r="A1960" s="1">
        <v>1955</v>
      </c>
      <c r="B1960" s="91">
        <v>14512</v>
      </c>
      <c r="C1960" s="76" t="s">
        <v>219</v>
      </c>
      <c r="D1960" s="76" t="s">
        <v>947</v>
      </c>
      <c r="E1960" s="76" t="s">
        <v>899</v>
      </c>
      <c r="F1960" s="76" t="s">
        <v>900</v>
      </c>
      <c r="G1960" s="76">
        <v>5</v>
      </c>
      <c r="O1960" s="92"/>
    </row>
    <row r="1961" spans="1:15" x14ac:dyDescent="0.25">
      <c r="A1961" s="1">
        <v>1956</v>
      </c>
      <c r="B1961" s="91">
        <v>14513</v>
      </c>
      <c r="C1961" s="76" t="s">
        <v>219</v>
      </c>
      <c r="D1961" s="76" t="s">
        <v>930</v>
      </c>
      <c r="E1961" s="76" t="s">
        <v>899</v>
      </c>
      <c r="F1961" s="76" t="s">
        <v>900</v>
      </c>
      <c r="G1961" s="76">
        <v>5</v>
      </c>
      <c r="O1961" s="92"/>
    </row>
    <row r="1962" spans="1:15" x14ac:dyDescent="0.25">
      <c r="A1962" s="1">
        <v>1957</v>
      </c>
      <c r="B1962" s="91">
        <v>14514</v>
      </c>
      <c r="C1962" s="76" t="s">
        <v>213</v>
      </c>
      <c r="D1962" s="76" t="s">
        <v>944</v>
      </c>
      <c r="E1962" s="76" t="s">
        <v>899</v>
      </c>
      <c r="F1962" s="76" t="s">
        <v>900</v>
      </c>
      <c r="G1962" s="76">
        <v>5</v>
      </c>
      <c r="O1962" s="92"/>
    </row>
    <row r="1963" spans="1:15" x14ac:dyDescent="0.25">
      <c r="A1963" s="1">
        <v>1958</v>
      </c>
      <c r="B1963" s="91">
        <v>14515</v>
      </c>
      <c r="C1963" s="76" t="s">
        <v>213</v>
      </c>
      <c r="D1963" s="76" t="s">
        <v>944</v>
      </c>
      <c r="E1963" s="76" t="s">
        <v>899</v>
      </c>
      <c r="F1963" s="76" t="s">
        <v>900</v>
      </c>
      <c r="G1963" s="76">
        <v>5</v>
      </c>
      <c r="O1963" s="92"/>
    </row>
    <row r="1964" spans="1:15" x14ac:dyDescent="0.25">
      <c r="A1964" s="1">
        <v>1959</v>
      </c>
      <c r="B1964" s="91">
        <v>14516</v>
      </c>
      <c r="C1964" s="76" t="s">
        <v>219</v>
      </c>
      <c r="D1964" s="76" t="s">
        <v>930</v>
      </c>
      <c r="E1964" s="76" t="s">
        <v>899</v>
      </c>
      <c r="F1964" s="76" t="s">
        <v>900</v>
      </c>
      <c r="G1964" s="76">
        <v>5</v>
      </c>
      <c r="O1964" s="92"/>
    </row>
    <row r="1965" spans="1:15" x14ac:dyDescent="0.25">
      <c r="A1965" s="1">
        <v>1960</v>
      </c>
      <c r="B1965" s="91">
        <v>14517</v>
      </c>
      <c r="C1965" s="76" t="s">
        <v>213</v>
      </c>
      <c r="D1965" s="76" t="s">
        <v>945</v>
      </c>
      <c r="E1965" s="76" t="s">
        <v>899</v>
      </c>
      <c r="F1965" s="76" t="s">
        <v>900</v>
      </c>
      <c r="G1965" s="76">
        <v>5</v>
      </c>
      <c r="O1965" s="92"/>
    </row>
    <row r="1966" spans="1:15" x14ac:dyDescent="0.25">
      <c r="A1966" s="1">
        <v>1961</v>
      </c>
      <c r="B1966" s="91">
        <v>14518</v>
      </c>
      <c r="C1966" s="76" t="s">
        <v>219</v>
      </c>
      <c r="D1966" s="76" t="s">
        <v>947</v>
      </c>
      <c r="E1966" s="76" t="s">
        <v>899</v>
      </c>
      <c r="F1966" s="76" t="s">
        <v>900</v>
      </c>
      <c r="G1966" s="76">
        <v>5</v>
      </c>
      <c r="O1966" s="92"/>
    </row>
    <row r="1967" spans="1:15" x14ac:dyDescent="0.25">
      <c r="A1967" s="1">
        <v>1962</v>
      </c>
      <c r="B1967" s="91">
        <v>14519</v>
      </c>
      <c r="C1967" s="76" t="s">
        <v>219</v>
      </c>
      <c r="D1967" s="76" t="s">
        <v>930</v>
      </c>
      <c r="E1967" s="76" t="s">
        <v>899</v>
      </c>
      <c r="F1967" s="76" t="s">
        <v>900</v>
      </c>
      <c r="G1967" s="76">
        <v>5</v>
      </c>
      <c r="O1967" s="92"/>
    </row>
    <row r="1968" spans="1:15" x14ac:dyDescent="0.25">
      <c r="A1968" s="1">
        <v>1963</v>
      </c>
      <c r="B1968" s="91">
        <v>14520</v>
      </c>
      <c r="C1968" s="76" t="s">
        <v>219</v>
      </c>
      <c r="D1968" s="76" t="s">
        <v>930</v>
      </c>
      <c r="E1968" s="76" t="s">
        <v>899</v>
      </c>
      <c r="F1968" s="76" t="s">
        <v>900</v>
      </c>
      <c r="G1968" s="76">
        <v>5</v>
      </c>
      <c r="O1968" s="92"/>
    </row>
    <row r="1969" spans="1:15" x14ac:dyDescent="0.25">
      <c r="A1969" s="1">
        <v>1964</v>
      </c>
      <c r="B1969" s="91">
        <v>14521</v>
      </c>
      <c r="C1969" s="76" t="s">
        <v>219</v>
      </c>
      <c r="D1969" s="76" t="s">
        <v>928</v>
      </c>
      <c r="E1969" s="76" t="s">
        <v>899</v>
      </c>
      <c r="F1969" s="76" t="s">
        <v>900</v>
      </c>
      <c r="G1969" s="76">
        <v>5</v>
      </c>
      <c r="O1969" s="92"/>
    </row>
    <row r="1970" spans="1:15" x14ac:dyDescent="0.25">
      <c r="A1970" s="1">
        <v>1965</v>
      </c>
      <c r="B1970" s="91">
        <v>14522</v>
      </c>
      <c r="C1970" s="76" t="s">
        <v>219</v>
      </c>
      <c r="D1970" s="76" t="s">
        <v>930</v>
      </c>
      <c r="E1970" s="76" t="s">
        <v>899</v>
      </c>
      <c r="F1970" s="76" t="s">
        <v>900</v>
      </c>
      <c r="G1970" s="76">
        <v>5</v>
      </c>
      <c r="O1970" s="92"/>
    </row>
    <row r="1971" spans="1:15" x14ac:dyDescent="0.25">
      <c r="A1971" s="1">
        <v>1966</v>
      </c>
      <c r="B1971" s="91">
        <v>14525</v>
      </c>
      <c r="C1971" s="76" t="s">
        <v>213</v>
      </c>
      <c r="D1971" s="76" t="s">
        <v>937</v>
      </c>
      <c r="E1971" s="76" t="s">
        <v>899</v>
      </c>
      <c r="F1971" s="76" t="s">
        <v>900</v>
      </c>
      <c r="G1971" s="76">
        <v>5</v>
      </c>
      <c r="O1971" s="92"/>
    </row>
    <row r="1972" spans="1:15" x14ac:dyDescent="0.25">
      <c r="A1972" s="1">
        <v>1967</v>
      </c>
      <c r="B1972" s="91">
        <v>14526</v>
      </c>
      <c r="C1972" s="76" t="s">
        <v>213</v>
      </c>
      <c r="D1972" s="76" t="s">
        <v>944</v>
      </c>
      <c r="E1972" s="76" t="s">
        <v>899</v>
      </c>
      <c r="F1972" s="76" t="s">
        <v>900</v>
      </c>
      <c r="G1972" s="76">
        <v>5</v>
      </c>
      <c r="O1972" s="92"/>
    </row>
    <row r="1973" spans="1:15" x14ac:dyDescent="0.25">
      <c r="A1973" s="1">
        <v>1968</v>
      </c>
      <c r="B1973" s="91">
        <v>14527</v>
      </c>
      <c r="C1973" s="76" t="s">
        <v>219</v>
      </c>
      <c r="D1973" s="76" t="s">
        <v>946</v>
      </c>
      <c r="E1973" s="76" t="s">
        <v>899</v>
      </c>
      <c r="F1973" s="76" t="s">
        <v>900</v>
      </c>
      <c r="G1973" s="76">
        <v>5</v>
      </c>
      <c r="O1973" s="92"/>
    </row>
    <row r="1974" spans="1:15" x14ac:dyDescent="0.25">
      <c r="A1974" s="1">
        <v>1969</v>
      </c>
      <c r="B1974" s="91">
        <v>14529</v>
      </c>
      <c r="C1974" s="76" t="s">
        <v>212</v>
      </c>
      <c r="D1974" s="76" t="s">
        <v>948</v>
      </c>
      <c r="E1974" s="76" t="s">
        <v>899</v>
      </c>
      <c r="F1974" s="76" t="s">
        <v>900</v>
      </c>
      <c r="G1974" s="76">
        <v>6</v>
      </c>
      <c r="O1974" s="92"/>
    </row>
    <row r="1975" spans="1:15" x14ac:dyDescent="0.25">
      <c r="A1975" s="1">
        <v>1970</v>
      </c>
      <c r="B1975" s="91">
        <v>14530</v>
      </c>
      <c r="C1975" s="76" t="s">
        <v>213</v>
      </c>
      <c r="D1975" s="76" t="s">
        <v>939</v>
      </c>
      <c r="E1975" s="76" t="s">
        <v>899</v>
      </c>
      <c r="F1975" s="76" t="s">
        <v>900</v>
      </c>
      <c r="G1975" s="76">
        <v>6</v>
      </c>
      <c r="O1975" s="92"/>
    </row>
    <row r="1976" spans="1:15" x14ac:dyDescent="0.25">
      <c r="A1976" s="1">
        <v>1971</v>
      </c>
      <c r="B1976" s="91">
        <v>14532</v>
      </c>
      <c r="C1976" s="76" t="s">
        <v>219</v>
      </c>
      <c r="D1976" s="76" t="s">
        <v>947</v>
      </c>
      <c r="E1976" s="76" t="s">
        <v>899</v>
      </c>
      <c r="F1976" s="76" t="s">
        <v>900</v>
      </c>
      <c r="G1976" s="76">
        <v>5</v>
      </c>
      <c r="O1976" s="92"/>
    </row>
    <row r="1977" spans="1:15" x14ac:dyDescent="0.25">
      <c r="A1977" s="1">
        <v>1972</v>
      </c>
      <c r="B1977" s="91">
        <v>14533</v>
      </c>
      <c r="C1977" s="76" t="s">
        <v>213</v>
      </c>
      <c r="D1977" s="76" t="s">
        <v>945</v>
      </c>
      <c r="E1977" s="76" t="s">
        <v>899</v>
      </c>
      <c r="F1977" s="76" t="s">
        <v>900</v>
      </c>
      <c r="G1977" s="76">
        <v>5</v>
      </c>
      <c r="O1977" s="92"/>
    </row>
    <row r="1978" spans="1:15" x14ac:dyDescent="0.25">
      <c r="A1978" s="1">
        <v>1973</v>
      </c>
      <c r="B1978" s="91">
        <v>14534</v>
      </c>
      <c r="C1978" s="76" t="s">
        <v>213</v>
      </c>
      <c r="D1978" s="76" t="s">
        <v>944</v>
      </c>
      <c r="E1978" s="76" t="s">
        <v>899</v>
      </c>
      <c r="F1978" s="76" t="s">
        <v>900</v>
      </c>
      <c r="G1978" s="76">
        <v>5</v>
      </c>
      <c r="O1978" s="92"/>
    </row>
    <row r="1979" spans="1:15" x14ac:dyDescent="0.25">
      <c r="A1979" s="1">
        <v>1974</v>
      </c>
      <c r="B1979" s="91">
        <v>14536</v>
      </c>
      <c r="C1979" s="76" t="s">
        <v>213</v>
      </c>
      <c r="D1979" s="76" t="s">
        <v>939</v>
      </c>
      <c r="E1979" s="76" t="s">
        <v>899</v>
      </c>
      <c r="F1979" s="76" t="s">
        <v>900</v>
      </c>
      <c r="G1979" s="76">
        <v>6</v>
      </c>
      <c r="O1979" s="92"/>
    </row>
    <row r="1980" spans="1:15" x14ac:dyDescent="0.25">
      <c r="A1980" s="1">
        <v>1975</v>
      </c>
      <c r="B1980" s="91">
        <v>14537</v>
      </c>
      <c r="C1980" s="76" t="s">
        <v>219</v>
      </c>
      <c r="D1980" s="76" t="s">
        <v>947</v>
      </c>
      <c r="E1980" s="76" t="s">
        <v>899</v>
      </c>
      <c r="F1980" s="76" t="s">
        <v>900</v>
      </c>
      <c r="G1980" s="76">
        <v>5</v>
      </c>
      <c r="O1980" s="92"/>
    </row>
    <row r="1981" spans="1:15" x14ac:dyDescent="0.25">
      <c r="A1981" s="1">
        <v>1976</v>
      </c>
      <c r="B1981" s="91">
        <v>14538</v>
      </c>
      <c r="C1981" s="76" t="s">
        <v>219</v>
      </c>
      <c r="D1981" s="76" t="s">
        <v>930</v>
      </c>
      <c r="E1981" s="76" t="s">
        <v>899</v>
      </c>
      <c r="F1981" s="76" t="s">
        <v>900</v>
      </c>
      <c r="G1981" s="76">
        <v>5</v>
      </c>
      <c r="O1981" s="92"/>
    </row>
    <row r="1982" spans="1:15" x14ac:dyDescent="0.25">
      <c r="A1982" s="1">
        <v>1977</v>
      </c>
      <c r="B1982" s="91">
        <v>14539</v>
      </c>
      <c r="C1982" s="76" t="s">
        <v>213</v>
      </c>
      <c r="D1982" s="76" t="s">
        <v>945</v>
      </c>
      <c r="E1982" s="76" t="s">
        <v>899</v>
      </c>
      <c r="F1982" s="76" t="s">
        <v>900</v>
      </c>
      <c r="G1982" s="76">
        <v>5</v>
      </c>
      <c r="O1982" s="92"/>
    </row>
    <row r="1983" spans="1:15" x14ac:dyDescent="0.25">
      <c r="A1983" s="1">
        <v>1978</v>
      </c>
      <c r="B1983" s="91">
        <v>14541</v>
      </c>
      <c r="C1983" s="76" t="s">
        <v>219</v>
      </c>
      <c r="D1983" s="76" t="s">
        <v>928</v>
      </c>
      <c r="E1983" s="76" t="s">
        <v>899</v>
      </c>
      <c r="F1983" s="76" t="s">
        <v>900</v>
      </c>
      <c r="G1983" s="76">
        <v>5</v>
      </c>
      <c r="O1983" s="92"/>
    </row>
    <row r="1984" spans="1:15" x14ac:dyDescent="0.25">
      <c r="A1984" s="1">
        <v>1979</v>
      </c>
      <c r="B1984" s="91">
        <v>14542</v>
      </c>
      <c r="C1984" s="76" t="s">
        <v>219</v>
      </c>
      <c r="D1984" s="76" t="s">
        <v>930</v>
      </c>
      <c r="E1984" s="76" t="s">
        <v>899</v>
      </c>
      <c r="F1984" s="76" t="s">
        <v>900</v>
      </c>
      <c r="G1984" s="76">
        <v>5</v>
      </c>
      <c r="O1984" s="92"/>
    </row>
    <row r="1985" spans="1:15" x14ac:dyDescent="0.25">
      <c r="A1985" s="1">
        <v>1980</v>
      </c>
      <c r="B1985" s="91">
        <v>14543</v>
      </c>
      <c r="C1985" s="76" t="s">
        <v>213</v>
      </c>
      <c r="D1985" s="76" t="s">
        <v>944</v>
      </c>
      <c r="E1985" s="76" t="s">
        <v>899</v>
      </c>
      <c r="F1985" s="76" t="s">
        <v>900</v>
      </c>
      <c r="G1985" s="76">
        <v>5</v>
      </c>
      <c r="O1985" s="92"/>
    </row>
    <row r="1986" spans="1:15" x14ac:dyDescent="0.25">
      <c r="A1986" s="1">
        <v>1981</v>
      </c>
      <c r="B1986" s="91">
        <v>14544</v>
      </c>
      <c r="C1986" s="76" t="s">
        <v>219</v>
      </c>
      <c r="D1986" s="76" t="s">
        <v>946</v>
      </c>
      <c r="E1986" s="76" t="s">
        <v>899</v>
      </c>
      <c r="F1986" s="76" t="s">
        <v>900</v>
      </c>
      <c r="G1986" s="76">
        <v>5</v>
      </c>
      <c r="O1986" s="92"/>
    </row>
    <row r="1987" spans="1:15" x14ac:dyDescent="0.25">
      <c r="A1987" s="1">
        <v>1982</v>
      </c>
      <c r="B1987" s="91">
        <v>14545</v>
      </c>
      <c r="C1987" s="76" t="s">
        <v>213</v>
      </c>
      <c r="D1987" s="76" t="s">
        <v>945</v>
      </c>
      <c r="E1987" s="76" t="s">
        <v>899</v>
      </c>
      <c r="F1987" s="76" t="s">
        <v>900</v>
      </c>
      <c r="G1987" s="76">
        <v>5</v>
      </c>
      <c r="O1987" s="92"/>
    </row>
    <row r="1988" spans="1:15" x14ac:dyDescent="0.25">
      <c r="A1988" s="1">
        <v>1983</v>
      </c>
      <c r="B1988" s="91">
        <v>14546</v>
      </c>
      <c r="C1988" s="76" t="s">
        <v>213</v>
      </c>
      <c r="D1988" s="76" t="s">
        <v>944</v>
      </c>
      <c r="E1988" s="76" t="s">
        <v>899</v>
      </c>
      <c r="F1988" s="76" t="s">
        <v>900</v>
      </c>
      <c r="G1988" s="76">
        <v>5</v>
      </c>
      <c r="O1988" s="92"/>
    </row>
    <row r="1989" spans="1:15" x14ac:dyDescent="0.25">
      <c r="A1989" s="1">
        <v>1984</v>
      </c>
      <c r="B1989" s="91">
        <v>14547</v>
      </c>
      <c r="C1989" s="76" t="s">
        <v>219</v>
      </c>
      <c r="D1989" s="76" t="s">
        <v>947</v>
      </c>
      <c r="E1989" s="76" t="s">
        <v>899</v>
      </c>
      <c r="F1989" s="76" t="s">
        <v>900</v>
      </c>
      <c r="G1989" s="76">
        <v>5</v>
      </c>
      <c r="O1989" s="92"/>
    </row>
    <row r="1990" spans="1:15" x14ac:dyDescent="0.25">
      <c r="A1990" s="1">
        <v>1985</v>
      </c>
      <c r="B1990" s="91">
        <v>14548</v>
      </c>
      <c r="C1990" s="76" t="s">
        <v>219</v>
      </c>
      <c r="D1990" s="76" t="s">
        <v>947</v>
      </c>
      <c r="E1990" s="76" t="s">
        <v>899</v>
      </c>
      <c r="F1990" s="76" t="s">
        <v>900</v>
      </c>
      <c r="G1990" s="76">
        <v>5</v>
      </c>
      <c r="O1990" s="92"/>
    </row>
    <row r="1991" spans="1:15" x14ac:dyDescent="0.25">
      <c r="A1991" s="1">
        <v>1986</v>
      </c>
      <c r="B1991" s="91">
        <v>14549</v>
      </c>
      <c r="C1991" s="76" t="s">
        <v>213</v>
      </c>
      <c r="D1991" s="76" t="s">
        <v>939</v>
      </c>
      <c r="E1991" s="76" t="s">
        <v>899</v>
      </c>
      <c r="F1991" s="76" t="s">
        <v>900</v>
      </c>
      <c r="G1991" s="76">
        <v>6</v>
      </c>
      <c r="O1991" s="92"/>
    </row>
    <row r="1992" spans="1:15" x14ac:dyDescent="0.25">
      <c r="A1992" s="1">
        <v>1987</v>
      </c>
      <c r="B1992" s="91">
        <v>14550</v>
      </c>
      <c r="C1992" s="76" t="s">
        <v>213</v>
      </c>
      <c r="D1992" s="76" t="s">
        <v>939</v>
      </c>
      <c r="E1992" s="76" t="s">
        <v>899</v>
      </c>
      <c r="F1992" s="76" t="s">
        <v>900</v>
      </c>
      <c r="G1992" s="76">
        <v>6</v>
      </c>
      <c r="O1992" s="92"/>
    </row>
    <row r="1993" spans="1:15" x14ac:dyDescent="0.25">
      <c r="A1993" s="1">
        <v>1988</v>
      </c>
      <c r="B1993" s="91">
        <v>14551</v>
      </c>
      <c r="C1993" s="76" t="s">
        <v>219</v>
      </c>
      <c r="D1993" s="76" t="s">
        <v>930</v>
      </c>
      <c r="E1993" s="76" t="s">
        <v>899</v>
      </c>
      <c r="F1993" s="76" t="s">
        <v>900</v>
      </c>
      <c r="G1993" s="76">
        <v>5</v>
      </c>
      <c r="O1993" s="92"/>
    </row>
    <row r="1994" spans="1:15" x14ac:dyDescent="0.25">
      <c r="A1994" s="1">
        <v>1989</v>
      </c>
      <c r="B1994" s="91">
        <v>14555</v>
      </c>
      <c r="C1994" s="76" t="s">
        <v>219</v>
      </c>
      <c r="D1994" s="76" t="s">
        <v>930</v>
      </c>
      <c r="E1994" s="76" t="s">
        <v>899</v>
      </c>
      <c r="F1994" s="76" t="s">
        <v>900</v>
      </c>
      <c r="G1994" s="76">
        <v>5</v>
      </c>
      <c r="O1994" s="92"/>
    </row>
    <row r="1995" spans="1:15" x14ac:dyDescent="0.25">
      <c r="A1995" s="1">
        <v>1990</v>
      </c>
      <c r="B1995" s="91">
        <v>14556</v>
      </c>
      <c r="C1995" s="76" t="s">
        <v>213</v>
      </c>
      <c r="D1995" s="76" t="s">
        <v>945</v>
      </c>
      <c r="E1995" s="76" t="s">
        <v>899</v>
      </c>
      <c r="F1995" s="76" t="s">
        <v>900</v>
      </c>
      <c r="G1995" s="76">
        <v>5</v>
      </c>
      <c r="O1995" s="92"/>
    </row>
    <row r="1996" spans="1:15" x14ac:dyDescent="0.25">
      <c r="A1996" s="1">
        <v>1991</v>
      </c>
      <c r="B1996" s="91">
        <v>14557</v>
      </c>
      <c r="C1996" s="76" t="s">
        <v>213</v>
      </c>
      <c r="D1996" s="76" t="s">
        <v>937</v>
      </c>
      <c r="E1996" s="76" t="s">
        <v>899</v>
      </c>
      <c r="F1996" s="76" t="s">
        <v>900</v>
      </c>
      <c r="G1996" s="76">
        <v>5</v>
      </c>
      <c r="O1996" s="92"/>
    </row>
    <row r="1997" spans="1:15" x14ac:dyDescent="0.25">
      <c r="A1997" s="1">
        <v>1992</v>
      </c>
      <c r="B1997" s="91">
        <v>14558</v>
      </c>
      <c r="C1997" s="76" t="s">
        <v>213</v>
      </c>
      <c r="D1997" s="76" t="s">
        <v>945</v>
      </c>
      <c r="E1997" s="76" t="s">
        <v>899</v>
      </c>
      <c r="F1997" s="76" t="s">
        <v>900</v>
      </c>
      <c r="G1997" s="76">
        <v>5</v>
      </c>
      <c r="O1997" s="92"/>
    </row>
    <row r="1998" spans="1:15" x14ac:dyDescent="0.25">
      <c r="A1998" s="1">
        <v>1993</v>
      </c>
      <c r="B1998" s="91">
        <v>14559</v>
      </c>
      <c r="C1998" s="76" t="s">
        <v>213</v>
      </c>
      <c r="D1998" s="76" t="s">
        <v>944</v>
      </c>
      <c r="E1998" s="76" t="s">
        <v>899</v>
      </c>
      <c r="F1998" s="76" t="s">
        <v>900</v>
      </c>
      <c r="G1998" s="76">
        <v>5</v>
      </c>
      <c r="O1998" s="92"/>
    </row>
    <row r="1999" spans="1:15" x14ac:dyDescent="0.25">
      <c r="A1999" s="1">
        <v>1994</v>
      </c>
      <c r="B1999" s="91">
        <v>14560</v>
      </c>
      <c r="C1999" s="76" t="s">
        <v>213</v>
      </c>
      <c r="D1999" s="76" t="s">
        <v>945</v>
      </c>
      <c r="E1999" s="76" t="s">
        <v>899</v>
      </c>
      <c r="F1999" s="76" t="s">
        <v>900</v>
      </c>
      <c r="G1999" s="76">
        <v>5</v>
      </c>
      <c r="O1999" s="92"/>
    </row>
    <row r="2000" spans="1:15" x14ac:dyDescent="0.25">
      <c r="A2000" s="1">
        <v>1995</v>
      </c>
      <c r="B2000" s="91">
        <v>14561</v>
      </c>
      <c r="C2000" s="76" t="s">
        <v>219</v>
      </c>
      <c r="D2000" s="76" t="s">
        <v>947</v>
      </c>
      <c r="E2000" s="76" t="s">
        <v>899</v>
      </c>
      <c r="F2000" s="76" t="s">
        <v>900</v>
      </c>
      <c r="G2000" s="76">
        <v>5</v>
      </c>
      <c r="O2000" s="92"/>
    </row>
    <row r="2001" spans="1:15" x14ac:dyDescent="0.25">
      <c r="A2001" s="1">
        <v>1996</v>
      </c>
      <c r="B2001" s="91">
        <v>14563</v>
      </c>
      <c r="C2001" s="76" t="s">
        <v>219</v>
      </c>
      <c r="D2001" s="76" t="s">
        <v>930</v>
      </c>
      <c r="E2001" s="76" t="s">
        <v>899</v>
      </c>
      <c r="F2001" s="76" t="s">
        <v>900</v>
      </c>
      <c r="G2001" s="76">
        <v>5</v>
      </c>
      <c r="O2001" s="92"/>
    </row>
    <row r="2002" spans="1:15" x14ac:dyDescent="0.25">
      <c r="A2002" s="1">
        <v>1997</v>
      </c>
      <c r="B2002" s="91">
        <v>14564</v>
      </c>
      <c r="C2002" s="76" t="s">
        <v>219</v>
      </c>
      <c r="D2002" s="76" t="s">
        <v>947</v>
      </c>
      <c r="E2002" s="76" t="s">
        <v>899</v>
      </c>
      <c r="F2002" s="76" t="s">
        <v>900</v>
      </c>
      <c r="G2002" s="76">
        <v>5</v>
      </c>
      <c r="O2002" s="92"/>
    </row>
    <row r="2003" spans="1:15" x14ac:dyDescent="0.25">
      <c r="A2003" s="1">
        <v>1998</v>
      </c>
      <c r="B2003" s="91">
        <v>14568</v>
      </c>
      <c r="C2003" s="76" t="s">
        <v>219</v>
      </c>
      <c r="D2003" s="76" t="s">
        <v>930</v>
      </c>
      <c r="E2003" s="76" t="s">
        <v>899</v>
      </c>
      <c r="F2003" s="76" t="s">
        <v>900</v>
      </c>
      <c r="G2003" s="76">
        <v>5</v>
      </c>
      <c r="O2003" s="92"/>
    </row>
    <row r="2004" spans="1:15" x14ac:dyDescent="0.25">
      <c r="A2004" s="1">
        <v>1999</v>
      </c>
      <c r="B2004" s="91">
        <v>14569</v>
      </c>
      <c r="C2004" s="76" t="s">
        <v>213</v>
      </c>
      <c r="D2004" s="76" t="s">
        <v>939</v>
      </c>
      <c r="E2004" s="76" t="s">
        <v>899</v>
      </c>
      <c r="F2004" s="76" t="s">
        <v>900</v>
      </c>
      <c r="G2004" s="76">
        <v>6</v>
      </c>
      <c r="O2004" s="92"/>
    </row>
    <row r="2005" spans="1:15" x14ac:dyDescent="0.25">
      <c r="A2005" s="1">
        <v>2000</v>
      </c>
      <c r="B2005" s="91">
        <v>14571</v>
      </c>
      <c r="C2005" s="76" t="s">
        <v>213</v>
      </c>
      <c r="D2005" s="76" t="s">
        <v>943</v>
      </c>
      <c r="E2005" s="76" t="s">
        <v>899</v>
      </c>
      <c r="F2005" s="76" t="s">
        <v>900</v>
      </c>
      <c r="G2005" s="76">
        <v>5</v>
      </c>
      <c r="O2005" s="92"/>
    </row>
    <row r="2006" spans="1:15" x14ac:dyDescent="0.25">
      <c r="A2006" s="1">
        <v>2001</v>
      </c>
      <c r="B2006" s="91">
        <v>14572</v>
      </c>
      <c r="C2006" s="76" t="s">
        <v>212</v>
      </c>
      <c r="D2006" s="76" t="s">
        <v>948</v>
      </c>
      <c r="E2006" s="76" t="s">
        <v>899</v>
      </c>
      <c r="F2006" s="76" t="s">
        <v>900</v>
      </c>
      <c r="G2006" s="76">
        <v>6</v>
      </c>
      <c r="O2006" s="92"/>
    </row>
    <row r="2007" spans="1:15" x14ac:dyDescent="0.25">
      <c r="A2007" s="1">
        <v>2002</v>
      </c>
      <c r="B2007" s="91">
        <v>14580</v>
      </c>
      <c r="C2007" s="76" t="s">
        <v>213</v>
      </c>
      <c r="D2007" s="76" t="s">
        <v>944</v>
      </c>
      <c r="E2007" s="76" t="s">
        <v>899</v>
      </c>
      <c r="F2007" s="76" t="s">
        <v>900</v>
      </c>
      <c r="G2007" s="76">
        <v>5</v>
      </c>
      <c r="O2007" s="92"/>
    </row>
    <row r="2008" spans="1:15" x14ac:dyDescent="0.25">
      <c r="A2008" s="1">
        <v>2003</v>
      </c>
      <c r="B2008" s="91">
        <v>14585</v>
      </c>
      <c r="C2008" s="76" t="s">
        <v>219</v>
      </c>
      <c r="D2008" s="76" t="s">
        <v>947</v>
      </c>
      <c r="E2008" s="76" t="s">
        <v>899</v>
      </c>
      <c r="F2008" s="76" t="s">
        <v>900</v>
      </c>
      <c r="G2008" s="76">
        <v>5</v>
      </c>
      <c r="O2008" s="92"/>
    </row>
    <row r="2009" spans="1:15" x14ac:dyDescent="0.25">
      <c r="A2009" s="1">
        <v>2004</v>
      </c>
      <c r="B2009" s="91">
        <v>14586</v>
      </c>
      <c r="C2009" s="76" t="s">
        <v>213</v>
      </c>
      <c r="D2009" s="76" t="s">
        <v>944</v>
      </c>
      <c r="E2009" s="76" t="s">
        <v>899</v>
      </c>
      <c r="F2009" s="76" t="s">
        <v>900</v>
      </c>
      <c r="G2009" s="76">
        <v>5</v>
      </c>
      <c r="O2009" s="92"/>
    </row>
    <row r="2010" spans="1:15" x14ac:dyDescent="0.25">
      <c r="A2010" s="1">
        <v>2005</v>
      </c>
      <c r="B2010" s="91">
        <v>14588</v>
      </c>
      <c r="C2010" s="76" t="s">
        <v>219</v>
      </c>
      <c r="D2010" s="76" t="s">
        <v>928</v>
      </c>
      <c r="E2010" s="76" t="s">
        <v>899</v>
      </c>
      <c r="F2010" s="76" t="s">
        <v>900</v>
      </c>
      <c r="G2010" s="76">
        <v>5</v>
      </c>
      <c r="O2010" s="92"/>
    </row>
    <row r="2011" spans="1:15" x14ac:dyDescent="0.25">
      <c r="A2011" s="1">
        <v>2006</v>
      </c>
      <c r="B2011" s="91">
        <v>14589</v>
      </c>
      <c r="C2011" s="76" t="s">
        <v>219</v>
      </c>
      <c r="D2011" s="76" t="s">
        <v>930</v>
      </c>
      <c r="E2011" s="76" t="s">
        <v>899</v>
      </c>
      <c r="F2011" s="76" t="s">
        <v>900</v>
      </c>
      <c r="G2011" s="76">
        <v>5</v>
      </c>
      <c r="O2011" s="92"/>
    </row>
    <row r="2012" spans="1:15" x14ac:dyDescent="0.25">
      <c r="A2012" s="1">
        <v>2007</v>
      </c>
      <c r="B2012" s="91">
        <v>14590</v>
      </c>
      <c r="C2012" s="76" t="s">
        <v>219</v>
      </c>
      <c r="D2012" s="76" t="s">
        <v>930</v>
      </c>
      <c r="E2012" s="76" t="s">
        <v>899</v>
      </c>
      <c r="F2012" s="76" t="s">
        <v>900</v>
      </c>
      <c r="G2012" s="76">
        <v>5</v>
      </c>
      <c r="O2012" s="92"/>
    </row>
    <row r="2013" spans="1:15" x14ac:dyDescent="0.25">
      <c r="A2013" s="1">
        <v>2008</v>
      </c>
      <c r="B2013" s="91">
        <v>14591</v>
      </c>
      <c r="C2013" s="76" t="s">
        <v>213</v>
      </c>
      <c r="D2013" s="76" t="s">
        <v>939</v>
      </c>
      <c r="E2013" s="76" t="s">
        <v>899</v>
      </c>
      <c r="F2013" s="76" t="s">
        <v>900</v>
      </c>
      <c r="G2013" s="76">
        <v>6</v>
      </c>
      <c r="O2013" s="92"/>
    </row>
    <row r="2014" spans="1:15" x14ac:dyDescent="0.25">
      <c r="A2014" s="1">
        <v>2009</v>
      </c>
      <c r="B2014" s="91">
        <v>14592</v>
      </c>
      <c r="C2014" s="76" t="s">
        <v>213</v>
      </c>
      <c r="D2014" s="76" t="s">
        <v>945</v>
      </c>
      <c r="E2014" s="76" t="s">
        <v>899</v>
      </c>
      <c r="F2014" s="76" t="s">
        <v>900</v>
      </c>
      <c r="G2014" s="76">
        <v>5</v>
      </c>
      <c r="O2014" s="92"/>
    </row>
    <row r="2015" spans="1:15" x14ac:dyDescent="0.25">
      <c r="A2015" s="1">
        <v>2010</v>
      </c>
      <c r="B2015" s="91">
        <v>14602</v>
      </c>
      <c r="C2015" s="76" t="s">
        <v>213</v>
      </c>
      <c r="D2015" s="76" t="s">
        <v>944</v>
      </c>
      <c r="E2015" s="76" t="s">
        <v>899</v>
      </c>
      <c r="F2015" s="76" t="s">
        <v>900</v>
      </c>
      <c r="G2015" s="76">
        <v>5</v>
      </c>
      <c r="O2015" s="92"/>
    </row>
    <row r="2016" spans="1:15" x14ac:dyDescent="0.25">
      <c r="A2016" s="1">
        <v>2011</v>
      </c>
      <c r="B2016" s="91">
        <v>14603</v>
      </c>
      <c r="C2016" s="76" t="s">
        <v>213</v>
      </c>
      <c r="D2016" s="76" t="s">
        <v>944</v>
      </c>
      <c r="E2016" s="76" t="s">
        <v>899</v>
      </c>
      <c r="F2016" s="76" t="s">
        <v>900</v>
      </c>
      <c r="G2016" s="76">
        <v>5</v>
      </c>
      <c r="O2016" s="92"/>
    </row>
    <row r="2017" spans="1:15" x14ac:dyDescent="0.25">
      <c r="A2017" s="1">
        <v>2012</v>
      </c>
      <c r="B2017" s="91">
        <v>14604</v>
      </c>
      <c r="C2017" s="76" t="s">
        <v>213</v>
      </c>
      <c r="D2017" s="76" t="s">
        <v>944</v>
      </c>
      <c r="E2017" s="76" t="s">
        <v>899</v>
      </c>
      <c r="F2017" s="76" t="s">
        <v>900</v>
      </c>
      <c r="G2017" s="76">
        <v>5</v>
      </c>
      <c r="O2017" s="92"/>
    </row>
    <row r="2018" spans="1:15" x14ac:dyDescent="0.25">
      <c r="A2018" s="1">
        <v>2013</v>
      </c>
      <c r="B2018" s="91">
        <v>14605</v>
      </c>
      <c r="C2018" s="76" t="s">
        <v>213</v>
      </c>
      <c r="D2018" s="76" t="s">
        <v>944</v>
      </c>
      <c r="E2018" s="76" t="s">
        <v>899</v>
      </c>
      <c r="F2018" s="76" t="s">
        <v>900</v>
      </c>
      <c r="G2018" s="76">
        <v>5</v>
      </c>
      <c r="O2018" s="92"/>
    </row>
    <row r="2019" spans="1:15" x14ac:dyDescent="0.25">
      <c r="A2019" s="1">
        <v>2014</v>
      </c>
      <c r="B2019" s="91">
        <v>14606</v>
      </c>
      <c r="C2019" s="76" t="s">
        <v>213</v>
      </c>
      <c r="D2019" s="76" t="s">
        <v>944</v>
      </c>
      <c r="E2019" s="76" t="s">
        <v>899</v>
      </c>
      <c r="F2019" s="76" t="s">
        <v>900</v>
      </c>
      <c r="G2019" s="76">
        <v>5</v>
      </c>
      <c r="O2019" s="92"/>
    </row>
    <row r="2020" spans="1:15" x14ac:dyDescent="0.25">
      <c r="A2020" s="1">
        <v>2015</v>
      </c>
      <c r="B2020" s="91">
        <v>14607</v>
      </c>
      <c r="C2020" s="76" t="s">
        <v>213</v>
      </c>
      <c r="D2020" s="76" t="s">
        <v>944</v>
      </c>
      <c r="E2020" s="76" t="s">
        <v>899</v>
      </c>
      <c r="F2020" s="76" t="s">
        <v>900</v>
      </c>
      <c r="G2020" s="76">
        <v>5</v>
      </c>
      <c r="O2020" s="92"/>
    </row>
    <row r="2021" spans="1:15" x14ac:dyDescent="0.25">
      <c r="A2021" s="1">
        <v>2016</v>
      </c>
      <c r="B2021" s="91">
        <v>14608</v>
      </c>
      <c r="C2021" s="76" t="s">
        <v>213</v>
      </c>
      <c r="D2021" s="76" t="s">
        <v>944</v>
      </c>
      <c r="E2021" s="76" t="s">
        <v>899</v>
      </c>
      <c r="F2021" s="76" t="s">
        <v>900</v>
      </c>
      <c r="G2021" s="76">
        <v>5</v>
      </c>
      <c r="O2021" s="92"/>
    </row>
    <row r="2022" spans="1:15" x14ac:dyDescent="0.25">
      <c r="A2022" s="1">
        <v>2017</v>
      </c>
      <c r="B2022" s="91">
        <v>14609</v>
      </c>
      <c r="C2022" s="76" t="s">
        <v>213</v>
      </c>
      <c r="D2022" s="76" t="s">
        <v>944</v>
      </c>
      <c r="E2022" s="76" t="s">
        <v>899</v>
      </c>
      <c r="F2022" s="76" t="s">
        <v>900</v>
      </c>
      <c r="G2022" s="76">
        <v>5</v>
      </c>
      <c r="O2022" s="92"/>
    </row>
    <row r="2023" spans="1:15" x14ac:dyDescent="0.25">
      <c r="A2023" s="1">
        <v>2018</v>
      </c>
      <c r="B2023" s="91">
        <v>14610</v>
      </c>
      <c r="C2023" s="76" t="s">
        <v>213</v>
      </c>
      <c r="D2023" s="76" t="s">
        <v>944</v>
      </c>
      <c r="E2023" s="76" t="s">
        <v>899</v>
      </c>
      <c r="F2023" s="76" t="s">
        <v>900</v>
      </c>
      <c r="G2023" s="76">
        <v>5</v>
      </c>
      <c r="O2023" s="92"/>
    </row>
    <row r="2024" spans="1:15" x14ac:dyDescent="0.25">
      <c r="A2024" s="1">
        <v>2019</v>
      </c>
      <c r="B2024" s="91">
        <v>14611</v>
      </c>
      <c r="C2024" s="76" t="s">
        <v>213</v>
      </c>
      <c r="D2024" s="76" t="s">
        <v>944</v>
      </c>
      <c r="E2024" s="76" t="s">
        <v>899</v>
      </c>
      <c r="F2024" s="76" t="s">
        <v>900</v>
      </c>
      <c r="G2024" s="76">
        <v>5</v>
      </c>
      <c r="O2024" s="92"/>
    </row>
    <row r="2025" spans="1:15" x14ac:dyDescent="0.25">
      <c r="A2025" s="1">
        <v>2020</v>
      </c>
      <c r="B2025" s="91">
        <v>14612</v>
      </c>
      <c r="C2025" s="76" t="s">
        <v>213</v>
      </c>
      <c r="D2025" s="76" t="s">
        <v>944</v>
      </c>
      <c r="E2025" s="76" t="s">
        <v>899</v>
      </c>
      <c r="F2025" s="76" t="s">
        <v>900</v>
      </c>
      <c r="G2025" s="76">
        <v>5</v>
      </c>
      <c r="O2025" s="92"/>
    </row>
    <row r="2026" spans="1:15" x14ac:dyDescent="0.25">
      <c r="A2026" s="1">
        <v>2021</v>
      </c>
      <c r="B2026" s="91">
        <v>14613</v>
      </c>
      <c r="C2026" s="76" t="s">
        <v>213</v>
      </c>
      <c r="D2026" s="76" t="s">
        <v>944</v>
      </c>
      <c r="E2026" s="76" t="s">
        <v>899</v>
      </c>
      <c r="F2026" s="76" t="s">
        <v>900</v>
      </c>
      <c r="G2026" s="76">
        <v>5</v>
      </c>
      <c r="O2026" s="92"/>
    </row>
    <row r="2027" spans="1:15" x14ac:dyDescent="0.25">
      <c r="A2027" s="1">
        <v>2022</v>
      </c>
      <c r="B2027" s="91">
        <v>14614</v>
      </c>
      <c r="C2027" s="76" t="s">
        <v>213</v>
      </c>
      <c r="D2027" s="76" t="s">
        <v>944</v>
      </c>
      <c r="E2027" s="76" t="s">
        <v>899</v>
      </c>
      <c r="F2027" s="76" t="s">
        <v>900</v>
      </c>
      <c r="G2027" s="76">
        <v>5</v>
      </c>
      <c r="O2027" s="92"/>
    </row>
    <row r="2028" spans="1:15" x14ac:dyDescent="0.25">
      <c r="A2028" s="1">
        <v>2023</v>
      </c>
      <c r="B2028" s="91">
        <v>14615</v>
      </c>
      <c r="C2028" s="76" t="s">
        <v>213</v>
      </c>
      <c r="D2028" s="76" t="s">
        <v>944</v>
      </c>
      <c r="E2028" s="76" t="s">
        <v>899</v>
      </c>
      <c r="F2028" s="76" t="s">
        <v>900</v>
      </c>
      <c r="G2028" s="76">
        <v>5</v>
      </c>
      <c r="O2028" s="92"/>
    </row>
    <row r="2029" spans="1:15" x14ac:dyDescent="0.25">
      <c r="A2029" s="1">
        <v>2024</v>
      </c>
      <c r="B2029" s="91">
        <v>14616</v>
      </c>
      <c r="C2029" s="76" t="s">
        <v>213</v>
      </c>
      <c r="D2029" s="76" t="s">
        <v>944</v>
      </c>
      <c r="E2029" s="76" t="s">
        <v>899</v>
      </c>
      <c r="F2029" s="76" t="s">
        <v>900</v>
      </c>
      <c r="G2029" s="76">
        <v>5</v>
      </c>
      <c r="O2029" s="92"/>
    </row>
    <row r="2030" spans="1:15" x14ac:dyDescent="0.25">
      <c r="A2030" s="1">
        <v>2025</v>
      </c>
      <c r="B2030" s="91">
        <v>14617</v>
      </c>
      <c r="C2030" s="76" t="s">
        <v>213</v>
      </c>
      <c r="D2030" s="76" t="s">
        <v>944</v>
      </c>
      <c r="E2030" s="76" t="s">
        <v>899</v>
      </c>
      <c r="F2030" s="76" t="s">
        <v>900</v>
      </c>
      <c r="G2030" s="76">
        <v>5</v>
      </c>
      <c r="O2030" s="92"/>
    </row>
    <row r="2031" spans="1:15" x14ac:dyDescent="0.25">
      <c r="A2031" s="1">
        <v>2026</v>
      </c>
      <c r="B2031" s="91">
        <v>14618</v>
      </c>
      <c r="C2031" s="76" t="s">
        <v>213</v>
      </c>
      <c r="D2031" s="76" t="s">
        <v>944</v>
      </c>
      <c r="E2031" s="76" t="s">
        <v>899</v>
      </c>
      <c r="F2031" s="76" t="s">
        <v>900</v>
      </c>
      <c r="G2031" s="76">
        <v>5</v>
      </c>
      <c r="O2031" s="92"/>
    </row>
    <row r="2032" spans="1:15" x14ac:dyDescent="0.25">
      <c r="A2032" s="1">
        <v>2027</v>
      </c>
      <c r="B2032" s="91">
        <v>14619</v>
      </c>
      <c r="C2032" s="76" t="s">
        <v>213</v>
      </c>
      <c r="D2032" s="76" t="s">
        <v>944</v>
      </c>
      <c r="E2032" s="76" t="s">
        <v>899</v>
      </c>
      <c r="F2032" s="76" t="s">
        <v>900</v>
      </c>
      <c r="G2032" s="76">
        <v>5</v>
      </c>
      <c r="O2032" s="92"/>
    </row>
    <row r="2033" spans="1:15" x14ac:dyDescent="0.25">
      <c r="A2033" s="1">
        <v>2028</v>
      </c>
      <c r="B2033" s="91">
        <v>14620</v>
      </c>
      <c r="C2033" s="76" t="s">
        <v>213</v>
      </c>
      <c r="D2033" s="76" t="s">
        <v>944</v>
      </c>
      <c r="E2033" s="76" t="s">
        <v>899</v>
      </c>
      <c r="F2033" s="76" t="s">
        <v>900</v>
      </c>
      <c r="G2033" s="76">
        <v>5</v>
      </c>
      <c r="O2033" s="92"/>
    </row>
    <row r="2034" spans="1:15" x14ac:dyDescent="0.25">
      <c r="A2034" s="1">
        <v>2029</v>
      </c>
      <c r="B2034" s="91">
        <v>14621</v>
      </c>
      <c r="C2034" s="76" t="s">
        <v>213</v>
      </c>
      <c r="D2034" s="76" t="s">
        <v>944</v>
      </c>
      <c r="E2034" s="76" t="s">
        <v>899</v>
      </c>
      <c r="F2034" s="76" t="s">
        <v>900</v>
      </c>
      <c r="G2034" s="76">
        <v>5</v>
      </c>
      <c r="O2034" s="92"/>
    </row>
    <row r="2035" spans="1:15" x14ac:dyDescent="0.25">
      <c r="A2035" s="1">
        <v>2030</v>
      </c>
      <c r="B2035" s="91">
        <v>14622</v>
      </c>
      <c r="C2035" s="76" t="s">
        <v>213</v>
      </c>
      <c r="D2035" s="76" t="s">
        <v>944</v>
      </c>
      <c r="E2035" s="76" t="s">
        <v>899</v>
      </c>
      <c r="F2035" s="76" t="s">
        <v>900</v>
      </c>
      <c r="G2035" s="76">
        <v>5</v>
      </c>
      <c r="O2035" s="92"/>
    </row>
    <row r="2036" spans="1:15" x14ac:dyDescent="0.25">
      <c r="A2036" s="1">
        <v>2031</v>
      </c>
      <c r="B2036" s="91">
        <v>14623</v>
      </c>
      <c r="C2036" s="76" t="s">
        <v>213</v>
      </c>
      <c r="D2036" s="76" t="s">
        <v>944</v>
      </c>
      <c r="E2036" s="76" t="s">
        <v>899</v>
      </c>
      <c r="F2036" s="76" t="s">
        <v>900</v>
      </c>
      <c r="G2036" s="76">
        <v>5</v>
      </c>
      <c r="O2036" s="92"/>
    </row>
    <row r="2037" spans="1:15" x14ac:dyDescent="0.25">
      <c r="A2037" s="1">
        <v>2032</v>
      </c>
      <c r="B2037" s="91">
        <v>14624</v>
      </c>
      <c r="C2037" s="76" t="s">
        <v>213</v>
      </c>
      <c r="D2037" s="76" t="s">
        <v>944</v>
      </c>
      <c r="E2037" s="76" t="s">
        <v>899</v>
      </c>
      <c r="F2037" s="76" t="s">
        <v>900</v>
      </c>
      <c r="G2037" s="76">
        <v>5</v>
      </c>
      <c r="O2037" s="92"/>
    </row>
    <row r="2038" spans="1:15" x14ac:dyDescent="0.25">
      <c r="A2038" s="1">
        <v>2033</v>
      </c>
      <c r="B2038" s="91">
        <v>14625</v>
      </c>
      <c r="C2038" s="76" t="s">
        <v>213</v>
      </c>
      <c r="D2038" s="76" t="s">
        <v>944</v>
      </c>
      <c r="E2038" s="76" t="s">
        <v>899</v>
      </c>
      <c r="F2038" s="76" t="s">
        <v>900</v>
      </c>
      <c r="G2038" s="76">
        <v>5</v>
      </c>
      <c r="O2038" s="92"/>
    </row>
    <row r="2039" spans="1:15" x14ac:dyDescent="0.25">
      <c r="A2039" s="1">
        <v>2034</v>
      </c>
      <c r="B2039" s="91">
        <v>14626</v>
      </c>
      <c r="C2039" s="76" t="s">
        <v>213</v>
      </c>
      <c r="D2039" s="76" t="s">
        <v>944</v>
      </c>
      <c r="E2039" s="76" t="s">
        <v>899</v>
      </c>
      <c r="F2039" s="76" t="s">
        <v>900</v>
      </c>
      <c r="G2039" s="76">
        <v>5</v>
      </c>
      <c r="O2039" s="92"/>
    </row>
    <row r="2040" spans="1:15" x14ac:dyDescent="0.25">
      <c r="A2040" s="1">
        <v>2035</v>
      </c>
      <c r="B2040" s="91">
        <v>14627</v>
      </c>
      <c r="C2040" s="76" t="s">
        <v>213</v>
      </c>
      <c r="D2040" s="76" t="s">
        <v>944</v>
      </c>
      <c r="E2040" s="76" t="s">
        <v>899</v>
      </c>
      <c r="F2040" s="76" t="s">
        <v>900</v>
      </c>
      <c r="G2040" s="76">
        <v>5</v>
      </c>
      <c r="O2040" s="92"/>
    </row>
    <row r="2041" spans="1:15" x14ac:dyDescent="0.25">
      <c r="A2041" s="1">
        <v>2036</v>
      </c>
      <c r="B2041" s="91">
        <v>14638</v>
      </c>
      <c r="C2041" s="76" t="s">
        <v>213</v>
      </c>
      <c r="D2041" s="76" t="s">
        <v>944</v>
      </c>
      <c r="E2041" s="76" t="s">
        <v>899</v>
      </c>
      <c r="F2041" s="76" t="s">
        <v>900</v>
      </c>
      <c r="G2041" s="76">
        <v>5</v>
      </c>
      <c r="O2041" s="92"/>
    </row>
    <row r="2042" spans="1:15" x14ac:dyDescent="0.25">
      <c r="A2042" s="1">
        <v>2037</v>
      </c>
      <c r="B2042" s="91">
        <v>14639</v>
      </c>
      <c r="C2042" s="76" t="s">
        <v>213</v>
      </c>
      <c r="D2042" s="76" t="s">
        <v>944</v>
      </c>
      <c r="E2042" s="76" t="s">
        <v>899</v>
      </c>
      <c r="F2042" s="76" t="s">
        <v>900</v>
      </c>
      <c r="G2042" s="76">
        <v>5</v>
      </c>
      <c r="O2042" s="92"/>
    </row>
    <row r="2043" spans="1:15" x14ac:dyDescent="0.25">
      <c r="A2043" s="1">
        <v>2038</v>
      </c>
      <c r="B2043" s="91">
        <v>14642</v>
      </c>
      <c r="C2043" s="76" t="s">
        <v>213</v>
      </c>
      <c r="D2043" s="76" t="s">
        <v>944</v>
      </c>
      <c r="E2043" s="76" t="s">
        <v>899</v>
      </c>
      <c r="F2043" s="76" t="s">
        <v>900</v>
      </c>
      <c r="G2043" s="76">
        <v>5</v>
      </c>
      <c r="O2043" s="92"/>
    </row>
    <row r="2044" spans="1:15" x14ac:dyDescent="0.25">
      <c r="A2044" s="1">
        <v>2039</v>
      </c>
      <c r="B2044" s="91">
        <v>14643</v>
      </c>
      <c r="C2044" s="76" t="s">
        <v>213</v>
      </c>
      <c r="D2044" s="76" t="s">
        <v>944</v>
      </c>
      <c r="E2044" s="76" t="s">
        <v>899</v>
      </c>
      <c r="F2044" s="76" t="s">
        <v>900</v>
      </c>
      <c r="G2044" s="76">
        <v>5</v>
      </c>
      <c r="O2044" s="92"/>
    </row>
    <row r="2045" spans="1:15" x14ac:dyDescent="0.25">
      <c r="A2045" s="1">
        <v>2040</v>
      </c>
      <c r="B2045" s="91">
        <v>14644</v>
      </c>
      <c r="C2045" s="76" t="s">
        <v>213</v>
      </c>
      <c r="D2045" s="76" t="s">
        <v>944</v>
      </c>
      <c r="E2045" s="76" t="s">
        <v>899</v>
      </c>
      <c r="F2045" s="76" t="s">
        <v>900</v>
      </c>
      <c r="G2045" s="76">
        <v>5</v>
      </c>
      <c r="O2045" s="92"/>
    </row>
    <row r="2046" spans="1:15" x14ac:dyDescent="0.25">
      <c r="A2046" s="1">
        <v>2041</v>
      </c>
      <c r="B2046" s="91">
        <v>14645</v>
      </c>
      <c r="C2046" s="76" t="s">
        <v>213</v>
      </c>
      <c r="D2046" s="76" t="s">
        <v>944</v>
      </c>
      <c r="E2046" s="76" t="s">
        <v>899</v>
      </c>
      <c r="F2046" s="76" t="s">
        <v>900</v>
      </c>
      <c r="G2046" s="76">
        <v>5</v>
      </c>
      <c r="O2046" s="92"/>
    </row>
    <row r="2047" spans="1:15" x14ac:dyDescent="0.25">
      <c r="A2047" s="1">
        <v>2042</v>
      </c>
      <c r="B2047" s="91">
        <v>14646</v>
      </c>
      <c r="C2047" s="76" t="s">
        <v>213</v>
      </c>
      <c r="D2047" s="76" t="s">
        <v>944</v>
      </c>
      <c r="E2047" s="76" t="s">
        <v>899</v>
      </c>
      <c r="F2047" s="76" t="s">
        <v>900</v>
      </c>
      <c r="G2047" s="76">
        <v>5</v>
      </c>
      <c r="O2047" s="92"/>
    </row>
    <row r="2048" spans="1:15" x14ac:dyDescent="0.25">
      <c r="A2048" s="1">
        <v>2043</v>
      </c>
      <c r="B2048" s="91">
        <v>14647</v>
      </c>
      <c r="C2048" s="76" t="s">
        <v>213</v>
      </c>
      <c r="D2048" s="76" t="s">
        <v>944</v>
      </c>
      <c r="E2048" s="76" t="s">
        <v>899</v>
      </c>
      <c r="F2048" s="76" t="s">
        <v>900</v>
      </c>
      <c r="G2048" s="76">
        <v>5</v>
      </c>
      <c r="O2048" s="92"/>
    </row>
    <row r="2049" spans="1:15" x14ac:dyDescent="0.25">
      <c r="A2049" s="1">
        <v>2044</v>
      </c>
      <c r="B2049" s="91">
        <v>14649</v>
      </c>
      <c r="C2049" s="76" t="s">
        <v>213</v>
      </c>
      <c r="D2049" s="76" t="s">
        <v>944</v>
      </c>
      <c r="E2049" s="76" t="s">
        <v>899</v>
      </c>
      <c r="F2049" s="76" t="s">
        <v>900</v>
      </c>
      <c r="G2049" s="76">
        <v>5</v>
      </c>
      <c r="O2049" s="92"/>
    </row>
    <row r="2050" spans="1:15" x14ac:dyDescent="0.25">
      <c r="A2050" s="1">
        <v>2045</v>
      </c>
      <c r="B2050" s="91">
        <v>14650</v>
      </c>
      <c r="C2050" s="76" t="s">
        <v>213</v>
      </c>
      <c r="D2050" s="76" t="s">
        <v>944</v>
      </c>
      <c r="E2050" s="76" t="s">
        <v>899</v>
      </c>
      <c r="F2050" s="76" t="s">
        <v>900</v>
      </c>
      <c r="G2050" s="76">
        <v>5</v>
      </c>
      <c r="O2050" s="92"/>
    </row>
    <row r="2051" spans="1:15" x14ac:dyDescent="0.25">
      <c r="A2051" s="1">
        <v>2046</v>
      </c>
      <c r="B2051" s="91">
        <v>14651</v>
      </c>
      <c r="C2051" s="76" t="s">
        <v>213</v>
      </c>
      <c r="D2051" s="76" t="s">
        <v>944</v>
      </c>
      <c r="E2051" s="76" t="s">
        <v>899</v>
      </c>
      <c r="F2051" s="76" t="s">
        <v>900</v>
      </c>
      <c r="G2051" s="76">
        <v>5</v>
      </c>
      <c r="O2051" s="92"/>
    </row>
    <row r="2052" spans="1:15" x14ac:dyDescent="0.25">
      <c r="A2052" s="1">
        <v>2047</v>
      </c>
      <c r="B2052" s="91">
        <v>14652</v>
      </c>
      <c r="C2052" s="76" t="s">
        <v>213</v>
      </c>
      <c r="D2052" s="76" t="s">
        <v>944</v>
      </c>
      <c r="E2052" s="76" t="s">
        <v>899</v>
      </c>
      <c r="F2052" s="76" t="s">
        <v>900</v>
      </c>
      <c r="G2052" s="76">
        <v>5</v>
      </c>
      <c r="O2052" s="92"/>
    </row>
    <row r="2053" spans="1:15" x14ac:dyDescent="0.25">
      <c r="A2053" s="1">
        <v>2048</v>
      </c>
      <c r="B2053" s="91">
        <v>14653</v>
      </c>
      <c r="C2053" s="76" t="s">
        <v>213</v>
      </c>
      <c r="D2053" s="76" t="s">
        <v>944</v>
      </c>
      <c r="E2053" s="76" t="s">
        <v>899</v>
      </c>
      <c r="F2053" s="76" t="s">
        <v>900</v>
      </c>
      <c r="G2053" s="76">
        <v>5</v>
      </c>
      <c r="O2053" s="92"/>
    </row>
    <row r="2054" spans="1:15" x14ac:dyDescent="0.25">
      <c r="A2054" s="1">
        <v>2049</v>
      </c>
      <c r="B2054" s="91">
        <v>14664</v>
      </c>
      <c r="C2054" s="76" t="s">
        <v>213</v>
      </c>
      <c r="D2054" s="76" t="s">
        <v>944</v>
      </c>
      <c r="E2054" s="76" t="s">
        <v>899</v>
      </c>
      <c r="F2054" s="76" t="s">
        <v>900</v>
      </c>
      <c r="G2054" s="76">
        <v>5</v>
      </c>
      <c r="O2054" s="92"/>
    </row>
    <row r="2055" spans="1:15" x14ac:dyDescent="0.25">
      <c r="A2055" s="1">
        <v>2050</v>
      </c>
      <c r="B2055" s="91">
        <v>14673</v>
      </c>
      <c r="C2055" s="76" t="s">
        <v>213</v>
      </c>
      <c r="D2055" s="76" t="s">
        <v>944</v>
      </c>
      <c r="E2055" s="76" t="s">
        <v>899</v>
      </c>
      <c r="F2055" s="76" t="s">
        <v>900</v>
      </c>
      <c r="G2055" s="76">
        <v>5</v>
      </c>
      <c r="O2055" s="92"/>
    </row>
    <row r="2056" spans="1:15" x14ac:dyDescent="0.25">
      <c r="A2056" s="1">
        <v>2051</v>
      </c>
      <c r="B2056" s="91">
        <v>14683</v>
      </c>
      <c r="C2056" s="76" t="s">
        <v>213</v>
      </c>
      <c r="D2056" s="76" t="s">
        <v>944</v>
      </c>
      <c r="E2056" s="76" t="s">
        <v>899</v>
      </c>
      <c r="F2056" s="76" t="s">
        <v>900</v>
      </c>
      <c r="G2056" s="76">
        <v>5</v>
      </c>
      <c r="O2056" s="92"/>
    </row>
    <row r="2057" spans="1:15" x14ac:dyDescent="0.25">
      <c r="A2057" s="1">
        <v>2052</v>
      </c>
      <c r="B2057" s="91">
        <v>14692</v>
      </c>
      <c r="C2057" s="76" t="s">
        <v>213</v>
      </c>
      <c r="D2057" s="76" t="s">
        <v>944</v>
      </c>
      <c r="E2057" s="76" t="s">
        <v>899</v>
      </c>
      <c r="F2057" s="76" t="s">
        <v>900</v>
      </c>
      <c r="G2057" s="76">
        <v>5</v>
      </c>
      <c r="O2057" s="92"/>
    </row>
    <row r="2058" spans="1:15" x14ac:dyDescent="0.25">
      <c r="A2058" s="1">
        <v>2053</v>
      </c>
      <c r="B2058" s="91">
        <v>14694</v>
      </c>
      <c r="C2058" s="76" t="s">
        <v>213</v>
      </c>
      <c r="D2058" s="76" t="s">
        <v>942</v>
      </c>
      <c r="E2058" s="76" t="s">
        <v>899</v>
      </c>
      <c r="F2058" s="76" t="s">
        <v>900</v>
      </c>
      <c r="G2058" s="76">
        <v>5</v>
      </c>
      <c r="O2058" s="92"/>
    </row>
    <row r="2059" spans="1:15" x14ac:dyDescent="0.25">
      <c r="A2059" s="1">
        <v>2054</v>
      </c>
      <c r="B2059" s="91">
        <v>14701</v>
      </c>
      <c r="C2059" s="76" t="s">
        <v>213</v>
      </c>
      <c r="D2059" s="76" t="s">
        <v>942</v>
      </c>
      <c r="E2059" s="76" t="s">
        <v>899</v>
      </c>
      <c r="F2059" s="76" t="s">
        <v>900</v>
      </c>
      <c r="G2059" s="76">
        <v>5</v>
      </c>
      <c r="O2059" s="92"/>
    </row>
    <row r="2060" spans="1:15" x14ac:dyDescent="0.25">
      <c r="A2060" s="1">
        <v>2055</v>
      </c>
      <c r="B2060" s="91">
        <v>14702</v>
      </c>
      <c r="C2060" s="76" t="s">
        <v>213</v>
      </c>
      <c r="D2060" s="76" t="s">
        <v>942</v>
      </c>
      <c r="E2060" s="76" t="s">
        <v>899</v>
      </c>
      <c r="F2060" s="76" t="s">
        <v>900</v>
      </c>
      <c r="G2060" s="76">
        <v>5</v>
      </c>
      <c r="O2060" s="92"/>
    </row>
    <row r="2061" spans="1:15" x14ac:dyDescent="0.25">
      <c r="A2061" s="1">
        <v>2056</v>
      </c>
      <c r="B2061" s="91">
        <v>14706</v>
      </c>
      <c r="C2061" s="76" t="s">
        <v>213</v>
      </c>
      <c r="D2061" s="76" t="s">
        <v>941</v>
      </c>
      <c r="E2061" s="76" t="s">
        <v>899</v>
      </c>
      <c r="F2061" s="76" t="s">
        <v>900</v>
      </c>
      <c r="G2061" s="76">
        <v>6</v>
      </c>
      <c r="O2061" s="92"/>
    </row>
    <row r="2062" spans="1:15" x14ac:dyDescent="0.25">
      <c r="A2062" s="1">
        <v>2057</v>
      </c>
      <c r="B2062" s="91">
        <v>14707</v>
      </c>
      <c r="C2062" s="76" t="s">
        <v>213</v>
      </c>
      <c r="D2062" s="76" t="s">
        <v>940</v>
      </c>
      <c r="E2062" s="76" t="s">
        <v>899</v>
      </c>
      <c r="F2062" s="76" t="s">
        <v>900</v>
      </c>
      <c r="G2062" s="76">
        <v>6</v>
      </c>
      <c r="O2062" s="92"/>
    </row>
    <row r="2063" spans="1:15" x14ac:dyDescent="0.25">
      <c r="A2063" s="1">
        <v>2058</v>
      </c>
      <c r="B2063" s="91">
        <v>14708</v>
      </c>
      <c r="C2063" s="76" t="s">
        <v>213</v>
      </c>
      <c r="D2063" s="76" t="s">
        <v>940</v>
      </c>
      <c r="E2063" s="76" t="s">
        <v>899</v>
      </c>
      <c r="F2063" s="76" t="s">
        <v>900</v>
      </c>
      <c r="G2063" s="76">
        <v>6</v>
      </c>
      <c r="O2063" s="92"/>
    </row>
    <row r="2064" spans="1:15" x14ac:dyDescent="0.25">
      <c r="A2064" s="1">
        <v>2059</v>
      </c>
      <c r="B2064" s="91">
        <v>14709</v>
      </c>
      <c r="C2064" s="76" t="s">
        <v>213</v>
      </c>
      <c r="D2064" s="76" t="s">
        <v>940</v>
      </c>
      <c r="E2064" s="76" t="s">
        <v>899</v>
      </c>
      <c r="F2064" s="76" t="s">
        <v>900</v>
      </c>
      <c r="G2064" s="76">
        <v>6</v>
      </c>
      <c r="O2064" s="92"/>
    </row>
    <row r="2065" spans="1:15" x14ac:dyDescent="0.25">
      <c r="A2065" s="1">
        <v>2060</v>
      </c>
      <c r="B2065" s="91">
        <v>14710</v>
      </c>
      <c r="C2065" s="76" t="s">
        <v>213</v>
      </c>
      <c r="D2065" s="76" t="s">
        <v>942</v>
      </c>
      <c r="E2065" s="76" t="s">
        <v>899</v>
      </c>
      <c r="F2065" s="76" t="s">
        <v>900</v>
      </c>
      <c r="G2065" s="76">
        <v>5</v>
      </c>
      <c r="O2065" s="92"/>
    </row>
    <row r="2066" spans="1:15" x14ac:dyDescent="0.25">
      <c r="A2066" s="1">
        <v>2061</v>
      </c>
      <c r="B2066" s="91">
        <v>14711</v>
      </c>
      <c r="C2066" s="76" t="s">
        <v>213</v>
      </c>
      <c r="D2066" s="76" t="s">
        <v>940</v>
      </c>
      <c r="E2066" s="76" t="s">
        <v>899</v>
      </c>
      <c r="F2066" s="76" t="s">
        <v>900</v>
      </c>
      <c r="G2066" s="76">
        <v>6</v>
      </c>
      <c r="O2066" s="92"/>
    </row>
    <row r="2067" spans="1:15" x14ac:dyDescent="0.25">
      <c r="A2067" s="1">
        <v>2062</v>
      </c>
      <c r="B2067" s="91">
        <v>14712</v>
      </c>
      <c r="C2067" s="76" t="s">
        <v>213</v>
      </c>
      <c r="D2067" s="76" t="s">
        <v>942</v>
      </c>
      <c r="E2067" s="76" t="s">
        <v>899</v>
      </c>
      <c r="F2067" s="76" t="s">
        <v>900</v>
      </c>
      <c r="G2067" s="76">
        <v>5</v>
      </c>
      <c r="O2067" s="92"/>
    </row>
    <row r="2068" spans="1:15" x14ac:dyDescent="0.25">
      <c r="A2068" s="1">
        <v>2063</v>
      </c>
      <c r="B2068" s="91">
        <v>14714</v>
      </c>
      <c r="C2068" s="76" t="s">
        <v>213</v>
      </c>
      <c r="D2068" s="76" t="s">
        <v>940</v>
      </c>
      <c r="E2068" s="76" t="s">
        <v>899</v>
      </c>
      <c r="F2068" s="76" t="s">
        <v>900</v>
      </c>
      <c r="G2068" s="76">
        <v>6</v>
      </c>
      <c r="O2068" s="92"/>
    </row>
    <row r="2069" spans="1:15" x14ac:dyDescent="0.25">
      <c r="A2069" s="1">
        <v>2064</v>
      </c>
      <c r="B2069" s="91">
        <v>14715</v>
      </c>
      <c r="C2069" s="76" t="s">
        <v>213</v>
      </c>
      <c r="D2069" s="76" t="s">
        <v>940</v>
      </c>
      <c r="E2069" s="76" t="s">
        <v>899</v>
      </c>
      <c r="F2069" s="76" t="s">
        <v>900</v>
      </c>
      <c r="G2069" s="76">
        <v>6</v>
      </c>
      <c r="O2069" s="92"/>
    </row>
    <row r="2070" spans="1:15" x14ac:dyDescent="0.25">
      <c r="A2070" s="1">
        <v>2065</v>
      </c>
      <c r="B2070" s="91">
        <v>14716</v>
      </c>
      <c r="C2070" s="76" t="s">
        <v>213</v>
      </c>
      <c r="D2070" s="76" t="s">
        <v>942</v>
      </c>
      <c r="E2070" s="76" t="s">
        <v>899</v>
      </c>
      <c r="F2070" s="76" t="s">
        <v>900</v>
      </c>
      <c r="G2070" s="76">
        <v>5</v>
      </c>
      <c r="O2070" s="92"/>
    </row>
    <row r="2071" spans="1:15" x14ac:dyDescent="0.25">
      <c r="A2071" s="1">
        <v>2066</v>
      </c>
      <c r="B2071" s="91">
        <v>14717</v>
      </c>
      <c r="C2071" s="76" t="s">
        <v>213</v>
      </c>
      <c r="D2071" s="76" t="s">
        <v>940</v>
      </c>
      <c r="E2071" s="76" t="s">
        <v>899</v>
      </c>
      <c r="F2071" s="76" t="s">
        <v>900</v>
      </c>
      <c r="G2071" s="76">
        <v>6</v>
      </c>
      <c r="O2071" s="92"/>
    </row>
    <row r="2072" spans="1:15" x14ac:dyDescent="0.25">
      <c r="A2072" s="1">
        <v>2067</v>
      </c>
      <c r="B2072" s="91">
        <v>14718</v>
      </c>
      <c r="C2072" s="76" t="s">
        <v>213</v>
      </c>
      <c r="D2072" s="76" t="s">
        <v>942</v>
      </c>
      <c r="E2072" s="76" t="s">
        <v>899</v>
      </c>
      <c r="F2072" s="76" t="s">
        <v>900</v>
      </c>
      <c r="G2072" s="76">
        <v>5</v>
      </c>
      <c r="O2072" s="92"/>
    </row>
    <row r="2073" spans="1:15" x14ac:dyDescent="0.25">
      <c r="A2073" s="1">
        <v>2068</v>
      </c>
      <c r="B2073" s="91">
        <v>14719</v>
      </c>
      <c r="C2073" s="76" t="s">
        <v>213</v>
      </c>
      <c r="D2073" s="76" t="s">
        <v>941</v>
      </c>
      <c r="E2073" s="76" t="s">
        <v>899</v>
      </c>
      <c r="F2073" s="76" t="s">
        <v>900</v>
      </c>
      <c r="G2073" s="76">
        <v>6</v>
      </c>
      <c r="O2073" s="92"/>
    </row>
    <row r="2074" spans="1:15" x14ac:dyDescent="0.25">
      <c r="A2074" s="1">
        <v>2069</v>
      </c>
      <c r="B2074" s="91">
        <v>14720</v>
      </c>
      <c r="C2074" s="76" t="s">
        <v>213</v>
      </c>
      <c r="D2074" s="76" t="s">
        <v>942</v>
      </c>
      <c r="E2074" s="76" t="s">
        <v>899</v>
      </c>
      <c r="F2074" s="76" t="s">
        <v>900</v>
      </c>
      <c r="G2074" s="76">
        <v>5</v>
      </c>
      <c r="O2074" s="92"/>
    </row>
    <row r="2075" spans="1:15" x14ac:dyDescent="0.25">
      <c r="A2075" s="1">
        <v>2070</v>
      </c>
      <c r="B2075" s="91">
        <v>14721</v>
      </c>
      <c r="C2075" s="76" t="s">
        <v>213</v>
      </c>
      <c r="D2075" s="76" t="s">
        <v>940</v>
      </c>
      <c r="E2075" s="76" t="s">
        <v>899</v>
      </c>
      <c r="F2075" s="76" t="s">
        <v>900</v>
      </c>
      <c r="G2075" s="76">
        <v>6</v>
      </c>
      <c r="O2075" s="92"/>
    </row>
    <row r="2076" spans="1:15" x14ac:dyDescent="0.25">
      <c r="A2076" s="1">
        <v>2071</v>
      </c>
      <c r="B2076" s="91">
        <v>14722</v>
      </c>
      <c r="C2076" s="76" t="s">
        <v>213</v>
      </c>
      <c r="D2076" s="76" t="s">
        <v>942</v>
      </c>
      <c r="E2076" s="76" t="s">
        <v>899</v>
      </c>
      <c r="F2076" s="76" t="s">
        <v>900</v>
      </c>
      <c r="G2076" s="76">
        <v>5</v>
      </c>
      <c r="O2076" s="92"/>
    </row>
    <row r="2077" spans="1:15" x14ac:dyDescent="0.25">
      <c r="A2077" s="1">
        <v>2072</v>
      </c>
      <c r="B2077" s="91">
        <v>14723</v>
      </c>
      <c r="C2077" s="76" t="s">
        <v>213</v>
      </c>
      <c r="D2077" s="76" t="s">
        <v>942</v>
      </c>
      <c r="E2077" s="76" t="s">
        <v>899</v>
      </c>
      <c r="F2077" s="76" t="s">
        <v>900</v>
      </c>
      <c r="G2077" s="76">
        <v>5</v>
      </c>
      <c r="O2077" s="92"/>
    </row>
    <row r="2078" spans="1:15" x14ac:dyDescent="0.25">
      <c r="A2078" s="1">
        <v>2073</v>
      </c>
      <c r="B2078" s="91">
        <v>14724</v>
      </c>
      <c r="C2078" s="76" t="s">
        <v>213</v>
      </c>
      <c r="D2078" s="76" t="s">
        <v>942</v>
      </c>
      <c r="E2078" s="76" t="s">
        <v>899</v>
      </c>
      <c r="F2078" s="76" t="s">
        <v>900</v>
      </c>
      <c r="G2078" s="76">
        <v>5</v>
      </c>
      <c r="O2078" s="92"/>
    </row>
    <row r="2079" spans="1:15" x14ac:dyDescent="0.25">
      <c r="A2079" s="1">
        <v>2074</v>
      </c>
      <c r="B2079" s="91">
        <v>14726</v>
      </c>
      <c r="C2079" s="76" t="s">
        <v>213</v>
      </c>
      <c r="D2079" s="76" t="s">
        <v>941</v>
      </c>
      <c r="E2079" s="76" t="s">
        <v>899</v>
      </c>
      <c r="F2079" s="76" t="s">
        <v>900</v>
      </c>
      <c r="G2079" s="76">
        <v>6</v>
      </c>
      <c r="O2079" s="92"/>
    </row>
    <row r="2080" spans="1:15" x14ac:dyDescent="0.25">
      <c r="A2080" s="1">
        <v>2075</v>
      </c>
      <c r="B2080" s="91">
        <v>14727</v>
      </c>
      <c r="C2080" s="76" t="s">
        <v>213</v>
      </c>
      <c r="D2080" s="76" t="s">
        <v>940</v>
      </c>
      <c r="E2080" s="76" t="s">
        <v>899</v>
      </c>
      <c r="F2080" s="76" t="s">
        <v>900</v>
      </c>
      <c r="G2080" s="76">
        <v>6</v>
      </c>
      <c r="O2080" s="92"/>
    </row>
    <row r="2081" spans="1:15" x14ac:dyDescent="0.25">
      <c r="A2081" s="1">
        <v>2076</v>
      </c>
      <c r="B2081" s="91">
        <v>14728</v>
      </c>
      <c r="C2081" s="76" t="s">
        <v>213</v>
      </c>
      <c r="D2081" s="76" t="s">
        <v>942</v>
      </c>
      <c r="E2081" s="76" t="s">
        <v>899</v>
      </c>
      <c r="F2081" s="76" t="s">
        <v>900</v>
      </c>
      <c r="G2081" s="76">
        <v>5</v>
      </c>
      <c r="O2081" s="92"/>
    </row>
    <row r="2082" spans="1:15" x14ac:dyDescent="0.25">
      <c r="A2082" s="1">
        <v>2077</v>
      </c>
      <c r="B2082" s="91">
        <v>14729</v>
      </c>
      <c r="C2082" s="76" t="s">
        <v>213</v>
      </c>
      <c r="D2082" s="76" t="s">
        <v>941</v>
      </c>
      <c r="E2082" s="76" t="s">
        <v>899</v>
      </c>
      <c r="F2082" s="76" t="s">
        <v>900</v>
      </c>
      <c r="G2082" s="76">
        <v>6</v>
      </c>
      <c r="O2082" s="92"/>
    </row>
    <row r="2083" spans="1:15" x14ac:dyDescent="0.25">
      <c r="A2083" s="1">
        <v>2078</v>
      </c>
      <c r="B2083" s="91">
        <v>14730</v>
      </c>
      <c r="C2083" s="76" t="s">
        <v>213</v>
      </c>
      <c r="D2083" s="76" t="s">
        <v>941</v>
      </c>
      <c r="E2083" s="76" t="s">
        <v>899</v>
      </c>
      <c r="F2083" s="76" t="s">
        <v>900</v>
      </c>
      <c r="G2083" s="76">
        <v>6</v>
      </c>
      <c r="O2083" s="92"/>
    </row>
    <row r="2084" spans="1:15" x14ac:dyDescent="0.25">
      <c r="A2084" s="1">
        <v>2079</v>
      </c>
      <c r="B2084" s="91">
        <v>14731</v>
      </c>
      <c r="C2084" s="76" t="s">
        <v>213</v>
      </c>
      <c r="D2084" s="76" t="s">
        <v>941</v>
      </c>
      <c r="E2084" s="76" t="s">
        <v>899</v>
      </c>
      <c r="F2084" s="76" t="s">
        <v>900</v>
      </c>
      <c r="G2084" s="76">
        <v>6</v>
      </c>
      <c r="O2084" s="92"/>
    </row>
    <row r="2085" spans="1:15" x14ac:dyDescent="0.25">
      <c r="A2085" s="1">
        <v>2080</v>
      </c>
      <c r="B2085" s="91">
        <v>14732</v>
      </c>
      <c r="C2085" s="76" t="s">
        <v>213</v>
      </c>
      <c r="D2085" s="76" t="s">
        <v>942</v>
      </c>
      <c r="E2085" s="76" t="s">
        <v>899</v>
      </c>
      <c r="F2085" s="76" t="s">
        <v>900</v>
      </c>
      <c r="G2085" s="76">
        <v>5</v>
      </c>
      <c r="O2085" s="92"/>
    </row>
    <row r="2086" spans="1:15" x14ac:dyDescent="0.25">
      <c r="A2086" s="1">
        <v>2081</v>
      </c>
      <c r="B2086" s="91">
        <v>14733</v>
      </c>
      <c r="C2086" s="76" t="s">
        <v>213</v>
      </c>
      <c r="D2086" s="76" t="s">
        <v>942</v>
      </c>
      <c r="E2086" s="76" t="s">
        <v>899</v>
      </c>
      <c r="F2086" s="76" t="s">
        <v>900</v>
      </c>
      <c r="G2086" s="76">
        <v>5</v>
      </c>
      <c r="O2086" s="92"/>
    </row>
    <row r="2087" spans="1:15" x14ac:dyDescent="0.25">
      <c r="A2087" s="1">
        <v>2082</v>
      </c>
      <c r="B2087" s="91">
        <v>14735</v>
      </c>
      <c r="C2087" s="76" t="s">
        <v>213</v>
      </c>
      <c r="D2087" s="76" t="s">
        <v>940</v>
      </c>
      <c r="E2087" s="76" t="s">
        <v>899</v>
      </c>
      <c r="F2087" s="76" t="s">
        <v>900</v>
      </c>
      <c r="G2087" s="76">
        <v>6</v>
      </c>
      <c r="O2087" s="92"/>
    </row>
    <row r="2088" spans="1:15" x14ac:dyDescent="0.25">
      <c r="A2088" s="1">
        <v>2083</v>
      </c>
      <c r="B2088" s="91">
        <v>14736</v>
      </c>
      <c r="C2088" s="76" t="s">
        <v>213</v>
      </c>
      <c r="D2088" s="76" t="s">
        <v>942</v>
      </c>
      <c r="E2088" s="76" t="s">
        <v>899</v>
      </c>
      <c r="F2088" s="76" t="s">
        <v>900</v>
      </c>
      <c r="G2088" s="76">
        <v>5</v>
      </c>
      <c r="O2088" s="92"/>
    </row>
    <row r="2089" spans="1:15" x14ac:dyDescent="0.25">
      <c r="A2089" s="1">
        <v>2084</v>
      </c>
      <c r="B2089" s="91">
        <v>14737</v>
      </c>
      <c r="C2089" s="76" t="s">
        <v>213</v>
      </c>
      <c r="D2089" s="76" t="s">
        <v>941</v>
      </c>
      <c r="E2089" s="76" t="s">
        <v>899</v>
      </c>
      <c r="F2089" s="76" t="s">
        <v>900</v>
      </c>
      <c r="G2089" s="76">
        <v>6</v>
      </c>
      <c r="O2089" s="92"/>
    </row>
    <row r="2090" spans="1:15" x14ac:dyDescent="0.25">
      <c r="A2090" s="1">
        <v>2085</v>
      </c>
      <c r="B2090" s="91">
        <v>14738</v>
      </c>
      <c r="C2090" s="76" t="s">
        <v>213</v>
      </c>
      <c r="D2090" s="76" t="s">
        <v>942</v>
      </c>
      <c r="E2090" s="76" t="s">
        <v>899</v>
      </c>
      <c r="F2090" s="76" t="s">
        <v>900</v>
      </c>
      <c r="G2090" s="76">
        <v>5</v>
      </c>
      <c r="O2090" s="92"/>
    </row>
    <row r="2091" spans="1:15" x14ac:dyDescent="0.25">
      <c r="A2091" s="1">
        <v>2086</v>
      </c>
      <c r="B2091" s="91">
        <v>14739</v>
      </c>
      <c r="C2091" s="76" t="s">
        <v>213</v>
      </c>
      <c r="D2091" s="76" t="s">
        <v>940</v>
      </c>
      <c r="E2091" s="76" t="s">
        <v>899</v>
      </c>
      <c r="F2091" s="76" t="s">
        <v>900</v>
      </c>
      <c r="G2091" s="76">
        <v>6</v>
      </c>
      <c r="O2091" s="92"/>
    </row>
    <row r="2092" spans="1:15" x14ac:dyDescent="0.25">
      <c r="A2092" s="1">
        <v>2087</v>
      </c>
      <c r="B2092" s="91">
        <v>14740</v>
      </c>
      <c r="C2092" s="76" t="s">
        <v>213</v>
      </c>
      <c r="D2092" s="76" t="s">
        <v>942</v>
      </c>
      <c r="E2092" s="76" t="s">
        <v>899</v>
      </c>
      <c r="F2092" s="76" t="s">
        <v>900</v>
      </c>
      <c r="G2092" s="76">
        <v>5</v>
      </c>
      <c r="O2092" s="92"/>
    </row>
    <row r="2093" spans="1:15" x14ac:dyDescent="0.25">
      <c r="A2093" s="1">
        <v>2088</v>
      </c>
      <c r="B2093" s="91">
        <v>14741</v>
      </c>
      <c r="C2093" s="76" t="s">
        <v>213</v>
      </c>
      <c r="D2093" s="76" t="s">
        <v>941</v>
      </c>
      <c r="E2093" s="76" t="s">
        <v>899</v>
      </c>
      <c r="F2093" s="76" t="s">
        <v>900</v>
      </c>
      <c r="G2093" s="76">
        <v>6</v>
      </c>
      <c r="O2093" s="92"/>
    </row>
    <row r="2094" spans="1:15" x14ac:dyDescent="0.25">
      <c r="A2094" s="1">
        <v>2089</v>
      </c>
      <c r="B2094" s="91">
        <v>14742</v>
      </c>
      <c r="C2094" s="76" t="s">
        <v>213</v>
      </c>
      <c r="D2094" s="76" t="s">
        <v>942</v>
      </c>
      <c r="E2094" s="76" t="s">
        <v>899</v>
      </c>
      <c r="F2094" s="76" t="s">
        <v>900</v>
      </c>
      <c r="G2094" s="76">
        <v>5</v>
      </c>
      <c r="O2094" s="92"/>
    </row>
    <row r="2095" spans="1:15" x14ac:dyDescent="0.25">
      <c r="A2095" s="1">
        <v>2090</v>
      </c>
      <c r="B2095" s="91">
        <v>14743</v>
      </c>
      <c r="C2095" s="76" t="s">
        <v>213</v>
      </c>
      <c r="D2095" s="76" t="s">
        <v>941</v>
      </c>
      <c r="E2095" s="76" t="s">
        <v>899</v>
      </c>
      <c r="F2095" s="76" t="s">
        <v>900</v>
      </c>
      <c r="G2095" s="76">
        <v>6</v>
      </c>
      <c r="O2095" s="92"/>
    </row>
    <row r="2096" spans="1:15" x14ac:dyDescent="0.25">
      <c r="A2096" s="1">
        <v>2091</v>
      </c>
      <c r="B2096" s="91">
        <v>14744</v>
      </c>
      <c r="C2096" s="76" t="s">
        <v>213</v>
      </c>
      <c r="D2096" s="76" t="s">
        <v>940</v>
      </c>
      <c r="E2096" s="76" t="s">
        <v>899</v>
      </c>
      <c r="F2096" s="76" t="s">
        <v>900</v>
      </c>
      <c r="G2096" s="76">
        <v>6</v>
      </c>
      <c r="O2096" s="92"/>
    </row>
    <row r="2097" spans="1:15" x14ac:dyDescent="0.25">
      <c r="A2097" s="1">
        <v>2092</v>
      </c>
      <c r="B2097" s="91">
        <v>14745</v>
      </c>
      <c r="C2097" s="76" t="s">
        <v>213</v>
      </c>
      <c r="D2097" s="76" t="s">
        <v>940</v>
      </c>
      <c r="E2097" s="76" t="s">
        <v>899</v>
      </c>
      <c r="F2097" s="76" t="s">
        <v>900</v>
      </c>
      <c r="G2097" s="76">
        <v>6</v>
      </c>
      <c r="O2097" s="92"/>
    </row>
    <row r="2098" spans="1:15" x14ac:dyDescent="0.25">
      <c r="A2098" s="1">
        <v>2093</v>
      </c>
      <c r="B2098" s="91">
        <v>14747</v>
      </c>
      <c r="C2098" s="76" t="s">
        <v>213</v>
      </c>
      <c r="D2098" s="76" t="s">
        <v>942</v>
      </c>
      <c r="E2098" s="76" t="s">
        <v>899</v>
      </c>
      <c r="F2098" s="76" t="s">
        <v>900</v>
      </c>
      <c r="G2098" s="76">
        <v>5</v>
      </c>
      <c r="O2098" s="92"/>
    </row>
    <row r="2099" spans="1:15" x14ac:dyDescent="0.25">
      <c r="A2099" s="1">
        <v>2094</v>
      </c>
      <c r="B2099" s="91">
        <v>14748</v>
      </c>
      <c r="C2099" s="76" t="s">
        <v>213</v>
      </c>
      <c r="D2099" s="76" t="s">
        <v>941</v>
      </c>
      <c r="E2099" s="76" t="s">
        <v>899</v>
      </c>
      <c r="F2099" s="76" t="s">
        <v>900</v>
      </c>
      <c r="G2099" s="76">
        <v>6</v>
      </c>
      <c r="O2099" s="92"/>
    </row>
    <row r="2100" spans="1:15" x14ac:dyDescent="0.25">
      <c r="A2100" s="1">
        <v>2095</v>
      </c>
      <c r="B2100" s="91">
        <v>14750</v>
      </c>
      <c r="C2100" s="76" t="s">
        <v>213</v>
      </c>
      <c r="D2100" s="76" t="s">
        <v>942</v>
      </c>
      <c r="E2100" s="76" t="s">
        <v>899</v>
      </c>
      <c r="F2100" s="76" t="s">
        <v>900</v>
      </c>
      <c r="G2100" s="76">
        <v>5</v>
      </c>
      <c r="O2100" s="92"/>
    </row>
    <row r="2101" spans="1:15" x14ac:dyDescent="0.25">
      <c r="A2101" s="1">
        <v>2096</v>
      </c>
      <c r="B2101" s="91">
        <v>14751</v>
      </c>
      <c r="C2101" s="76" t="s">
        <v>213</v>
      </c>
      <c r="D2101" s="76" t="s">
        <v>941</v>
      </c>
      <c r="E2101" s="76" t="s">
        <v>899</v>
      </c>
      <c r="F2101" s="76" t="s">
        <v>900</v>
      </c>
      <c r="G2101" s="76">
        <v>6</v>
      </c>
      <c r="O2101" s="92"/>
    </row>
    <row r="2102" spans="1:15" x14ac:dyDescent="0.25">
      <c r="A2102" s="1">
        <v>2097</v>
      </c>
      <c r="B2102" s="91">
        <v>14752</v>
      </c>
      <c r="C2102" s="76" t="s">
        <v>213</v>
      </c>
      <c r="D2102" s="76" t="s">
        <v>942</v>
      </c>
      <c r="E2102" s="76" t="s">
        <v>899</v>
      </c>
      <c r="F2102" s="76" t="s">
        <v>900</v>
      </c>
      <c r="G2102" s="76">
        <v>5</v>
      </c>
      <c r="O2102" s="92"/>
    </row>
    <row r="2103" spans="1:15" x14ac:dyDescent="0.25">
      <c r="A2103" s="1">
        <v>2098</v>
      </c>
      <c r="B2103" s="91">
        <v>14753</v>
      </c>
      <c r="C2103" s="76" t="s">
        <v>213</v>
      </c>
      <c r="D2103" s="76" t="s">
        <v>941</v>
      </c>
      <c r="E2103" s="76" t="s">
        <v>899</v>
      </c>
      <c r="F2103" s="76" t="s">
        <v>900</v>
      </c>
      <c r="G2103" s="76">
        <v>6</v>
      </c>
      <c r="O2103" s="92"/>
    </row>
    <row r="2104" spans="1:15" x14ac:dyDescent="0.25">
      <c r="A2104" s="1">
        <v>2099</v>
      </c>
      <c r="B2104" s="91">
        <v>14754</v>
      </c>
      <c r="C2104" s="76" t="s">
        <v>213</v>
      </c>
      <c r="D2104" s="76" t="s">
        <v>940</v>
      </c>
      <c r="E2104" s="76" t="s">
        <v>899</v>
      </c>
      <c r="F2104" s="76" t="s">
        <v>900</v>
      </c>
      <c r="G2104" s="76">
        <v>6</v>
      </c>
      <c r="O2104" s="92"/>
    </row>
    <row r="2105" spans="1:15" x14ac:dyDescent="0.25">
      <c r="A2105" s="1">
        <v>2100</v>
      </c>
      <c r="B2105" s="91">
        <v>14755</v>
      </c>
      <c r="C2105" s="76" t="s">
        <v>213</v>
      </c>
      <c r="D2105" s="76" t="s">
        <v>941</v>
      </c>
      <c r="E2105" s="76" t="s">
        <v>899</v>
      </c>
      <c r="F2105" s="76" t="s">
        <v>900</v>
      </c>
      <c r="G2105" s="76">
        <v>6</v>
      </c>
      <c r="O2105" s="92"/>
    </row>
    <row r="2106" spans="1:15" x14ac:dyDescent="0.25">
      <c r="A2106" s="1">
        <v>2101</v>
      </c>
      <c r="B2106" s="91">
        <v>14756</v>
      </c>
      <c r="C2106" s="76" t="s">
        <v>213</v>
      </c>
      <c r="D2106" s="76" t="s">
        <v>941</v>
      </c>
      <c r="E2106" s="76" t="s">
        <v>899</v>
      </c>
      <c r="F2106" s="76" t="s">
        <v>900</v>
      </c>
      <c r="G2106" s="76">
        <v>6</v>
      </c>
      <c r="O2106" s="92"/>
    </row>
    <row r="2107" spans="1:15" x14ac:dyDescent="0.25">
      <c r="A2107" s="1">
        <v>2102</v>
      </c>
      <c r="B2107" s="91">
        <v>14757</v>
      </c>
      <c r="C2107" s="76" t="s">
        <v>213</v>
      </c>
      <c r="D2107" s="76" t="s">
        <v>942</v>
      </c>
      <c r="E2107" s="76" t="s">
        <v>899</v>
      </c>
      <c r="F2107" s="76" t="s">
        <v>900</v>
      </c>
      <c r="G2107" s="76">
        <v>5</v>
      </c>
      <c r="O2107" s="92"/>
    </row>
    <row r="2108" spans="1:15" x14ac:dyDescent="0.25">
      <c r="A2108" s="1">
        <v>2103</v>
      </c>
      <c r="B2108" s="91">
        <v>14758</v>
      </c>
      <c r="C2108" s="76" t="s">
        <v>213</v>
      </c>
      <c r="D2108" s="76" t="s">
        <v>942</v>
      </c>
      <c r="E2108" s="76" t="s">
        <v>899</v>
      </c>
      <c r="F2108" s="76" t="s">
        <v>900</v>
      </c>
      <c r="G2108" s="76">
        <v>5</v>
      </c>
      <c r="O2108" s="92"/>
    </row>
    <row r="2109" spans="1:15" x14ac:dyDescent="0.25">
      <c r="A2109" s="1">
        <v>2104</v>
      </c>
      <c r="B2109" s="91">
        <v>14760</v>
      </c>
      <c r="C2109" s="76" t="s">
        <v>213</v>
      </c>
      <c r="D2109" s="76" t="s">
        <v>941</v>
      </c>
      <c r="E2109" s="76" t="s">
        <v>899</v>
      </c>
      <c r="F2109" s="76" t="s">
        <v>900</v>
      </c>
      <c r="G2109" s="76">
        <v>6</v>
      </c>
      <c r="O2109" s="92"/>
    </row>
    <row r="2110" spans="1:15" x14ac:dyDescent="0.25">
      <c r="A2110" s="1">
        <v>2105</v>
      </c>
      <c r="B2110" s="91">
        <v>14766</v>
      </c>
      <c r="C2110" s="76" t="s">
        <v>213</v>
      </c>
      <c r="D2110" s="76" t="s">
        <v>941</v>
      </c>
      <c r="E2110" s="76" t="s">
        <v>899</v>
      </c>
      <c r="F2110" s="76" t="s">
        <v>900</v>
      </c>
      <c r="G2110" s="76">
        <v>6</v>
      </c>
      <c r="O2110" s="92"/>
    </row>
    <row r="2111" spans="1:15" x14ac:dyDescent="0.25">
      <c r="A2111" s="1">
        <v>2106</v>
      </c>
      <c r="B2111" s="91">
        <v>14767</v>
      </c>
      <c r="C2111" s="76" t="s">
        <v>213</v>
      </c>
      <c r="D2111" s="76" t="s">
        <v>942</v>
      </c>
      <c r="E2111" s="76" t="s">
        <v>899</v>
      </c>
      <c r="F2111" s="76" t="s">
        <v>900</v>
      </c>
      <c r="G2111" s="76">
        <v>5</v>
      </c>
      <c r="O2111" s="92"/>
    </row>
    <row r="2112" spans="1:15" x14ac:dyDescent="0.25">
      <c r="A2112" s="1">
        <v>2107</v>
      </c>
      <c r="B2112" s="91">
        <v>14769</v>
      </c>
      <c r="C2112" s="76" t="s">
        <v>213</v>
      </c>
      <c r="D2112" s="76" t="s">
        <v>942</v>
      </c>
      <c r="E2112" s="76" t="s">
        <v>899</v>
      </c>
      <c r="F2112" s="76" t="s">
        <v>900</v>
      </c>
      <c r="G2112" s="76">
        <v>5</v>
      </c>
      <c r="O2112" s="92"/>
    </row>
    <row r="2113" spans="1:15" x14ac:dyDescent="0.25">
      <c r="A2113" s="1">
        <v>2108</v>
      </c>
      <c r="B2113" s="91">
        <v>14770</v>
      </c>
      <c r="C2113" s="76" t="s">
        <v>213</v>
      </c>
      <c r="D2113" s="76" t="s">
        <v>941</v>
      </c>
      <c r="E2113" s="76" t="s">
        <v>899</v>
      </c>
      <c r="F2113" s="76" t="s">
        <v>900</v>
      </c>
      <c r="G2113" s="76">
        <v>6</v>
      </c>
      <c r="O2113" s="92"/>
    </row>
    <row r="2114" spans="1:15" x14ac:dyDescent="0.25">
      <c r="A2114" s="1">
        <v>2109</v>
      </c>
      <c r="B2114" s="91">
        <v>14772</v>
      </c>
      <c r="C2114" s="76" t="s">
        <v>213</v>
      </c>
      <c r="D2114" s="76" t="s">
        <v>941</v>
      </c>
      <c r="E2114" s="76" t="s">
        <v>899</v>
      </c>
      <c r="F2114" s="76" t="s">
        <v>900</v>
      </c>
      <c r="G2114" s="76">
        <v>6</v>
      </c>
      <c r="O2114" s="92"/>
    </row>
    <row r="2115" spans="1:15" x14ac:dyDescent="0.25">
      <c r="A2115" s="1">
        <v>2110</v>
      </c>
      <c r="B2115" s="91">
        <v>14774</v>
      </c>
      <c r="C2115" s="76" t="s">
        <v>213</v>
      </c>
      <c r="D2115" s="76" t="s">
        <v>940</v>
      </c>
      <c r="E2115" s="76" t="s">
        <v>899</v>
      </c>
      <c r="F2115" s="76" t="s">
        <v>900</v>
      </c>
      <c r="G2115" s="76">
        <v>6</v>
      </c>
      <c r="O2115" s="92"/>
    </row>
    <row r="2116" spans="1:15" x14ac:dyDescent="0.25">
      <c r="A2116" s="1">
        <v>2111</v>
      </c>
      <c r="B2116" s="91">
        <v>14775</v>
      </c>
      <c r="C2116" s="76" t="s">
        <v>213</v>
      </c>
      <c r="D2116" s="76" t="s">
        <v>942</v>
      </c>
      <c r="E2116" s="76" t="s">
        <v>899</v>
      </c>
      <c r="F2116" s="76" t="s">
        <v>900</v>
      </c>
      <c r="G2116" s="76">
        <v>5</v>
      </c>
      <c r="O2116" s="92"/>
    </row>
    <row r="2117" spans="1:15" x14ac:dyDescent="0.25">
      <c r="A2117" s="1">
        <v>2112</v>
      </c>
      <c r="B2117" s="91">
        <v>14777</v>
      </c>
      <c r="C2117" s="76" t="s">
        <v>213</v>
      </c>
      <c r="D2117" s="76" t="s">
        <v>940</v>
      </c>
      <c r="E2117" s="76" t="s">
        <v>899</v>
      </c>
      <c r="F2117" s="76" t="s">
        <v>900</v>
      </c>
      <c r="G2117" s="76">
        <v>6</v>
      </c>
      <c r="O2117" s="92"/>
    </row>
    <row r="2118" spans="1:15" x14ac:dyDescent="0.25">
      <c r="A2118" s="1">
        <v>2113</v>
      </c>
      <c r="B2118" s="91">
        <v>14778</v>
      </c>
      <c r="C2118" s="76" t="s">
        <v>213</v>
      </c>
      <c r="D2118" s="76" t="s">
        <v>941</v>
      </c>
      <c r="E2118" s="76" t="s">
        <v>899</v>
      </c>
      <c r="F2118" s="76" t="s">
        <v>900</v>
      </c>
      <c r="G2118" s="76">
        <v>6</v>
      </c>
      <c r="O2118" s="92"/>
    </row>
    <row r="2119" spans="1:15" x14ac:dyDescent="0.25">
      <c r="A2119" s="1">
        <v>2114</v>
      </c>
      <c r="B2119" s="91">
        <v>14779</v>
      </c>
      <c r="C2119" s="76" t="s">
        <v>213</v>
      </c>
      <c r="D2119" s="76" t="s">
        <v>941</v>
      </c>
      <c r="E2119" s="76" t="s">
        <v>899</v>
      </c>
      <c r="F2119" s="76" t="s">
        <v>900</v>
      </c>
      <c r="G2119" s="76">
        <v>6</v>
      </c>
      <c r="O2119" s="92"/>
    </row>
    <row r="2120" spans="1:15" x14ac:dyDescent="0.25">
      <c r="A2120" s="1">
        <v>2115</v>
      </c>
      <c r="B2120" s="91">
        <v>14781</v>
      </c>
      <c r="C2120" s="76" t="s">
        <v>213</v>
      </c>
      <c r="D2120" s="76" t="s">
        <v>942</v>
      </c>
      <c r="E2120" s="76" t="s">
        <v>899</v>
      </c>
      <c r="F2120" s="76" t="s">
        <v>900</v>
      </c>
      <c r="G2120" s="76">
        <v>5</v>
      </c>
      <c r="O2120" s="92"/>
    </row>
    <row r="2121" spans="1:15" x14ac:dyDescent="0.25">
      <c r="A2121" s="1">
        <v>2116</v>
      </c>
      <c r="B2121" s="91">
        <v>14782</v>
      </c>
      <c r="C2121" s="76" t="s">
        <v>213</v>
      </c>
      <c r="D2121" s="76" t="s">
        <v>942</v>
      </c>
      <c r="E2121" s="76" t="s">
        <v>899</v>
      </c>
      <c r="F2121" s="76" t="s">
        <v>900</v>
      </c>
      <c r="G2121" s="76">
        <v>5</v>
      </c>
      <c r="O2121" s="92"/>
    </row>
    <row r="2122" spans="1:15" x14ac:dyDescent="0.25">
      <c r="A2122" s="1">
        <v>2117</v>
      </c>
      <c r="B2122" s="91">
        <v>14783</v>
      </c>
      <c r="C2122" s="76" t="s">
        <v>213</v>
      </c>
      <c r="D2122" s="76" t="s">
        <v>941</v>
      </c>
      <c r="E2122" s="76" t="s">
        <v>899</v>
      </c>
      <c r="F2122" s="76" t="s">
        <v>900</v>
      </c>
      <c r="G2122" s="76">
        <v>6</v>
      </c>
      <c r="O2122" s="92"/>
    </row>
    <row r="2123" spans="1:15" x14ac:dyDescent="0.25">
      <c r="A2123" s="1">
        <v>2118</v>
      </c>
      <c r="B2123" s="91">
        <v>14784</v>
      </c>
      <c r="C2123" s="76" t="s">
        <v>213</v>
      </c>
      <c r="D2123" s="76" t="s">
        <v>942</v>
      </c>
      <c r="E2123" s="76" t="s">
        <v>899</v>
      </c>
      <c r="F2123" s="76" t="s">
        <v>900</v>
      </c>
      <c r="G2123" s="76">
        <v>5</v>
      </c>
      <c r="O2123" s="92"/>
    </row>
    <row r="2124" spans="1:15" x14ac:dyDescent="0.25">
      <c r="A2124" s="1">
        <v>2119</v>
      </c>
      <c r="B2124" s="91">
        <v>14785</v>
      </c>
      <c r="C2124" s="76" t="s">
        <v>213</v>
      </c>
      <c r="D2124" s="76" t="s">
        <v>942</v>
      </c>
      <c r="E2124" s="76" t="s">
        <v>899</v>
      </c>
      <c r="F2124" s="76" t="s">
        <v>900</v>
      </c>
      <c r="G2124" s="76">
        <v>5</v>
      </c>
      <c r="O2124" s="92"/>
    </row>
    <row r="2125" spans="1:15" x14ac:dyDescent="0.25">
      <c r="A2125" s="1">
        <v>2120</v>
      </c>
      <c r="B2125" s="91">
        <v>14786</v>
      </c>
      <c r="C2125" s="76" t="s">
        <v>213</v>
      </c>
      <c r="D2125" s="76" t="s">
        <v>940</v>
      </c>
      <c r="E2125" s="76" t="s">
        <v>899</v>
      </c>
      <c r="F2125" s="76" t="s">
        <v>900</v>
      </c>
      <c r="G2125" s="76">
        <v>6</v>
      </c>
      <c r="O2125" s="92"/>
    </row>
    <row r="2126" spans="1:15" x14ac:dyDescent="0.25">
      <c r="A2126" s="1">
        <v>2121</v>
      </c>
      <c r="B2126" s="91">
        <v>14787</v>
      </c>
      <c r="C2126" s="76" t="s">
        <v>213</v>
      </c>
      <c r="D2126" s="76" t="s">
        <v>942</v>
      </c>
      <c r="E2126" s="76" t="s">
        <v>899</v>
      </c>
      <c r="F2126" s="76" t="s">
        <v>900</v>
      </c>
      <c r="G2126" s="76">
        <v>5</v>
      </c>
      <c r="O2126" s="92"/>
    </row>
    <row r="2127" spans="1:15" x14ac:dyDescent="0.25">
      <c r="A2127" s="1">
        <v>2122</v>
      </c>
      <c r="B2127" s="91">
        <v>14788</v>
      </c>
      <c r="C2127" s="76" t="s">
        <v>213</v>
      </c>
      <c r="D2127" s="76" t="s">
        <v>941</v>
      </c>
      <c r="E2127" s="76" t="s">
        <v>899</v>
      </c>
      <c r="F2127" s="76" t="s">
        <v>900</v>
      </c>
      <c r="G2127" s="76">
        <v>6</v>
      </c>
      <c r="O2127" s="92"/>
    </row>
    <row r="2128" spans="1:15" x14ac:dyDescent="0.25">
      <c r="A2128" s="1">
        <v>2123</v>
      </c>
      <c r="B2128" s="91">
        <v>14801</v>
      </c>
      <c r="C2128" s="76" t="s">
        <v>212</v>
      </c>
      <c r="D2128" s="76" t="s">
        <v>948</v>
      </c>
      <c r="E2128" s="76" t="s">
        <v>899</v>
      </c>
      <c r="F2128" s="76" t="s">
        <v>900</v>
      </c>
      <c r="G2128" s="76">
        <v>6</v>
      </c>
      <c r="O2128" s="92"/>
    </row>
    <row r="2129" spans="1:15" x14ac:dyDescent="0.25">
      <c r="A2129" s="1">
        <v>2124</v>
      </c>
      <c r="B2129" s="91">
        <v>14802</v>
      </c>
      <c r="C2129" s="76" t="s">
        <v>213</v>
      </c>
      <c r="D2129" s="76" t="s">
        <v>940</v>
      </c>
      <c r="E2129" s="76" t="s">
        <v>899</v>
      </c>
      <c r="F2129" s="76" t="s">
        <v>900</v>
      </c>
      <c r="G2129" s="76">
        <v>6</v>
      </c>
      <c r="O2129" s="92"/>
    </row>
    <row r="2130" spans="1:15" x14ac:dyDescent="0.25">
      <c r="A2130" s="1">
        <v>2125</v>
      </c>
      <c r="B2130" s="91">
        <v>14803</v>
      </c>
      <c r="C2130" s="76" t="s">
        <v>213</v>
      </c>
      <c r="D2130" s="76" t="s">
        <v>940</v>
      </c>
      <c r="E2130" s="76" t="s">
        <v>899</v>
      </c>
      <c r="F2130" s="76" t="s">
        <v>900</v>
      </c>
      <c r="G2130" s="76">
        <v>6</v>
      </c>
      <c r="O2130" s="92"/>
    </row>
    <row r="2131" spans="1:15" x14ac:dyDescent="0.25">
      <c r="A2131" s="1">
        <v>2126</v>
      </c>
      <c r="B2131" s="91">
        <v>14804</v>
      </c>
      <c r="C2131" s="76" t="s">
        <v>213</v>
      </c>
      <c r="D2131" s="76" t="s">
        <v>940</v>
      </c>
      <c r="E2131" s="76" t="s">
        <v>899</v>
      </c>
      <c r="F2131" s="76" t="s">
        <v>900</v>
      </c>
      <c r="G2131" s="76">
        <v>6</v>
      </c>
      <c r="O2131" s="92"/>
    </row>
    <row r="2132" spans="1:15" x14ac:dyDescent="0.25">
      <c r="A2132" s="1">
        <v>2127</v>
      </c>
      <c r="B2132" s="91">
        <v>14805</v>
      </c>
      <c r="C2132" s="76" t="s">
        <v>212</v>
      </c>
      <c r="D2132" s="76" t="s">
        <v>949</v>
      </c>
      <c r="E2132" s="76" t="s">
        <v>899</v>
      </c>
      <c r="F2132" s="76" t="s">
        <v>900</v>
      </c>
      <c r="G2132" s="76">
        <v>6</v>
      </c>
      <c r="O2132" s="92"/>
    </row>
    <row r="2133" spans="1:15" x14ac:dyDescent="0.25">
      <c r="A2133" s="1">
        <v>2128</v>
      </c>
      <c r="B2133" s="91">
        <v>14806</v>
      </c>
      <c r="C2133" s="76" t="s">
        <v>213</v>
      </c>
      <c r="D2133" s="76" t="s">
        <v>940</v>
      </c>
      <c r="E2133" s="76" t="s">
        <v>899</v>
      </c>
      <c r="F2133" s="76" t="s">
        <v>900</v>
      </c>
      <c r="G2133" s="76">
        <v>6</v>
      </c>
      <c r="O2133" s="92"/>
    </row>
    <row r="2134" spans="1:15" x14ac:dyDescent="0.25">
      <c r="A2134" s="1">
        <v>2129</v>
      </c>
      <c r="B2134" s="91">
        <v>14807</v>
      </c>
      <c r="C2134" s="76" t="s">
        <v>212</v>
      </c>
      <c r="D2134" s="76" t="s">
        <v>948</v>
      </c>
      <c r="E2134" s="76" t="s">
        <v>899</v>
      </c>
      <c r="F2134" s="76" t="s">
        <v>900</v>
      </c>
      <c r="G2134" s="76">
        <v>6</v>
      </c>
      <c r="O2134" s="92"/>
    </row>
    <row r="2135" spans="1:15" x14ac:dyDescent="0.25">
      <c r="A2135" s="1">
        <v>2130</v>
      </c>
      <c r="B2135" s="91">
        <v>14808</v>
      </c>
      <c r="C2135" s="76" t="s">
        <v>212</v>
      </c>
      <c r="D2135" s="76" t="s">
        <v>948</v>
      </c>
      <c r="E2135" s="76" t="s">
        <v>899</v>
      </c>
      <c r="F2135" s="76" t="s">
        <v>900</v>
      </c>
      <c r="G2135" s="76">
        <v>6</v>
      </c>
      <c r="O2135" s="92"/>
    </row>
    <row r="2136" spans="1:15" x14ac:dyDescent="0.25">
      <c r="A2136" s="1">
        <v>2131</v>
      </c>
      <c r="B2136" s="91">
        <v>14809</v>
      </c>
      <c r="C2136" s="76" t="s">
        <v>212</v>
      </c>
      <c r="D2136" s="76" t="s">
        <v>948</v>
      </c>
      <c r="E2136" s="76" t="s">
        <v>899</v>
      </c>
      <c r="F2136" s="76" t="s">
        <v>900</v>
      </c>
      <c r="G2136" s="76">
        <v>6</v>
      </c>
      <c r="O2136" s="92"/>
    </row>
    <row r="2137" spans="1:15" x14ac:dyDescent="0.25">
      <c r="A2137" s="1">
        <v>2132</v>
      </c>
      <c r="B2137" s="91">
        <v>14810</v>
      </c>
      <c r="C2137" s="76" t="s">
        <v>212</v>
      </c>
      <c r="D2137" s="76" t="s">
        <v>948</v>
      </c>
      <c r="E2137" s="76" t="s">
        <v>899</v>
      </c>
      <c r="F2137" s="76" t="s">
        <v>900</v>
      </c>
      <c r="G2137" s="76">
        <v>6</v>
      </c>
      <c r="O2137" s="92"/>
    </row>
    <row r="2138" spans="1:15" x14ac:dyDescent="0.25">
      <c r="A2138" s="1">
        <v>2133</v>
      </c>
      <c r="B2138" s="91">
        <v>14812</v>
      </c>
      <c r="C2138" s="76" t="s">
        <v>212</v>
      </c>
      <c r="D2138" s="76" t="s">
        <v>949</v>
      </c>
      <c r="E2138" s="76" t="s">
        <v>899</v>
      </c>
      <c r="F2138" s="76" t="s">
        <v>900</v>
      </c>
      <c r="G2138" s="76">
        <v>6</v>
      </c>
      <c r="O2138" s="92"/>
    </row>
    <row r="2139" spans="1:15" x14ac:dyDescent="0.25">
      <c r="A2139" s="1">
        <v>2134</v>
      </c>
      <c r="B2139" s="91">
        <v>14813</v>
      </c>
      <c r="C2139" s="76" t="s">
        <v>213</v>
      </c>
      <c r="D2139" s="76" t="s">
        <v>940</v>
      </c>
      <c r="E2139" s="76" t="s">
        <v>899</v>
      </c>
      <c r="F2139" s="76" t="s">
        <v>900</v>
      </c>
      <c r="G2139" s="76">
        <v>6</v>
      </c>
      <c r="O2139" s="92"/>
    </row>
    <row r="2140" spans="1:15" x14ac:dyDescent="0.25">
      <c r="A2140" s="1">
        <v>2135</v>
      </c>
      <c r="B2140" s="91">
        <v>14814</v>
      </c>
      <c r="C2140" s="76" t="s">
        <v>212</v>
      </c>
      <c r="D2140" s="76" t="s">
        <v>950</v>
      </c>
      <c r="E2140" s="76" t="s">
        <v>899</v>
      </c>
      <c r="F2140" s="76" t="s">
        <v>900</v>
      </c>
      <c r="G2140" s="76">
        <v>5</v>
      </c>
      <c r="O2140" s="92"/>
    </row>
    <row r="2141" spans="1:15" x14ac:dyDescent="0.25">
      <c r="A2141" s="1">
        <v>2136</v>
      </c>
      <c r="B2141" s="91">
        <v>14815</v>
      </c>
      <c r="C2141" s="76" t="s">
        <v>212</v>
      </c>
      <c r="D2141" s="76" t="s">
        <v>949</v>
      </c>
      <c r="E2141" s="76" t="s">
        <v>899</v>
      </c>
      <c r="F2141" s="76" t="s">
        <v>900</v>
      </c>
      <c r="G2141" s="76">
        <v>6</v>
      </c>
      <c r="O2141" s="92"/>
    </row>
    <row r="2142" spans="1:15" x14ac:dyDescent="0.25">
      <c r="A2142" s="1">
        <v>2137</v>
      </c>
      <c r="B2142" s="91">
        <v>14816</v>
      </c>
      <c r="C2142" s="76" t="s">
        <v>212</v>
      </c>
      <c r="D2142" s="76" t="s">
        <v>950</v>
      </c>
      <c r="E2142" s="76" t="s">
        <v>899</v>
      </c>
      <c r="F2142" s="76" t="s">
        <v>900</v>
      </c>
      <c r="G2142" s="76">
        <v>5</v>
      </c>
      <c r="O2142" s="92"/>
    </row>
    <row r="2143" spans="1:15" x14ac:dyDescent="0.25">
      <c r="A2143" s="1">
        <v>2138</v>
      </c>
      <c r="B2143" s="91">
        <v>14817</v>
      </c>
      <c r="C2143" s="76" t="s">
        <v>212</v>
      </c>
      <c r="D2143" s="76" t="s">
        <v>927</v>
      </c>
      <c r="E2143" s="76" t="s">
        <v>899</v>
      </c>
      <c r="F2143" s="76" t="s">
        <v>900</v>
      </c>
      <c r="G2143" s="76">
        <v>6</v>
      </c>
      <c r="O2143" s="92"/>
    </row>
    <row r="2144" spans="1:15" x14ac:dyDescent="0.25">
      <c r="A2144" s="1">
        <v>2139</v>
      </c>
      <c r="B2144" s="91">
        <v>14818</v>
      </c>
      <c r="C2144" s="76" t="s">
        <v>212</v>
      </c>
      <c r="D2144" s="76" t="s">
        <v>949</v>
      </c>
      <c r="E2144" s="76" t="s">
        <v>899</v>
      </c>
      <c r="F2144" s="76" t="s">
        <v>900</v>
      </c>
      <c r="G2144" s="76">
        <v>6</v>
      </c>
      <c r="O2144" s="92"/>
    </row>
    <row r="2145" spans="1:15" x14ac:dyDescent="0.25">
      <c r="A2145" s="1">
        <v>2140</v>
      </c>
      <c r="B2145" s="91">
        <v>14819</v>
      </c>
      <c r="C2145" s="76" t="s">
        <v>212</v>
      </c>
      <c r="D2145" s="76" t="s">
        <v>948</v>
      </c>
      <c r="E2145" s="76" t="s">
        <v>899</v>
      </c>
      <c r="F2145" s="76" t="s">
        <v>900</v>
      </c>
      <c r="G2145" s="76">
        <v>6</v>
      </c>
      <c r="O2145" s="92"/>
    </row>
    <row r="2146" spans="1:15" x14ac:dyDescent="0.25">
      <c r="A2146" s="1">
        <v>2141</v>
      </c>
      <c r="B2146" s="91">
        <v>14820</v>
      </c>
      <c r="C2146" s="76" t="s">
        <v>212</v>
      </c>
      <c r="D2146" s="76" t="s">
        <v>948</v>
      </c>
      <c r="E2146" s="76" t="s">
        <v>899</v>
      </c>
      <c r="F2146" s="76" t="s">
        <v>900</v>
      </c>
      <c r="G2146" s="76">
        <v>6</v>
      </c>
      <c r="O2146" s="92"/>
    </row>
    <row r="2147" spans="1:15" x14ac:dyDescent="0.25">
      <c r="A2147" s="1">
        <v>2142</v>
      </c>
      <c r="B2147" s="91">
        <v>14821</v>
      </c>
      <c r="C2147" s="76" t="s">
        <v>212</v>
      </c>
      <c r="D2147" s="76" t="s">
        <v>948</v>
      </c>
      <c r="E2147" s="76" t="s">
        <v>899</v>
      </c>
      <c r="F2147" s="76" t="s">
        <v>900</v>
      </c>
      <c r="G2147" s="76">
        <v>6</v>
      </c>
      <c r="O2147" s="92"/>
    </row>
    <row r="2148" spans="1:15" x14ac:dyDescent="0.25">
      <c r="A2148" s="1">
        <v>2143</v>
      </c>
      <c r="B2148" s="91">
        <v>14822</v>
      </c>
      <c r="C2148" s="76" t="s">
        <v>213</v>
      </c>
      <c r="D2148" s="76" t="s">
        <v>940</v>
      </c>
      <c r="E2148" s="76" t="s">
        <v>899</v>
      </c>
      <c r="F2148" s="76" t="s">
        <v>900</v>
      </c>
      <c r="G2148" s="76">
        <v>6</v>
      </c>
      <c r="O2148" s="92"/>
    </row>
    <row r="2149" spans="1:15" x14ac:dyDescent="0.25">
      <c r="A2149" s="1">
        <v>2144</v>
      </c>
      <c r="B2149" s="91">
        <v>14823</v>
      </c>
      <c r="C2149" s="76" t="s">
        <v>212</v>
      </c>
      <c r="D2149" s="76" t="s">
        <v>948</v>
      </c>
      <c r="E2149" s="76" t="s">
        <v>899</v>
      </c>
      <c r="F2149" s="76" t="s">
        <v>900</v>
      </c>
      <c r="G2149" s="76">
        <v>6</v>
      </c>
      <c r="O2149" s="92"/>
    </row>
    <row r="2150" spans="1:15" x14ac:dyDescent="0.25">
      <c r="A2150" s="1">
        <v>2145</v>
      </c>
      <c r="B2150" s="91">
        <v>14824</v>
      </c>
      <c r="C2150" s="76" t="s">
        <v>212</v>
      </c>
      <c r="D2150" s="76" t="s">
        <v>949</v>
      </c>
      <c r="E2150" s="76" t="s">
        <v>899</v>
      </c>
      <c r="F2150" s="76" t="s">
        <v>900</v>
      </c>
      <c r="G2150" s="76">
        <v>6</v>
      </c>
      <c r="O2150" s="92"/>
    </row>
    <row r="2151" spans="1:15" x14ac:dyDescent="0.25">
      <c r="A2151" s="1">
        <v>2146</v>
      </c>
      <c r="B2151" s="91">
        <v>14825</v>
      </c>
      <c r="C2151" s="76" t="s">
        <v>212</v>
      </c>
      <c r="D2151" s="76" t="s">
        <v>950</v>
      </c>
      <c r="E2151" s="76" t="s">
        <v>899</v>
      </c>
      <c r="F2151" s="76" t="s">
        <v>900</v>
      </c>
      <c r="G2151" s="76">
        <v>5</v>
      </c>
      <c r="O2151" s="92"/>
    </row>
    <row r="2152" spans="1:15" x14ac:dyDescent="0.25">
      <c r="A2152" s="1">
        <v>2147</v>
      </c>
      <c r="B2152" s="91">
        <v>14826</v>
      </c>
      <c r="C2152" s="76" t="s">
        <v>212</v>
      </c>
      <c r="D2152" s="76" t="s">
        <v>948</v>
      </c>
      <c r="E2152" s="76" t="s">
        <v>899</v>
      </c>
      <c r="F2152" s="76" t="s">
        <v>900</v>
      </c>
      <c r="G2152" s="76">
        <v>6</v>
      </c>
      <c r="O2152" s="92"/>
    </row>
    <row r="2153" spans="1:15" x14ac:dyDescent="0.25">
      <c r="A2153" s="1">
        <v>2148</v>
      </c>
      <c r="B2153" s="91">
        <v>14827</v>
      </c>
      <c r="C2153" s="76" t="s">
        <v>212</v>
      </c>
      <c r="D2153" s="76" t="s">
        <v>948</v>
      </c>
      <c r="E2153" s="76" t="s">
        <v>899</v>
      </c>
      <c r="F2153" s="76" t="s">
        <v>900</v>
      </c>
      <c r="G2153" s="76">
        <v>6</v>
      </c>
      <c r="O2153" s="92"/>
    </row>
    <row r="2154" spans="1:15" x14ac:dyDescent="0.25">
      <c r="A2154" s="1">
        <v>2149</v>
      </c>
      <c r="B2154" s="91">
        <v>14830</v>
      </c>
      <c r="C2154" s="76" t="s">
        <v>212</v>
      </c>
      <c r="D2154" s="76" t="s">
        <v>948</v>
      </c>
      <c r="E2154" s="76" t="s">
        <v>899</v>
      </c>
      <c r="F2154" s="76" t="s">
        <v>900</v>
      </c>
      <c r="G2154" s="76">
        <v>6</v>
      </c>
      <c r="O2154" s="92"/>
    </row>
    <row r="2155" spans="1:15" x14ac:dyDescent="0.25">
      <c r="A2155" s="1">
        <v>2150</v>
      </c>
      <c r="B2155" s="91">
        <v>14831</v>
      </c>
      <c r="C2155" s="76" t="s">
        <v>212</v>
      </c>
      <c r="D2155" s="76" t="s">
        <v>948</v>
      </c>
      <c r="E2155" s="76" t="s">
        <v>899</v>
      </c>
      <c r="F2155" s="76" t="s">
        <v>900</v>
      </c>
      <c r="G2155" s="76">
        <v>6</v>
      </c>
      <c r="O2155" s="92"/>
    </row>
    <row r="2156" spans="1:15" x14ac:dyDescent="0.25">
      <c r="A2156" s="1">
        <v>2151</v>
      </c>
      <c r="B2156" s="91">
        <v>14836</v>
      </c>
      <c r="C2156" s="76" t="s">
        <v>213</v>
      </c>
      <c r="D2156" s="76" t="s">
        <v>945</v>
      </c>
      <c r="E2156" s="76" t="s">
        <v>899</v>
      </c>
      <c r="F2156" s="76" t="s">
        <v>900</v>
      </c>
      <c r="G2156" s="76">
        <v>5</v>
      </c>
      <c r="O2156" s="92"/>
    </row>
    <row r="2157" spans="1:15" x14ac:dyDescent="0.25">
      <c r="A2157" s="1">
        <v>2152</v>
      </c>
      <c r="B2157" s="91">
        <v>14837</v>
      </c>
      <c r="C2157" s="76" t="s">
        <v>219</v>
      </c>
      <c r="D2157" s="76" t="s">
        <v>946</v>
      </c>
      <c r="E2157" s="76" t="s">
        <v>899</v>
      </c>
      <c r="F2157" s="76" t="s">
        <v>900</v>
      </c>
      <c r="G2157" s="76">
        <v>5</v>
      </c>
      <c r="O2157" s="92"/>
    </row>
    <row r="2158" spans="1:15" x14ac:dyDescent="0.25">
      <c r="A2158" s="1">
        <v>2153</v>
      </c>
      <c r="B2158" s="91">
        <v>14838</v>
      </c>
      <c r="C2158" s="76" t="s">
        <v>212</v>
      </c>
      <c r="D2158" s="76" t="s">
        <v>950</v>
      </c>
      <c r="E2158" s="76" t="s">
        <v>899</v>
      </c>
      <c r="F2158" s="76" t="s">
        <v>900</v>
      </c>
      <c r="G2158" s="76">
        <v>5</v>
      </c>
      <c r="O2158" s="92"/>
    </row>
    <row r="2159" spans="1:15" x14ac:dyDescent="0.25">
      <c r="A2159" s="1">
        <v>2154</v>
      </c>
      <c r="B2159" s="91">
        <v>14839</v>
      </c>
      <c r="C2159" s="76" t="s">
        <v>212</v>
      </c>
      <c r="D2159" s="76" t="s">
        <v>948</v>
      </c>
      <c r="E2159" s="76" t="s">
        <v>899</v>
      </c>
      <c r="F2159" s="76" t="s">
        <v>900</v>
      </c>
      <c r="G2159" s="76">
        <v>6</v>
      </c>
      <c r="O2159" s="92"/>
    </row>
    <row r="2160" spans="1:15" x14ac:dyDescent="0.25">
      <c r="A2160" s="1">
        <v>2155</v>
      </c>
      <c r="B2160" s="91">
        <v>14840</v>
      </c>
      <c r="C2160" s="76" t="s">
        <v>212</v>
      </c>
      <c r="D2160" s="76" t="s">
        <v>948</v>
      </c>
      <c r="E2160" s="76" t="s">
        <v>899</v>
      </c>
      <c r="F2160" s="76" t="s">
        <v>900</v>
      </c>
      <c r="G2160" s="76">
        <v>6</v>
      </c>
      <c r="O2160" s="92"/>
    </row>
    <row r="2161" spans="1:15" x14ac:dyDescent="0.25">
      <c r="A2161" s="1">
        <v>2156</v>
      </c>
      <c r="B2161" s="91">
        <v>14841</v>
      </c>
      <c r="C2161" s="76" t="s">
        <v>212</v>
      </c>
      <c r="D2161" s="76" t="s">
        <v>949</v>
      </c>
      <c r="E2161" s="76" t="s">
        <v>899</v>
      </c>
      <c r="F2161" s="76" t="s">
        <v>900</v>
      </c>
      <c r="G2161" s="76">
        <v>6</v>
      </c>
      <c r="O2161" s="92"/>
    </row>
    <row r="2162" spans="1:15" x14ac:dyDescent="0.25">
      <c r="A2162" s="1">
        <v>2157</v>
      </c>
      <c r="B2162" s="91">
        <v>14842</v>
      </c>
      <c r="C2162" s="76" t="s">
        <v>219</v>
      </c>
      <c r="D2162" s="76" t="s">
        <v>946</v>
      </c>
      <c r="E2162" s="76" t="s">
        <v>899</v>
      </c>
      <c r="F2162" s="76" t="s">
        <v>900</v>
      </c>
      <c r="G2162" s="76">
        <v>5</v>
      </c>
      <c r="O2162" s="92"/>
    </row>
    <row r="2163" spans="1:15" x14ac:dyDescent="0.25">
      <c r="A2163" s="1">
        <v>2158</v>
      </c>
      <c r="B2163" s="91">
        <v>14843</v>
      </c>
      <c r="C2163" s="76" t="s">
        <v>212</v>
      </c>
      <c r="D2163" s="76" t="s">
        <v>948</v>
      </c>
      <c r="E2163" s="76" t="s">
        <v>899</v>
      </c>
      <c r="F2163" s="76" t="s">
        <v>900</v>
      </c>
      <c r="G2163" s="76">
        <v>6</v>
      </c>
      <c r="O2163" s="92"/>
    </row>
    <row r="2164" spans="1:15" x14ac:dyDescent="0.25">
      <c r="A2164" s="1">
        <v>2159</v>
      </c>
      <c r="B2164" s="91">
        <v>14845</v>
      </c>
      <c r="C2164" s="76" t="s">
        <v>212</v>
      </c>
      <c r="D2164" s="76" t="s">
        <v>950</v>
      </c>
      <c r="E2164" s="76" t="s">
        <v>899</v>
      </c>
      <c r="F2164" s="76" t="s">
        <v>900</v>
      </c>
      <c r="G2164" s="76">
        <v>5</v>
      </c>
      <c r="O2164" s="92"/>
    </row>
    <row r="2165" spans="1:15" x14ac:dyDescent="0.25">
      <c r="A2165" s="1">
        <v>2160</v>
      </c>
      <c r="B2165" s="91">
        <v>14846</v>
      </c>
      <c r="C2165" s="76" t="s">
        <v>213</v>
      </c>
      <c r="D2165" s="76" t="s">
        <v>945</v>
      </c>
      <c r="E2165" s="76" t="s">
        <v>899</v>
      </c>
      <c r="F2165" s="76" t="s">
        <v>900</v>
      </c>
      <c r="G2165" s="76">
        <v>5</v>
      </c>
      <c r="O2165" s="92"/>
    </row>
    <row r="2166" spans="1:15" x14ac:dyDescent="0.25">
      <c r="A2166" s="1">
        <v>2161</v>
      </c>
      <c r="B2166" s="91">
        <v>14847</v>
      </c>
      <c r="C2166" s="76" t="s">
        <v>219</v>
      </c>
      <c r="D2166" s="76" t="s">
        <v>928</v>
      </c>
      <c r="E2166" s="76" t="s">
        <v>899</v>
      </c>
      <c r="F2166" s="76" t="s">
        <v>900</v>
      </c>
      <c r="G2166" s="76">
        <v>5</v>
      </c>
      <c r="O2166" s="92"/>
    </row>
    <row r="2167" spans="1:15" x14ac:dyDescent="0.25">
      <c r="A2167" s="1">
        <v>2162</v>
      </c>
      <c r="B2167" s="91">
        <v>14850</v>
      </c>
      <c r="C2167" s="76" t="s">
        <v>212</v>
      </c>
      <c r="D2167" s="76" t="s">
        <v>927</v>
      </c>
      <c r="E2167" s="76" t="s">
        <v>899</v>
      </c>
      <c r="F2167" s="76" t="s">
        <v>900</v>
      </c>
      <c r="G2167" s="76">
        <v>6</v>
      </c>
      <c r="O2167" s="92"/>
    </row>
    <row r="2168" spans="1:15" x14ac:dyDescent="0.25">
      <c r="A2168" s="1">
        <v>2163</v>
      </c>
      <c r="B2168" s="91">
        <v>14851</v>
      </c>
      <c r="C2168" s="76" t="s">
        <v>212</v>
      </c>
      <c r="D2168" s="76" t="s">
        <v>927</v>
      </c>
      <c r="E2168" s="76" t="s">
        <v>899</v>
      </c>
      <c r="F2168" s="76" t="s">
        <v>900</v>
      </c>
      <c r="G2168" s="76">
        <v>6</v>
      </c>
      <c r="O2168" s="92"/>
    </row>
    <row r="2169" spans="1:15" x14ac:dyDescent="0.25">
      <c r="A2169" s="1">
        <v>2164</v>
      </c>
      <c r="B2169" s="91">
        <v>14852</v>
      </c>
      <c r="C2169" s="76" t="s">
        <v>212</v>
      </c>
      <c r="D2169" s="76" t="s">
        <v>927</v>
      </c>
      <c r="E2169" s="76" t="s">
        <v>899</v>
      </c>
      <c r="F2169" s="76" t="s">
        <v>900</v>
      </c>
      <c r="G2169" s="76">
        <v>6</v>
      </c>
      <c r="O2169" s="92"/>
    </row>
    <row r="2170" spans="1:15" x14ac:dyDescent="0.25">
      <c r="A2170" s="1">
        <v>2165</v>
      </c>
      <c r="B2170" s="91">
        <v>14853</v>
      </c>
      <c r="C2170" s="76" t="s">
        <v>212</v>
      </c>
      <c r="D2170" s="76" t="s">
        <v>927</v>
      </c>
      <c r="E2170" s="76" t="s">
        <v>899</v>
      </c>
      <c r="F2170" s="76" t="s">
        <v>900</v>
      </c>
      <c r="G2170" s="76">
        <v>6</v>
      </c>
      <c r="O2170" s="92"/>
    </row>
    <row r="2171" spans="1:15" x14ac:dyDescent="0.25">
      <c r="A2171" s="1">
        <v>2166</v>
      </c>
      <c r="B2171" s="91">
        <v>14854</v>
      </c>
      <c r="C2171" s="76" t="s">
        <v>212</v>
      </c>
      <c r="D2171" s="76" t="s">
        <v>927</v>
      </c>
      <c r="E2171" s="76" t="s">
        <v>899</v>
      </c>
      <c r="F2171" s="76" t="s">
        <v>900</v>
      </c>
      <c r="G2171" s="76">
        <v>6</v>
      </c>
      <c r="O2171" s="92"/>
    </row>
    <row r="2172" spans="1:15" x14ac:dyDescent="0.25">
      <c r="A2172" s="1">
        <v>2167</v>
      </c>
      <c r="B2172" s="91">
        <v>14855</v>
      </c>
      <c r="C2172" s="76" t="s">
        <v>212</v>
      </c>
      <c r="D2172" s="76" t="s">
        <v>948</v>
      </c>
      <c r="E2172" s="76" t="s">
        <v>899</v>
      </c>
      <c r="F2172" s="76" t="s">
        <v>900</v>
      </c>
      <c r="G2172" s="76">
        <v>6</v>
      </c>
      <c r="O2172" s="92"/>
    </row>
    <row r="2173" spans="1:15" x14ac:dyDescent="0.25">
      <c r="A2173" s="1">
        <v>2168</v>
      </c>
      <c r="B2173" s="91">
        <v>14856</v>
      </c>
      <c r="C2173" s="76" t="s">
        <v>212</v>
      </c>
      <c r="D2173" s="76" t="s">
        <v>948</v>
      </c>
      <c r="E2173" s="76" t="s">
        <v>899</v>
      </c>
      <c r="F2173" s="76" t="s">
        <v>900</v>
      </c>
      <c r="G2173" s="76">
        <v>6</v>
      </c>
      <c r="O2173" s="92"/>
    </row>
    <row r="2174" spans="1:15" x14ac:dyDescent="0.25">
      <c r="A2174" s="1">
        <v>2169</v>
      </c>
      <c r="B2174" s="91">
        <v>14857</v>
      </c>
      <c r="C2174" s="76" t="s">
        <v>219</v>
      </c>
      <c r="D2174" s="76" t="s">
        <v>946</v>
      </c>
      <c r="E2174" s="76" t="s">
        <v>899</v>
      </c>
      <c r="F2174" s="76" t="s">
        <v>900</v>
      </c>
      <c r="G2174" s="76">
        <v>5</v>
      </c>
      <c r="O2174" s="92"/>
    </row>
    <row r="2175" spans="1:15" x14ac:dyDescent="0.25">
      <c r="A2175" s="1">
        <v>2170</v>
      </c>
      <c r="B2175" s="91">
        <v>14858</v>
      </c>
      <c r="C2175" s="76" t="s">
        <v>212</v>
      </c>
      <c r="D2175" s="76" t="s">
        <v>948</v>
      </c>
      <c r="E2175" s="76" t="s">
        <v>899</v>
      </c>
      <c r="F2175" s="76" t="s">
        <v>900</v>
      </c>
      <c r="G2175" s="76">
        <v>6</v>
      </c>
      <c r="O2175" s="92"/>
    </row>
    <row r="2176" spans="1:15" x14ac:dyDescent="0.25">
      <c r="A2176" s="1">
        <v>2171</v>
      </c>
      <c r="B2176" s="91">
        <v>14859</v>
      </c>
      <c r="C2176" s="76" t="s">
        <v>212</v>
      </c>
      <c r="D2176" s="76" t="s">
        <v>934</v>
      </c>
      <c r="E2176" s="76" t="s">
        <v>899</v>
      </c>
      <c r="F2176" s="76" t="s">
        <v>888</v>
      </c>
      <c r="G2176" s="76">
        <v>5</v>
      </c>
      <c r="O2176" s="92"/>
    </row>
    <row r="2177" spans="1:15" x14ac:dyDescent="0.25">
      <c r="A2177" s="1">
        <v>2172</v>
      </c>
      <c r="B2177" s="91">
        <v>14860</v>
      </c>
      <c r="C2177" s="76" t="s">
        <v>219</v>
      </c>
      <c r="D2177" s="76" t="s">
        <v>928</v>
      </c>
      <c r="E2177" s="76" t="s">
        <v>899</v>
      </c>
      <c r="F2177" s="76" t="s">
        <v>900</v>
      </c>
      <c r="G2177" s="76">
        <v>5</v>
      </c>
      <c r="O2177" s="92"/>
    </row>
    <row r="2178" spans="1:15" x14ac:dyDescent="0.25">
      <c r="A2178" s="1">
        <v>2173</v>
      </c>
      <c r="B2178" s="91">
        <v>14861</v>
      </c>
      <c r="C2178" s="76" t="s">
        <v>212</v>
      </c>
      <c r="D2178" s="76" t="s">
        <v>950</v>
      </c>
      <c r="E2178" s="76" t="s">
        <v>899</v>
      </c>
      <c r="F2178" s="76" t="s">
        <v>900</v>
      </c>
      <c r="G2178" s="76">
        <v>5</v>
      </c>
      <c r="O2178" s="92"/>
    </row>
    <row r="2179" spans="1:15" x14ac:dyDescent="0.25">
      <c r="A2179" s="1">
        <v>2174</v>
      </c>
      <c r="B2179" s="91">
        <v>14863</v>
      </c>
      <c r="C2179" s="76" t="s">
        <v>212</v>
      </c>
      <c r="D2179" s="76" t="s">
        <v>949</v>
      </c>
      <c r="E2179" s="76" t="s">
        <v>899</v>
      </c>
      <c r="F2179" s="76" t="s">
        <v>900</v>
      </c>
      <c r="G2179" s="76">
        <v>6</v>
      </c>
      <c r="O2179" s="92"/>
    </row>
    <row r="2180" spans="1:15" x14ac:dyDescent="0.25">
      <c r="A2180" s="1">
        <v>2175</v>
      </c>
      <c r="B2180" s="91">
        <v>14864</v>
      </c>
      <c r="C2180" s="76" t="s">
        <v>212</v>
      </c>
      <c r="D2180" s="76" t="s">
        <v>950</v>
      </c>
      <c r="E2180" s="76" t="s">
        <v>899</v>
      </c>
      <c r="F2180" s="76" t="s">
        <v>900</v>
      </c>
      <c r="G2180" s="76">
        <v>5</v>
      </c>
      <c r="O2180" s="92"/>
    </row>
    <row r="2181" spans="1:15" x14ac:dyDescent="0.25">
      <c r="A2181" s="1">
        <v>2176</v>
      </c>
      <c r="B2181" s="91">
        <v>14865</v>
      </c>
      <c r="C2181" s="76" t="s">
        <v>212</v>
      </c>
      <c r="D2181" s="76" t="s">
        <v>949</v>
      </c>
      <c r="E2181" s="76" t="s">
        <v>899</v>
      </c>
      <c r="F2181" s="76" t="s">
        <v>900</v>
      </c>
      <c r="G2181" s="76">
        <v>6</v>
      </c>
      <c r="O2181" s="92"/>
    </row>
    <row r="2182" spans="1:15" x14ac:dyDescent="0.25">
      <c r="A2182" s="1">
        <v>2177</v>
      </c>
      <c r="B2182" s="91">
        <v>14867</v>
      </c>
      <c r="C2182" s="76" t="s">
        <v>212</v>
      </c>
      <c r="D2182" s="76" t="s">
        <v>927</v>
      </c>
      <c r="E2182" s="76" t="s">
        <v>899</v>
      </c>
      <c r="F2182" s="76" t="s">
        <v>900</v>
      </c>
      <c r="G2182" s="76">
        <v>6</v>
      </c>
      <c r="O2182" s="92"/>
    </row>
    <row r="2183" spans="1:15" x14ac:dyDescent="0.25">
      <c r="A2183" s="1">
        <v>2178</v>
      </c>
      <c r="B2183" s="91">
        <v>14869</v>
      </c>
      <c r="C2183" s="76" t="s">
        <v>212</v>
      </c>
      <c r="D2183" s="76" t="s">
        <v>949</v>
      </c>
      <c r="E2183" s="76" t="s">
        <v>899</v>
      </c>
      <c r="F2183" s="76" t="s">
        <v>900</v>
      </c>
      <c r="G2183" s="76">
        <v>6</v>
      </c>
      <c r="O2183" s="92"/>
    </row>
    <row r="2184" spans="1:15" x14ac:dyDescent="0.25">
      <c r="A2184" s="1">
        <v>2179</v>
      </c>
      <c r="B2184" s="91">
        <v>14870</v>
      </c>
      <c r="C2184" s="76" t="s">
        <v>212</v>
      </c>
      <c r="D2184" s="76" t="s">
        <v>948</v>
      </c>
      <c r="E2184" s="76" t="s">
        <v>899</v>
      </c>
      <c r="F2184" s="76" t="s">
        <v>900</v>
      </c>
      <c r="G2184" s="76">
        <v>6</v>
      </c>
      <c r="O2184" s="92"/>
    </row>
    <row r="2185" spans="1:15" x14ac:dyDescent="0.25">
      <c r="A2185" s="1">
        <v>2180</v>
      </c>
      <c r="B2185" s="91">
        <v>14871</v>
      </c>
      <c r="C2185" s="76" t="s">
        <v>212</v>
      </c>
      <c r="D2185" s="76" t="s">
        <v>950</v>
      </c>
      <c r="E2185" s="76" t="s">
        <v>899</v>
      </c>
      <c r="F2185" s="76" t="s">
        <v>900</v>
      </c>
      <c r="G2185" s="76">
        <v>5</v>
      </c>
      <c r="O2185" s="92"/>
    </row>
    <row r="2186" spans="1:15" x14ac:dyDescent="0.25">
      <c r="A2186" s="1">
        <v>2181</v>
      </c>
      <c r="B2186" s="91">
        <v>14872</v>
      </c>
      <c r="C2186" s="76" t="s">
        <v>212</v>
      </c>
      <c r="D2186" s="76" t="s">
        <v>950</v>
      </c>
      <c r="E2186" s="76" t="s">
        <v>899</v>
      </c>
      <c r="F2186" s="76" t="s">
        <v>900</v>
      </c>
      <c r="G2186" s="76">
        <v>5</v>
      </c>
      <c r="O2186" s="92"/>
    </row>
    <row r="2187" spans="1:15" x14ac:dyDescent="0.25">
      <c r="A2187" s="1">
        <v>2182</v>
      </c>
      <c r="B2187" s="91">
        <v>14873</v>
      </c>
      <c r="C2187" s="76" t="s">
        <v>212</v>
      </c>
      <c r="D2187" s="76" t="s">
        <v>948</v>
      </c>
      <c r="E2187" s="76" t="s">
        <v>899</v>
      </c>
      <c r="F2187" s="76" t="s">
        <v>900</v>
      </c>
      <c r="G2187" s="76">
        <v>6</v>
      </c>
      <c r="O2187" s="92"/>
    </row>
    <row r="2188" spans="1:15" x14ac:dyDescent="0.25">
      <c r="A2188" s="1">
        <v>2183</v>
      </c>
      <c r="B2188" s="91">
        <v>14874</v>
      </c>
      <c r="C2188" s="76" t="s">
        <v>212</v>
      </c>
      <c r="D2188" s="76" t="s">
        <v>948</v>
      </c>
      <c r="E2188" s="76" t="s">
        <v>899</v>
      </c>
      <c r="F2188" s="76" t="s">
        <v>900</v>
      </c>
      <c r="G2188" s="76">
        <v>6</v>
      </c>
      <c r="O2188" s="92"/>
    </row>
    <row r="2189" spans="1:15" x14ac:dyDescent="0.25">
      <c r="A2189" s="1">
        <v>2184</v>
      </c>
      <c r="B2189" s="91">
        <v>14876</v>
      </c>
      <c r="C2189" s="76" t="s">
        <v>212</v>
      </c>
      <c r="D2189" s="76" t="s">
        <v>949</v>
      </c>
      <c r="E2189" s="76" t="s">
        <v>899</v>
      </c>
      <c r="F2189" s="76" t="s">
        <v>900</v>
      </c>
      <c r="G2189" s="76">
        <v>6</v>
      </c>
      <c r="O2189" s="92"/>
    </row>
    <row r="2190" spans="1:15" x14ac:dyDescent="0.25">
      <c r="A2190" s="1">
        <v>2185</v>
      </c>
      <c r="B2190" s="91">
        <v>14877</v>
      </c>
      <c r="C2190" s="76" t="s">
        <v>212</v>
      </c>
      <c r="D2190" s="76" t="s">
        <v>948</v>
      </c>
      <c r="E2190" s="76" t="s">
        <v>899</v>
      </c>
      <c r="F2190" s="76" t="s">
        <v>900</v>
      </c>
      <c r="G2190" s="76">
        <v>6</v>
      </c>
      <c r="O2190" s="92"/>
    </row>
    <row r="2191" spans="1:15" x14ac:dyDescent="0.25">
      <c r="A2191" s="1">
        <v>2186</v>
      </c>
      <c r="B2191" s="91">
        <v>14878</v>
      </c>
      <c r="C2191" s="76" t="s">
        <v>212</v>
      </c>
      <c r="D2191" s="76" t="s">
        <v>949</v>
      </c>
      <c r="E2191" s="76" t="s">
        <v>899</v>
      </c>
      <c r="F2191" s="76" t="s">
        <v>900</v>
      </c>
      <c r="G2191" s="76">
        <v>6</v>
      </c>
      <c r="O2191" s="92"/>
    </row>
    <row r="2192" spans="1:15" x14ac:dyDescent="0.25">
      <c r="A2192" s="1">
        <v>2187</v>
      </c>
      <c r="B2192" s="91">
        <v>14879</v>
      </c>
      <c r="C2192" s="76" t="s">
        <v>212</v>
      </c>
      <c r="D2192" s="76" t="s">
        <v>948</v>
      </c>
      <c r="E2192" s="76" t="s">
        <v>899</v>
      </c>
      <c r="F2192" s="76" t="s">
        <v>900</v>
      </c>
      <c r="G2192" s="76">
        <v>6</v>
      </c>
      <c r="O2192" s="92"/>
    </row>
    <row r="2193" spans="1:15" x14ac:dyDescent="0.25">
      <c r="A2193" s="1">
        <v>2188</v>
      </c>
      <c r="B2193" s="91">
        <v>14880</v>
      </c>
      <c r="C2193" s="76" t="s">
        <v>213</v>
      </c>
      <c r="D2193" s="76" t="s">
        <v>940</v>
      </c>
      <c r="E2193" s="76" t="s">
        <v>899</v>
      </c>
      <c r="F2193" s="76" t="s">
        <v>900</v>
      </c>
      <c r="G2193" s="76">
        <v>6</v>
      </c>
      <c r="O2193" s="92"/>
    </row>
    <row r="2194" spans="1:15" x14ac:dyDescent="0.25">
      <c r="A2194" s="1">
        <v>2189</v>
      </c>
      <c r="B2194" s="91">
        <v>14881</v>
      </c>
      <c r="C2194" s="76" t="s">
        <v>212</v>
      </c>
      <c r="D2194" s="76" t="s">
        <v>927</v>
      </c>
      <c r="E2194" s="76" t="s">
        <v>899</v>
      </c>
      <c r="F2194" s="76" t="s">
        <v>900</v>
      </c>
      <c r="G2194" s="76">
        <v>6</v>
      </c>
      <c r="O2194" s="92"/>
    </row>
    <row r="2195" spans="1:15" x14ac:dyDescent="0.25">
      <c r="A2195" s="1">
        <v>2190</v>
      </c>
      <c r="B2195" s="91">
        <v>14882</v>
      </c>
      <c r="C2195" s="76" t="s">
        <v>212</v>
      </c>
      <c r="D2195" s="76" t="s">
        <v>927</v>
      </c>
      <c r="E2195" s="76" t="s">
        <v>899</v>
      </c>
      <c r="F2195" s="76" t="s">
        <v>900</v>
      </c>
      <c r="G2195" s="76">
        <v>6</v>
      </c>
      <c r="O2195" s="92"/>
    </row>
    <row r="2196" spans="1:15" x14ac:dyDescent="0.25">
      <c r="A2196" s="1">
        <v>2191</v>
      </c>
      <c r="B2196" s="91">
        <v>14883</v>
      </c>
      <c r="C2196" s="76" t="s">
        <v>212</v>
      </c>
      <c r="D2196" s="76" t="s">
        <v>934</v>
      </c>
      <c r="E2196" s="76" t="s">
        <v>899</v>
      </c>
      <c r="F2196" s="76" t="s">
        <v>888</v>
      </c>
      <c r="G2196" s="76">
        <v>5</v>
      </c>
      <c r="O2196" s="92"/>
    </row>
    <row r="2197" spans="1:15" x14ac:dyDescent="0.25">
      <c r="A2197" s="1">
        <v>2192</v>
      </c>
      <c r="B2197" s="91">
        <v>14884</v>
      </c>
      <c r="C2197" s="76" t="s">
        <v>213</v>
      </c>
      <c r="D2197" s="76" t="s">
        <v>940</v>
      </c>
      <c r="E2197" s="76" t="s">
        <v>899</v>
      </c>
      <c r="F2197" s="76" t="s">
        <v>900</v>
      </c>
      <c r="G2197" s="76">
        <v>6</v>
      </c>
      <c r="O2197" s="92"/>
    </row>
    <row r="2198" spans="1:15" x14ac:dyDescent="0.25">
      <c r="A2198" s="1">
        <v>2193</v>
      </c>
      <c r="B2198" s="91">
        <v>14885</v>
      </c>
      <c r="C2198" s="76" t="s">
        <v>212</v>
      </c>
      <c r="D2198" s="76" t="s">
        <v>948</v>
      </c>
      <c r="E2198" s="76" t="s">
        <v>899</v>
      </c>
      <c r="F2198" s="76" t="s">
        <v>900</v>
      </c>
      <c r="G2198" s="76">
        <v>6</v>
      </c>
      <c r="O2198" s="92"/>
    </row>
    <row r="2199" spans="1:15" x14ac:dyDescent="0.25">
      <c r="A2199" s="1">
        <v>2194</v>
      </c>
      <c r="B2199" s="91">
        <v>14886</v>
      </c>
      <c r="C2199" s="76" t="s">
        <v>212</v>
      </c>
      <c r="D2199" s="76" t="s">
        <v>927</v>
      </c>
      <c r="E2199" s="76" t="s">
        <v>899</v>
      </c>
      <c r="F2199" s="76" t="s">
        <v>900</v>
      </c>
      <c r="G2199" s="76">
        <v>6</v>
      </c>
      <c r="O2199" s="92"/>
    </row>
    <row r="2200" spans="1:15" x14ac:dyDescent="0.25">
      <c r="A2200" s="1">
        <v>2195</v>
      </c>
      <c r="B2200" s="91">
        <v>14887</v>
      </c>
      <c r="C2200" s="76" t="s">
        <v>212</v>
      </c>
      <c r="D2200" s="76" t="s">
        <v>949</v>
      </c>
      <c r="E2200" s="76" t="s">
        <v>899</v>
      </c>
      <c r="F2200" s="76" t="s">
        <v>900</v>
      </c>
      <c r="G2200" s="76">
        <v>6</v>
      </c>
      <c r="O2200" s="92"/>
    </row>
    <row r="2201" spans="1:15" x14ac:dyDescent="0.25">
      <c r="A2201" s="1">
        <v>2196</v>
      </c>
      <c r="B2201" s="91">
        <v>14889</v>
      </c>
      <c r="C2201" s="76" t="s">
        <v>212</v>
      </c>
      <c r="D2201" s="76" t="s">
        <v>950</v>
      </c>
      <c r="E2201" s="76" t="s">
        <v>899</v>
      </c>
      <c r="F2201" s="76" t="s">
        <v>900</v>
      </c>
      <c r="G2201" s="76">
        <v>5</v>
      </c>
      <c r="O2201" s="92"/>
    </row>
    <row r="2202" spans="1:15" x14ac:dyDescent="0.25">
      <c r="A2202" s="1">
        <v>2197</v>
      </c>
      <c r="B2202" s="91">
        <v>14891</v>
      </c>
      <c r="C2202" s="76" t="s">
        <v>212</v>
      </c>
      <c r="D2202" s="76" t="s">
        <v>949</v>
      </c>
      <c r="E2202" s="76" t="s">
        <v>899</v>
      </c>
      <c r="F2202" s="76" t="s">
        <v>900</v>
      </c>
      <c r="G2202" s="76">
        <v>6</v>
      </c>
      <c r="O2202" s="92"/>
    </row>
    <row r="2203" spans="1:15" x14ac:dyDescent="0.25">
      <c r="A2203" s="1">
        <v>2198</v>
      </c>
      <c r="B2203" s="91">
        <v>14892</v>
      </c>
      <c r="C2203" s="76" t="s">
        <v>212</v>
      </c>
      <c r="D2203" s="76" t="s">
        <v>934</v>
      </c>
      <c r="E2203" s="76" t="s">
        <v>899</v>
      </c>
      <c r="F2203" s="76" t="s">
        <v>888</v>
      </c>
      <c r="G2203" s="76">
        <v>5</v>
      </c>
      <c r="O2203" s="92"/>
    </row>
    <row r="2204" spans="1:15" x14ac:dyDescent="0.25">
      <c r="A2204" s="1">
        <v>2199</v>
      </c>
      <c r="B2204" s="91">
        <v>14893</v>
      </c>
      <c r="C2204" s="76" t="s">
        <v>212</v>
      </c>
      <c r="D2204" s="76" t="s">
        <v>949</v>
      </c>
      <c r="E2204" s="76" t="s">
        <v>899</v>
      </c>
      <c r="F2204" s="76" t="s">
        <v>900</v>
      </c>
      <c r="G2204" s="76">
        <v>6</v>
      </c>
      <c r="O2204" s="92"/>
    </row>
    <row r="2205" spans="1:15" x14ac:dyDescent="0.25">
      <c r="A2205" s="1">
        <v>2200</v>
      </c>
      <c r="B2205" s="91">
        <v>14894</v>
      </c>
      <c r="C2205" s="76" t="s">
        <v>212</v>
      </c>
      <c r="D2205" s="76" t="s">
        <v>950</v>
      </c>
      <c r="E2205" s="76" t="s">
        <v>899</v>
      </c>
      <c r="F2205" s="76" t="s">
        <v>900</v>
      </c>
      <c r="G2205" s="76">
        <v>5</v>
      </c>
      <c r="O2205" s="92"/>
    </row>
    <row r="2206" spans="1:15" x14ac:dyDescent="0.25">
      <c r="A2206" s="1">
        <v>2201</v>
      </c>
      <c r="B2206" s="91">
        <v>14895</v>
      </c>
      <c r="C2206" s="76" t="s">
        <v>213</v>
      </c>
      <c r="D2206" s="76" t="s">
        <v>940</v>
      </c>
      <c r="E2206" s="76" t="s">
        <v>899</v>
      </c>
      <c r="F2206" s="76" t="s">
        <v>900</v>
      </c>
      <c r="G2206" s="76">
        <v>6</v>
      </c>
      <c r="O2206" s="92"/>
    </row>
    <row r="2207" spans="1:15" x14ac:dyDescent="0.25">
      <c r="A2207" s="1">
        <v>2202</v>
      </c>
      <c r="B2207" s="91">
        <v>14897</v>
      </c>
      <c r="C2207" s="76" t="s">
        <v>213</v>
      </c>
      <c r="D2207" s="76" t="s">
        <v>940</v>
      </c>
      <c r="E2207" s="76" t="s">
        <v>899</v>
      </c>
      <c r="F2207" s="76" t="s">
        <v>900</v>
      </c>
      <c r="G2207" s="76">
        <v>6</v>
      </c>
      <c r="O2207" s="92"/>
    </row>
    <row r="2208" spans="1:15" x14ac:dyDescent="0.25">
      <c r="A2208" s="1">
        <v>2203</v>
      </c>
      <c r="B2208" s="91">
        <v>14898</v>
      </c>
      <c r="C2208" s="76" t="s">
        <v>212</v>
      </c>
      <c r="D2208" s="76" t="s">
        <v>948</v>
      </c>
      <c r="E2208" s="76" t="s">
        <v>899</v>
      </c>
      <c r="F2208" s="76" t="s">
        <v>900</v>
      </c>
      <c r="G2208" s="76">
        <v>6</v>
      </c>
      <c r="O2208" s="92"/>
    </row>
    <row r="2209" spans="1:15" x14ac:dyDescent="0.25">
      <c r="A2209" s="1">
        <v>2204</v>
      </c>
      <c r="B2209" s="91">
        <v>14901</v>
      </c>
      <c r="C2209" s="76" t="s">
        <v>212</v>
      </c>
      <c r="D2209" s="76" t="s">
        <v>950</v>
      </c>
      <c r="E2209" s="76" t="s">
        <v>899</v>
      </c>
      <c r="F2209" s="76" t="s">
        <v>900</v>
      </c>
      <c r="G2209" s="76">
        <v>5</v>
      </c>
      <c r="O2209" s="92"/>
    </row>
    <row r="2210" spans="1:15" x14ac:dyDescent="0.25">
      <c r="A2210" s="1">
        <v>2205</v>
      </c>
      <c r="B2210" s="91">
        <v>14902</v>
      </c>
      <c r="C2210" s="76" t="s">
        <v>212</v>
      </c>
      <c r="D2210" s="76" t="s">
        <v>950</v>
      </c>
      <c r="E2210" s="76" t="s">
        <v>899</v>
      </c>
      <c r="F2210" s="76" t="s">
        <v>900</v>
      </c>
      <c r="G2210" s="76">
        <v>5</v>
      </c>
      <c r="O2210" s="92"/>
    </row>
    <row r="2211" spans="1:15" x14ac:dyDescent="0.25">
      <c r="A2211" s="1">
        <v>2206</v>
      </c>
      <c r="B2211" s="91">
        <v>14903</v>
      </c>
      <c r="C2211" s="76" t="s">
        <v>212</v>
      </c>
      <c r="D2211" s="76" t="s">
        <v>950</v>
      </c>
      <c r="E2211" s="76" t="s">
        <v>899</v>
      </c>
      <c r="F2211" s="76" t="s">
        <v>900</v>
      </c>
      <c r="G2211" s="76">
        <v>5</v>
      </c>
      <c r="O2211" s="92"/>
    </row>
    <row r="2212" spans="1:15" x14ac:dyDescent="0.25">
      <c r="A2212" s="1">
        <v>2207</v>
      </c>
      <c r="B2212" s="91">
        <v>14904</v>
      </c>
      <c r="C2212" s="76" t="s">
        <v>212</v>
      </c>
      <c r="D2212" s="76" t="s">
        <v>950</v>
      </c>
      <c r="E2212" s="76" t="s">
        <v>899</v>
      </c>
      <c r="F2212" s="76" t="s">
        <v>900</v>
      </c>
      <c r="G2212" s="76">
        <v>5</v>
      </c>
      <c r="O2212" s="92"/>
    </row>
    <row r="2213" spans="1:15" x14ac:dyDescent="0.25">
      <c r="A2213" s="1">
        <v>2208</v>
      </c>
      <c r="B2213" s="91">
        <v>14905</v>
      </c>
      <c r="C2213" s="76" t="s">
        <v>212</v>
      </c>
      <c r="D2213" s="76" t="s">
        <v>950</v>
      </c>
      <c r="E2213" s="76" t="s">
        <v>899</v>
      </c>
      <c r="F2213" s="76" t="s">
        <v>900</v>
      </c>
      <c r="G2213" s="76">
        <v>5</v>
      </c>
      <c r="O2213" s="92"/>
    </row>
    <row r="2214" spans="1:15" x14ac:dyDescent="0.25">
      <c r="A2214" s="1">
        <v>2209</v>
      </c>
      <c r="B2214" s="91">
        <v>14925</v>
      </c>
      <c r="C2214" s="76" t="s">
        <v>212</v>
      </c>
      <c r="D2214" s="76" t="s">
        <v>950</v>
      </c>
      <c r="E2214" s="76" t="s">
        <v>899</v>
      </c>
      <c r="F2214" s="76" t="s">
        <v>900</v>
      </c>
      <c r="G2214" s="76">
        <v>5</v>
      </c>
      <c r="O2214" s="92"/>
    </row>
  </sheetData>
  <sheetProtection algorithmName="SHA-512" hashValue="bwHbX9/ZU4P6pV2+U/phVTsBNJ/o9uRvcVYmtHHizxqcaQLGSe8kpI9sZNr099TDpNLB8oAfkSLoZVB0l2U4cQ==" saltValue="CVzoyeRcaSmsX+Z8ltegAA==" spinCount="100000" sheet="1" objects="1" scenarios="1"/>
  <autoFilter ref="B5:G2214" xr:uid="{8B52CE26-248F-4D04-A49D-EC85A762FCAE}"/>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8021-D1E5-4185-88AF-14ACE8A84DA9}">
  <sheetPr>
    <tabColor theme="9" tint="0.39997558519241921"/>
    <pageSetUpPr fitToPage="1"/>
  </sheetPr>
  <dimension ref="A1:BV548"/>
  <sheetViews>
    <sheetView zoomScaleNormal="100" workbookViewId="0">
      <selection activeCell="D7" sqref="D7"/>
    </sheetView>
  </sheetViews>
  <sheetFormatPr defaultColWidth="9.140625" defaultRowHeight="15" x14ac:dyDescent="0.25"/>
  <cols>
    <col min="1" max="1" width="2.42578125" style="1" customWidth="1"/>
    <col min="2" max="2" width="9.140625" style="63" customWidth="1"/>
    <col min="3" max="3" width="37.42578125" style="63" customWidth="1"/>
    <col min="4" max="4" width="44.42578125" style="63" customWidth="1"/>
    <col min="5" max="5" width="10.28515625" style="63" customWidth="1"/>
    <col min="6" max="6" width="30.28515625" style="63" customWidth="1"/>
    <col min="7" max="7" width="25.5703125" style="63" customWidth="1"/>
    <col min="8" max="8" width="10.42578125" style="63" hidden="1" customWidth="1"/>
    <col min="9" max="10" width="9.140625" style="63" hidden="1" customWidth="1"/>
    <col min="11" max="11" width="17.5703125" style="63" hidden="1" customWidth="1"/>
    <col min="12" max="12" width="13.85546875" style="63" hidden="1" customWidth="1"/>
    <col min="13" max="13" width="10.7109375" style="63" hidden="1" customWidth="1"/>
    <col min="14" max="15" width="20.28515625" style="127" hidden="1" customWidth="1"/>
    <col min="16" max="16" width="13.5703125" style="63" hidden="1" customWidth="1"/>
    <col min="17" max="19" width="9.140625" style="63" hidden="1" customWidth="1"/>
    <col min="20" max="20" width="11.85546875" style="63" hidden="1" customWidth="1"/>
    <col min="21" max="21" width="12" style="63" hidden="1" customWidth="1"/>
    <col min="22" max="22" width="11.140625" style="63" hidden="1" customWidth="1"/>
    <col min="23" max="23" width="9.42578125" style="63" customWidth="1"/>
    <col min="24" max="24" width="10.5703125" style="63" hidden="1" customWidth="1"/>
    <col min="25" max="25" width="25.28515625" style="63" customWidth="1"/>
    <col min="26" max="26" width="10.140625" style="63" customWidth="1"/>
    <col min="27" max="27" width="10.85546875" style="63" hidden="1" customWidth="1"/>
    <col min="28" max="28" width="6.5703125" style="63" hidden="1" customWidth="1"/>
    <col min="29" max="29" width="9" style="63" customWidth="1"/>
    <col min="30" max="30" width="5.28515625" style="63" customWidth="1"/>
    <col min="31" max="31" width="11.28515625" style="63" customWidth="1"/>
    <col min="32" max="32" width="12.28515625" style="63" customWidth="1"/>
    <col min="33" max="35" width="10.7109375" style="63" customWidth="1"/>
    <col min="36" max="37" width="7.5703125" style="63" customWidth="1"/>
    <col min="38" max="38" width="3.85546875" style="63" customWidth="1"/>
    <col min="39" max="39" width="31.28515625" style="63" hidden="1" customWidth="1"/>
    <col min="40" max="40" width="25.42578125" style="63" hidden="1" customWidth="1"/>
    <col min="41" max="41" width="25.7109375" style="63" hidden="1" customWidth="1"/>
    <col min="42" max="42" width="23.140625" style="63" hidden="1" customWidth="1"/>
    <col min="43" max="43" width="31.28515625" style="63" hidden="1" customWidth="1"/>
    <col min="44" max="44" width="29.85546875" style="63" hidden="1" customWidth="1"/>
    <col min="45" max="45" width="25.7109375" style="63" hidden="1" customWidth="1"/>
    <col min="46" max="46" width="13.7109375" style="1" hidden="1" customWidth="1"/>
    <col min="47" max="47" width="11.7109375" style="1" hidden="1" customWidth="1"/>
    <col min="48" max="48" width="8.5703125" style="1" hidden="1" customWidth="1"/>
    <col min="49" max="58" width="5.5703125" style="1" hidden="1" customWidth="1"/>
    <col min="59" max="62" width="6.140625" style="1" hidden="1" customWidth="1"/>
    <col min="63" max="63" width="253.85546875" style="1" hidden="1" customWidth="1"/>
    <col min="64" max="64" width="9.140625" style="1" hidden="1" customWidth="1"/>
    <col min="65" max="65" width="16.42578125" style="1" hidden="1" customWidth="1"/>
    <col min="66" max="66" width="9.140625" style="63" hidden="1" customWidth="1"/>
    <col min="67" max="67" width="11.140625" style="63" hidden="1" customWidth="1"/>
    <col min="68" max="74" width="9.140625" style="1" hidden="1" customWidth="1"/>
    <col min="75" max="81" width="0" style="1" hidden="1" customWidth="1"/>
    <col min="82" max="16384" width="9.140625" style="1"/>
  </cols>
  <sheetData>
    <row r="1" spans="1:33" x14ac:dyDescent="0.25">
      <c r="A1" s="574"/>
    </row>
    <row r="2" spans="1:33" x14ac:dyDescent="0.25">
      <c r="A2" s="574"/>
      <c r="B2" s="113" t="s">
        <v>93</v>
      </c>
      <c r="C2" s="575"/>
      <c r="D2" s="576" t="str">
        <f>IF('App Cust Info'!$K$18="","","PIPE INSULATION")</f>
        <v/>
      </c>
      <c r="AC2" s="954" t="s">
        <v>94</v>
      </c>
      <c r="AD2" s="955"/>
      <c r="AE2" s="955"/>
      <c r="AF2" s="955"/>
      <c r="AG2" s="956"/>
    </row>
    <row r="3" spans="1:33" x14ac:dyDescent="0.25">
      <c r="B3" s="577" t="s">
        <v>95</v>
      </c>
      <c r="C3" s="578"/>
      <c r="D3" s="579" t="str">
        <f>IFERROR(IF('App Cust Info'!$K$18="", "", 'App Cust Info'!$K$18),"")</f>
        <v/>
      </c>
      <c r="AC3" s="957"/>
      <c r="AD3" s="958"/>
      <c r="AE3" s="958"/>
      <c r="AF3" s="958"/>
      <c r="AG3" s="959"/>
    </row>
    <row r="4" spans="1:33" x14ac:dyDescent="0.25">
      <c r="B4" s="577" t="s">
        <v>96</v>
      </c>
      <c r="C4" s="578"/>
      <c r="D4" s="579" t="str">
        <f>IF($D$3="", "", IFERROR(VLOOKUP($D$3,'Zip Lookup'!$B$6:$D$2214,3,FALSE),"NOT A VALID NYS ZIP CODE"))</f>
        <v/>
      </c>
      <c r="AC4" s="960"/>
      <c r="AD4" s="961"/>
      <c r="AE4" s="961"/>
      <c r="AF4" s="961"/>
      <c r="AG4" s="962"/>
    </row>
    <row r="5" spans="1:33" x14ac:dyDescent="0.25">
      <c r="B5" s="577" t="s">
        <v>97</v>
      </c>
      <c r="C5" s="578"/>
      <c r="D5" s="579" t="str">
        <f>IF($D$3="", "", IFERROR(VLOOKUP($D$3,'Zip Lookup'!$B$6:$D$2214,2,FALSE),"NOT A VALID NYS ZIP CODE"))</f>
        <v/>
      </c>
      <c r="AC5" s="960"/>
      <c r="AD5" s="961"/>
      <c r="AE5" s="961"/>
      <c r="AF5" s="961"/>
      <c r="AG5" s="962"/>
    </row>
    <row r="6" spans="1:33" x14ac:dyDescent="0.25">
      <c r="B6" s="577" t="s">
        <v>98</v>
      </c>
      <c r="C6" s="578"/>
      <c r="D6" s="579" t="str">
        <f>IF($D$3="","","New York")</f>
        <v/>
      </c>
      <c r="AC6" s="960"/>
      <c r="AD6" s="961"/>
      <c r="AE6" s="961"/>
      <c r="AF6" s="961"/>
      <c r="AG6" s="962"/>
    </row>
    <row r="7" spans="1:33" x14ac:dyDescent="0.25">
      <c r="B7" s="577" t="s">
        <v>99</v>
      </c>
      <c r="C7" s="578"/>
      <c r="D7" s="552"/>
      <c r="N7" s="580"/>
      <c r="O7" s="580"/>
      <c r="AC7" s="960"/>
      <c r="AD7" s="961"/>
      <c r="AE7" s="961"/>
      <c r="AF7" s="961"/>
      <c r="AG7" s="962"/>
    </row>
    <row r="8" spans="1:33" x14ac:dyDescent="0.25">
      <c r="B8" s="577" t="s">
        <v>100</v>
      </c>
      <c r="C8" s="578"/>
      <c r="D8" s="579" t="str">
        <f>IFERROR(VLOOKUP($D$3, 'Zip Lookup'!$B$6:$G$2214,4,FALSE),"")</f>
        <v/>
      </c>
      <c r="N8" s="580"/>
      <c r="O8" s="580"/>
      <c r="AC8" s="960"/>
      <c r="AD8" s="961"/>
      <c r="AE8" s="961"/>
      <c r="AF8" s="961"/>
      <c r="AG8" s="962"/>
    </row>
    <row r="9" spans="1:33" x14ac:dyDescent="0.25">
      <c r="B9" s="577" t="s">
        <v>101</v>
      </c>
      <c r="C9" s="578"/>
      <c r="D9" s="579" t="str">
        <f>IFERROR(IF('App Cust Info'!$H$21="", "", 'App Cust Info'!$H$21),"")</f>
        <v/>
      </c>
      <c r="F9" s="581" t="str">
        <f>IF($D$13="Large_Commercial", "Important Note:", "")</f>
        <v/>
      </c>
      <c r="AC9" s="960"/>
      <c r="AD9" s="961"/>
      <c r="AE9" s="961"/>
      <c r="AF9" s="961"/>
      <c r="AG9" s="962"/>
    </row>
    <row r="10" spans="1:33" x14ac:dyDescent="0.25">
      <c r="B10" s="582"/>
      <c r="C10" s="583" t="str">
        <f>IF($D$9="",""," To determine appropriate status go to:")</f>
        <v/>
      </c>
      <c r="D10" s="554" t="str">
        <f>IF($D$9="", "", "https://www.nyserda.ny.gov/ny/disadvantaged-communities")</f>
        <v/>
      </c>
      <c r="F10" s="584" t="str">
        <f>IF($D$13="Large_Commercial", "CAV_Econ: Constant Air Volume with Economizer", "")</f>
        <v/>
      </c>
      <c r="AC10" s="960"/>
      <c r="AD10" s="961"/>
      <c r="AE10" s="961"/>
      <c r="AF10" s="961"/>
      <c r="AG10" s="962"/>
    </row>
    <row r="11" spans="1:33" x14ac:dyDescent="0.25">
      <c r="B11" s="577" t="s">
        <v>102</v>
      </c>
      <c r="C11" s="578"/>
      <c r="D11" s="553"/>
      <c r="F11" s="584" t="str">
        <f>IF($D$13="Large_Commercial", "CAV_NoEcon: Constant Air Volume without Economizer", "")</f>
        <v/>
      </c>
      <c r="AC11" s="960"/>
      <c r="AD11" s="961"/>
      <c r="AE11" s="961"/>
      <c r="AF11" s="961"/>
      <c r="AG11" s="962"/>
    </row>
    <row r="12" spans="1:33" x14ac:dyDescent="0.25">
      <c r="B12" s="577" t="s">
        <v>103</v>
      </c>
      <c r="C12" s="578"/>
      <c r="D12" s="553"/>
      <c r="F12" s="584" t="str">
        <f>IF($D$13="Large_Commercial", "VAV_Econ: Variable Air Volume with Economizer", "")</f>
        <v/>
      </c>
      <c r="AC12" s="960"/>
      <c r="AD12" s="961"/>
      <c r="AE12" s="961"/>
      <c r="AF12" s="961"/>
      <c r="AG12" s="962"/>
    </row>
    <row r="13" spans="1:33" x14ac:dyDescent="0.25">
      <c r="B13" s="577" t="s">
        <v>104</v>
      </c>
      <c r="C13" s="578"/>
      <c r="D13" s="553"/>
      <c r="E13" s="585" t="str">
        <f>IF(OR($D$13="",$D$14=""),"",IF(OR(AND($D$13="Multifamily_Low_Rise",ISNUMBER(MATCH($D$14,$AN$114:$AN$117,0))),AND($D$13="Multifamily_High_Rise",ISNUMBER(MATCH($D$14,$AO$114:$AO$117,0))),AND($D$13="Small_Commercial",ISNUMBER(MATCH($D$14,$AP$114:$AP$127,0))),AND($D$13="Large_Commercial",ISNUMBER(MATCH($D$14,$AQ$114:$AQ$135,0)))),"","Building Sub-Category error. Please make sure to select proper Building Sub-Category after selecting the Building Type."))</f>
        <v/>
      </c>
      <c r="AC13" s="960"/>
      <c r="AD13" s="961"/>
      <c r="AE13" s="961"/>
      <c r="AF13" s="961"/>
      <c r="AG13" s="962"/>
    </row>
    <row r="14" spans="1:33" x14ac:dyDescent="0.25">
      <c r="B14" s="577" t="s">
        <v>105</v>
      </c>
      <c r="C14" s="578"/>
      <c r="D14" s="553"/>
      <c r="AC14" s="960"/>
      <c r="AD14" s="961"/>
      <c r="AE14" s="961"/>
      <c r="AF14" s="961"/>
      <c r="AG14" s="962"/>
    </row>
    <row r="15" spans="1:33" x14ac:dyDescent="0.25">
      <c r="B15" s="577" t="s">
        <v>106</v>
      </c>
      <c r="C15" s="578"/>
      <c r="D15" s="555"/>
      <c r="E15" s="585" t="str">
        <f>IF(AND(D15="Electric (National Grid)", $D$8="Downstate"), "Electric (National Grid) option is not valid for Downstate NY/Long Island. Please check your inputs.", "")</f>
        <v/>
      </c>
      <c r="F15" s="966" t="s">
        <v>107</v>
      </c>
      <c r="G15" s="966"/>
      <c r="AC15" s="960"/>
      <c r="AD15" s="961"/>
      <c r="AE15" s="961"/>
      <c r="AF15" s="961"/>
      <c r="AG15" s="962"/>
    </row>
    <row r="16" spans="1:33" x14ac:dyDescent="0.25">
      <c r="B16" s="577" t="s">
        <v>108</v>
      </c>
      <c r="C16" s="578"/>
      <c r="D16" s="553"/>
      <c r="F16" s="586" t="s">
        <v>109</v>
      </c>
      <c r="G16" s="587" t="str">
        <f>IFERROR(IF('App Cust Info'!$B$24="", "", 'App Cust Info'!$B$24),"")</f>
        <v/>
      </c>
      <c r="U16" s="211"/>
      <c r="AC16" s="963"/>
      <c r="AD16" s="964"/>
      <c r="AE16" s="964"/>
      <c r="AF16" s="964"/>
      <c r="AG16" s="965"/>
    </row>
    <row r="17" spans="2:43" x14ac:dyDescent="0.25">
      <c r="B17" s="577" t="s">
        <v>110</v>
      </c>
      <c r="C17" s="578"/>
      <c r="D17" s="553"/>
      <c r="F17" s="586" t="s">
        <v>111</v>
      </c>
      <c r="G17" s="587" t="str">
        <f>IFERROR(IF('App Cust Info'!$B$26="", "", 'App Cust Info'!$B$26),"")</f>
        <v/>
      </c>
    </row>
    <row r="18" spans="2:43" x14ac:dyDescent="0.25">
      <c r="B18" s="577" t="s">
        <v>112</v>
      </c>
      <c r="C18" s="578"/>
      <c r="D18" s="553"/>
      <c r="F18" s="586" t="s">
        <v>113</v>
      </c>
      <c r="G18" s="588" t="str">
        <f>IFERROR(IF('App Cust Info'!$F$24="", "", 'App Cust Info'!$F$24),"")</f>
        <v/>
      </c>
      <c r="W18" s="204"/>
    </row>
    <row r="19" spans="2:43" x14ac:dyDescent="0.25">
      <c r="B19" s="577" t="s">
        <v>114</v>
      </c>
      <c r="C19" s="578"/>
      <c r="D19" s="552"/>
      <c r="F19" s="586" t="s">
        <v>115</v>
      </c>
      <c r="G19" s="589" t="str">
        <f>IFERROR(IF('App Cust Info'!$F$26="", "", 'App Cust Info'!$F$26),"")</f>
        <v/>
      </c>
      <c r="U19" s="211"/>
      <c r="W19" s="204"/>
      <c r="Y19" s="434"/>
    </row>
    <row r="20" spans="2:43" x14ac:dyDescent="0.25">
      <c r="B20" s="577" t="s">
        <v>116</v>
      </c>
      <c r="C20" s="578"/>
      <c r="D20" s="556"/>
      <c r="F20" s="586" t="s">
        <v>117</v>
      </c>
      <c r="G20" s="588" t="str">
        <f>IF($D$3="", "", $AC$534)</f>
        <v/>
      </c>
      <c r="W20" s="204"/>
      <c r="Y20" s="590" t="s">
        <v>118</v>
      </c>
      <c r="Z20" s="476" t="str">
        <f>IFERROR(G20/G18,"")</f>
        <v/>
      </c>
    </row>
    <row r="21" spans="2:43" x14ac:dyDescent="0.25">
      <c r="B21" s="577" t="s">
        <v>119</v>
      </c>
      <c r="C21" s="578"/>
      <c r="D21" s="553"/>
      <c r="F21" s="586" t="s">
        <v>120</v>
      </c>
      <c r="G21" s="589" t="str">
        <f>IF($D$3="", "", $AE$534)</f>
        <v/>
      </c>
      <c r="W21" s="204"/>
      <c r="Y21" s="590" t="s">
        <v>121</v>
      </c>
      <c r="Z21" s="476" t="str">
        <f>IFERROR(G21/G19,"")</f>
        <v/>
      </c>
    </row>
    <row r="22" spans="2:43" x14ac:dyDescent="0.25">
      <c r="B22" s="591" t="str">
        <f>IF(D21="Yes", "Custom Heating Hours:", "")</f>
        <v/>
      </c>
      <c r="C22" s="592"/>
      <c r="D22" s="552"/>
      <c r="E22" s="593"/>
      <c r="F22" s="585" t="str">
        <f>IF(AND(D16="Electric (National Grid)", $D$8="Downstate"), "Primary Cooling Energy Input Error: Electric (National Grid) option is not valid for Downstate NY/Long Island. Please check your inputs.", "")</f>
        <v/>
      </c>
    </row>
    <row r="23" spans="2:43" x14ac:dyDescent="0.25">
      <c r="B23" s="591" t="str">
        <f>IF(D21="Yes", "Custom Cooling Hours:", "")</f>
        <v/>
      </c>
      <c r="C23" s="592"/>
      <c r="D23" s="552"/>
      <c r="E23" s="593"/>
      <c r="F23" s="585" t="str">
        <f>IF(AND(D17="Electric (National Grid)", $D$8="Downstate"), "Primary DHW Energy Input Error: Electric (National Grid) option is not valid for Downstate NY/Long Island. Please check your inputs.", "")</f>
        <v/>
      </c>
      <c r="L23" s="477"/>
    </row>
    <row r="24" spans="2:43" ht="6.75" customHeight="1" x14ac:dyDescent="0.25">
      <c r="B24" s="204"/>
      <c r="C24" s="204"/>
      <c r="D24" s="81"/>
      <c r="F24" s="594"/>
      <c r="G24" s="595"/>
      <c r="L24" s="477"/>
    </row>
    <row r="25" spans="2:43" x14ac:dyDescent="0.25">
      <c r="B25" s="577" t="s">
        <v>122</v>
      </c>
      <c r="C25" s="578"/>
      <c r="D25" s="557"/>
      <c r="F25" s="596" t="s">
        <v>123</v>
      </c>
      <c r="G25" s="597"/>
      <c r="H25" s="598"/>
      <c r="I25" s="598"/>
      <c r="J25" s="598"/>
      <c r="K25" s="598"/>
      <c r="L25" s="478"/>
      <c r="M25" s="598"/>
      <c r="N25" s="599"/>
    </row>
    <row r="26" spans="2:43" x14ac:dyDescent="0.25">
      <c r="B26" s="577" t="s">
        <v>124</v>
      </c>
      <c r="C26" s="578"/>
      <c r="D26" s="557"/>
      <c r="F26" s="596" t="s">
        <v>125</v>
      </c>
      <c r="G26" s="600"/>
      <c r="H26" s="598"/>
      <c r="I26" s="598"/>
      <c r="J26" s="598"/>
      <c r="K26" s="598"/>
      <c r="L26" s="479"/>
      <c r="M26" s="598"/>
      <c r="N26" s="599"/>
    </row>
    <row r="27" spans="2:43" x14ac:dyDescent="0.25">
      <c r="B27" s="577" t="s">
        <v>126</v>
      </c>
      <c r="C27" s="578"/>
      <c r="D27" s="601">
        <f>IFERROR(D25+D26,"")</f>
        <v>0</v>
      </c>
      <c r="F27" s="127"/>
      <c r="L27" s="477"/>
    </row>
    <row r="28" spans="2:43" x14ac:dyDescent="0.25">
      <c r="B28" s="860" t="str">
        <f>'App Cust Info'!K66</f>
        <v>V1.0 4/2/26</v>
      </c>
      <c r="C28" s="1"/>
      <c r="D28" s="1"/>
      <c r="F28" s="967" t="str">
        <f>IF($D$3="", "", "Steam Temperature Range")</f>
        <v/>
      </c>
      <c r="G28" s="968"/>
    </row>
    <row r="29" spans="2:43" x14ac:dyDescent="0.25">
      <c r="B29" s="577" t="s">
        <v>127</v>
      </c>
      <c r="C29" s="578"/>
      <c r="D29" s="602" t="str">
        <f>IF(AND($E$15="", $F$22="", $F$23=""), IFERROR(MIN($AN$138,$AN$132,$AN$135),""),"Check Your Inputs for Heating/Cooling/DHW Energy")</f>
        <v/>
      </c>
      <c r="F29" s="209" t="str">
        <f>IF($D$3="", "", "Steam_Low_Pressure")</f>
        <v/>
      </c>
      <c r="G29" s="209" t="str">
        <f>IF($D$3="", "", "201°F - 250°F")</f>
        <v/>
      </c>
    </row>
    <row r="30" spans="2:43" x14ac:dyDescent="0.25">
      <c r="B30" s="577" t="s">
        <v>128</v>
      </c>
      <c r="C30" s="578"/>
      <c r="D30" s="602" t="str">
        <f>IF(AND($E$15="", $F$22="", $F$23=""), IFERROR(MIN($AN$139,$AN$133,$AN$136),""),"Check Your Inputs for Heating/Cooling/DHW Energy")</f>
        <v/>
      </c>
      <c r="F30" s="209" t="str">
        <f>IF($D$3="", "", "Steam_Medium_Pressure")</f>
        <v/>
      </c>
      <c r="G30" s="209" t="str">
        <f>IF($D$3="", "", "251°F - 350°F")</f>
        <v/>
      </c>
      <c r="I30" s="127"/>
    </row>
    <row r="31" spans="2:43" x14ac:dyDescent="0.25">
      <c r="B31" s="577" t="s">
        <v>129</v>
      </c>
      <c r="C31" s="578"/>
      <c r="D31" s="601">
        <f>IFERROR(IF(AND(D29=0,D30=0),"",SUM(D29:D30)),"")</f>
        <v>0</v>
      </c>
      <c r="F31" s="209" t="str">
        <f>IF($D$3="", "", "Steam_High_Pressure")</f>
        <v/>
      </c>
      <c r="G31" s="209" t="str">
        <f>IF($D$3="", "", "Over 350°F")</f>
        <v/>
      </c>
    </row>
    <row r="32" spans="2:43" x14ac:dyDescent="0.25">
      <c r="R32" s="969"/>
      <c r="S32" s="969"/>
      <c r="X32" s="573" t="s">
        <v>130</v>
      </c>
      <c r="Y32" s="967" t="s">
        <v>131</v>
      </c>
      <c r="Z32" s="970"/>
      <c r="AA32" s="970"/>
      <c r="AB32" s="968"/>
      <c r="AC32" s="967" t="s">
        <v>132</v>
      </c>
      <c r="AD32" s="970"/>
      <c r="AE32" s="970"/>
      <c r="AF32" s="970"/>
      <c r="AG32" s="970"/>
      <c r="AH32" s="970"/>
      <c r="AI32" s="968"/>
      <c r="AQ32" s="1"/>
    </row>
    <row r="33" spans="2:68" s="65" customFormat="1" ht="45" x14ac:dyDescent="0.25">
      <c r="B33" s="603" t="s">
        <v>133</v>
      </c>
      <c r="C33" s="603" t="s">
        <v>134</v>
      </c>
      <c r="D33" s="603" t="s">
        <v>135</v>
      </c>
      <c r="E33" s="206" t="s">
        <v>136</v>
      </c>
      <c r="F33" s="603" t="s">
        <v>137</v>
      </c>
      <c r="G33" s="603" t="s">
        <v>138</v>
      </c>
      <c r="H33" s="604" t="s">
        <v>139</v>
      </c>
      <c r="I33" s="604" t="s">
        <v>140</v>
      </c>
      <c r="J33" s="604" t="s">
        <v>141</v>
      </c>
      <c r="K33" s="604" t="s">
        <v>142</v>
      </c>
      <c r="L33" s="604" t="s">
        <v>143</v>
      </c>
      <c r="M33" s="604" t="s">
        <v>144</v>
      </c>
      <c r="N33" s="605" t="s">
        <v>145</v>
      </c>
      <c r="O33" s="605" t="s">
        <v>146</v>
      </c>
      <c r="P33" s="604" t="s">
        <v>147</v>
      </c>
      <c r="Q33" s="604" t="s">
        <v>148</v>
      </c>
      <c r="R33" s="604" t="s">
        <v>149</v>
      </c>
      <c r="S33" s="604" t="s">
        <v>150</v>
      </c>
      <c r="T33" s="604" t="s">
        <v>151</v>
      </c>
      <c r="U33" s="604" t="s">
        <v>152</v>
      </c>
      <c r="V33" s="606" t="s">
        <v>153</v>
      </c>
      <c r="W33" s="604" t="s">
        <v>154</v>
      </c>
      <c r="X33" s="603" t="s">
        <v>155</v>
      </c>
      <c r="Y33" s="604" t="s">
        <v>156</v>
      </c>
      <c r="Z33" s="604" t="s">
        <v>157</v>
      </c>
      <c r="AA33" s="604" t="s">
        <v>158</v>
      </c>
      <c r="AB33" s="603" t="s">
        <v>155</v>
      </c>
      <c r="AC33" s="603" t="s">
        <v>159</v>
      </c>
      <c r="AD33" s="603" t="s">
        <v>160</v>
      </c>
      <c r="AE33" s="206" t="s">
        <v>161</v>
      </c>
      <c r="AF33" s="206" t="s">
        <v>162</v>
      </c>
      <c r="AG33" s="206" t="s">
        <v>163</v>
      </c>
      <c r="AH33" s="206" t="s">
        <v>164</v>
      </c>
      <c r="AI33" s="206" t="s">
        <v>165</v>
      </c>
      <c r="AJ33" s="63"/>
      <c r="AK33" s="63"/>
      <c r="AL33" s="143"/>
      <c r="BN33" s="143"/>
      <c r="BO33" s="143"/>
    </row>
    <row r="34" spans="2:68" x14ac:dyDescent="0.25">
      <c r="B34" s="209">
        <v>1</v>
      </c>
      <c r="C34" s="480"/>
      <c r="D34" s="480"/>
      <c r="E34" s="481"/>
      <c r="F34" s="480"/>
      <c r="G34" s="480"/>
      <c r="H34" s="607" t="str">
        <f t="shared" ref="H34:H97" si="0">IFERROR(IF($D$3="", "", VLOOKUP(G34,$AM$53:$AN$60,2,FALSE)),"")</f>
        <v/>
      </c>
      <c r="I34" s="607" t="str">
        <f t="shared" ref="I34:I97" si="1">IFERROR(IF($D$3 = "", "", VLOOKUP(G34,$AM$64:$AN$71,2,FALSE)),"")</f>
        <v/>
      </c>
      <c r="J34" s="607" t="str">
        <f t="shared" ref="J34:J97" si="2">IFERROR(IF($D$3="", "", ABS(I34-H34)),"")</f>
        <v/>
      </c>
      <c r="K34" s="208" t="str">
        <f t="shared" ref="K34:K97" si="3">IFERROR(IF($D$3="", "", IF(OR(G34="Steam_Low_Pressure", G34="Steam_Medium_Pressure",G34="Steam_High_Pressure", G34="Heating_Hot_Water", G34="Steam_Condensate"), "Heating"&amp;$AT$115, IF(G34="Domestic_Hot_Water", G34&amp;$AT$131, IF(OR(G34="CoolingSupply", G34="CoolingReturn"), G34&amp;$AT$122,"")))),"")</f>
        <v/>
      </c>
      <c r="L34" s="208" t="str">
        <f t="shared" ref="L34:L97" si="4">IF($D$3="","", IFERROR(IF($D$7="Large C &amp; I (LCI)", "LCI", "SMB")&amp;"_"&amp;IF(RIGHT(K34, 6)="Fossil", "Gas_", "Electric_")&amp;$D$8&amp;"_"&amp;IF($D$9="No", "DACNo", "DACYes"),""))</f>
        <v/>
      </c>
      <c r="M34" s="208" t="str">
        <f>IF($D$3="","",IFERROR(IF(LEFT(L34,7)="LCI_Gas","PERTHERM","PERLF"),""))</f>
        <v/>
      </c>
      <c r="N34" s="608" t="str">
        <f>IF($D$3="", "", IFERROR(VLOOKUP(L34,'PIPE INCENTIVE'!$B$4:$E$19,2,FALSE),""))</f>
        <v/>
      </c>
      <c r="O34" s="608" t="str">
        <f>IF($D$3="", "", IFERROR(IF(RIGHT(K34,6)="Fossil","Gas","Electric"),""))</f>
        <v/>
      </c>
      <c r="P34" s="208" t="str">
        <f>IFERROR(IF($D$3="", "", IF(AND(G34="Domestic_Hot_Water",$D$18="All Year"),G34&amp;"_AY",IF(AND(G34="Domestic_Hot_Water",$D$18="Heating Season Only"),G34&amp;"_HSO","NOTDHW"))),"")</f>
        <v/>
      </c>
      <c r="Q34" s="208" t="str">
        <f t="shared" ref="Q34:Q97" si="5">IFERROR(IF($D$3="","",IF(P34="Domestic_Hot_Water_AY",8760,IF(P34="Domestic_Hot_Water_HSO",VLOOKUP($D$5,$AM$74:$AN$81,2,FALSE),IF(P34="NOTDHW",IF($D$21="Yes",IF(OR(G34="CoolingSupply",G34="CoolingReturn"), $D$23, $D$22),IF(OR(G34="CoolingSupply",G34="CoolingReturn"), $AP$44, $AP$43)),"")))),"")</f>
        <v/>
      </c>
      <c r="R34" s="609" t="str">
        <f t="shared" ref="R34:R97" si="6">IFERROR(IF($D$3="", "", VLOOKUP(K34,$AM$86:$AN$96,2, FALSE)),"")</f>
        <v/>
      </c>
      <c r="S34" s="609" t="str">
        <f t="shared" ref="S34:S97" si="7">IFERROR(IF($D$3="", "", VLOOKUP(K34,$AM$100:$AN$110,2, FALSE)),"")</f>
        <v/>
      </c>
      <c r="T34" s="609" t="str">
        <f t="shared" ref="T34:T97" si="8">IF($D$3="","",IFERROR(IF(OR(K34="CoolingSupplyElectric",K34="CoolingReturnElectric"),IF($D$20&lt;&gt;"",$D$20, _xlfn.XLOOKUP(K34,$AR$102:$AR$107,$AS$102:$AS$107)),IF(OR(K34="HeatingElectric",K34="Domestic_Hot_WaterElectric",K34="Domestic_Hot_WaterUnknown"),0.98,0.98)),""))</f>
        <v/>
      </c>
      <c r="U34" s="609" t="str" cm="1">
        <f t="array" ref="U34">IFERROR(IF($D$3="","",_xlfn.LET(_xlpm.Mixed,AND(COUNTIF($G$34:$G$533,"Heating_Hot_Water")&gt;0,(COUNTIF($G$34:$G$533,"Steam_Low_Pressure") + COUNTIF($G$34:$G$533,"Steam_Medium_Pressure") + COUNTIF($G$34:$G$533,"Steam_High_Pressure"))&gt;0),_xlpm.fluid, G34,_xlpm.fuel, K34,_xlpm.load,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 s="609" t="str">
        <f>IFERROR(IF($D$3="", "", IF(K34="Domestic_Hot_WaterElectric", 1, 0)),"")</f>
        <v/>
      </c>
      <c r="W34" s="482"/>
      <c r="X34" s="397" t="str" cm="1">
        <f t="array" ref="X34">IFERROR(IF($D$3="","", _xlfn.XLOOKUP(1,($AR$36:$AR$53=F34)*($AS$36:$AS$53=G34), INDEX($AT$36:$BJ$53,,_xlfn.XMATCH(E34,$AT$35:$BJ$35)))),"")</f>
        <v/>
      </c>
      <c r="Y34" s="480"/>
      <c r="Z34" s="482"/>
      <c r="AA34" s="607" t="str" cm="1">
        <f t="array" ref="AA34">IFERROR(IF($D$3="", "", _xlfn.LET(_xlpm.dia, E34, _xlpm.thk, Z34, _xlpm.temp, I34,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 s="397" t="str" cm="1">
        <f t="array" ref="AB34">IFERROR(IF($D$3="", "", _xlfn.XLOOKUP(1,($AR$57:$AR$76=Y34)*($AS$57:$AS$76=Z34), INDEX($AT$57:$BJ$76,,_xlfn.XMATCH(E34,$AT$56:$BJ$56)))),"")</f>
        <v/>
      </c>
      <c r="AC34" s="208" t="str">
        <f t="shared" ref="AC34:AC97" si="9">IFERROR(IF($D$3="", "", IF(AND($AT$115="Fossil", $AT$122="Fossil", $AT$131="Fossil"), 0, ((X34-AB34)/(T34*3412))*W34*J34*Q34*R34)),"")</f>
        <v/>
      </c>
      <c r="AD34" s="397" t="str">
        <f t="shared" ref="AD34:AD97" si="10">IFERROR(IF($D$3="", "", AC34*V34/8760),"")</f>
        <v/>
      </c>
      <c r="AE34" s="610" t="str">
        <f t="shared" ref="AE34:AE97" si="11">IFERROR(IF(AF34="", "", AF34*10),"")</f>
        <v/>
      </c>
      <c r="AF34" s="610" t="str">
        <f t="shared" ref="AF34:AF97" si="12">IFERROR(IF($D$3="", "", IF(AND($AT$115="Electric", $AT$122="Electric", $AT$131="Electric"), 0, ((X34-AB34)/(U34*1000000))*W34*J34*Q34*S34)),"")</f>
        <v/>
      </c>
      <c r="AG34" s="610" t="str">
        <f t="shared" ref="AG34:AG97" si="13">IFERROR(IF(AC34&lt;&gt;0, AC34*3412/1000000, 0),"")</f>
        <v/>
      </c>
      <c r="AH34" s="608" t="str">
        <f>IFERROR(IF($D$3="","",IF(OR(AND(ISNUMBER(SEARCH("Domestic_Hot_Water",$K34)),OR(ISNUMBER(SEARCH("Not National Grid",$D$17)),ISNUMBER(SEARCH("Oil/Propane/Wood",$D$17)))),AND(ISNUMBER(SEARCH("Cooling",$K34)),ISNUMBER(SEARCH("Not National Grid",$D$16))),AND(NOT(ISNUMBER(SEARCH("Domestic_Hot_Water",$K34))),NOT(ISNUMBER(SEARCH("Cooling",$K34))),OR(ISNUMBER(SEARCH("Not National Grid",$D$15)),ISNUMBER(SEARCH("Oil/Propane/Wood",$D$15))))),0,IF(AA34="No",0,IF(M34="PERTHERM",N34*AE34,N34*W34)))),"")</f>
        <v/>
      </c>
      <c r="AI34" s="610" t="str">
        <f t="shared" ref="AI34:AI97" si="14">IFERROR(AG34+AF34,"")</f>
        <v/>
      </c>
      <c r="AM34" s="73" t="s">
        <v>166</v>
      </c>
      <c r="AN34" s="73" t="s">
        <v>167</v>
      </c>
      <c r="AO34" s="73" t="s">
        <v>168</v>
      </c>
      <c r="AP34" s="73" t="s">
        <v>169</v>
      </c>
      <c r="AQ34" s="1"/>
      <c r="AR34" s="611" t="s">
        <v>170</v>
      </c>
      <c r="AS34" s="612"/>
      <c r="AT34" s="612"/>
      <c r="AU34" s="612"/>
      <c r="AV34" s="612"/>
      <c r="AW34" s="612"/>
      <c r="AX34" s="612"/>
      <c r="AY34" s="612"/>
      <c r="AZ34" s="612"/>
      <c r="BA34" s="612"/>
      <c r="BB34" s="612"/>
      <c r="BC34" s="612"/>
      <c r="BD34" s="612"/>
      <c r="BE34" s="612"/>
      <c r="BF34" s="612"/>
      <c r="BG34" s="612"/>
      <c r="BH34" s="612"/>
      <c r="BI34" s="612"/>
      <c r="BJ34" s="612"/>
      <c r="BK34" s="613"/>
    </row>
    <row r="35" spans="2:68" x14ac:dyDescent="0.25">
      <c r="B35" s="209">
        <v>2</v>
      </c>
      <c r="C35" s="480"/>
      <c r="D35" s="480"/>
      <c r="E35" s="481"/>
      <c r="F35" s="480"/>
      <c r="G35" s="480"/>
      <c r="H35" s="607" t="str">
        <f t="shared" si="0"/>
        <v/>
      </c>
      <c r="I35" s="607" t="str">
        <f t="shared" si="1"/>
        <v/>
      </c>
      <c r="J35" s="607" t="str">
        <f t="shared" si="2"/>
        <v/>
      </c>
      <c r="K35" s="208" t="str">
        <f t="shared" si="3"/>
        <v/>
      </c>
      <c r="L35" s="208" t="str">
        <f t="shared" si="4"/>
        <v/>
      </c>
      <c r="M35" s="208" t="str">
        <f t="shared" ref="M35:M98" si="15">IF($D$3="","",IFERROR(IF(LEFT(L35,7)="LCI_Gas","PERTHERM","PERLF"),""))</f>
        <v/>
      </c>
      <c r="N35" s="608" t="str">
        <f>IF($D$3="", "", IFERROR(VLOOKUP(L35,'PIPE INCENTIVE'!$B$4:$E$19,2,FALSE),""))</f>
        <v/>
      </c>
      <c r="O35" s="608" t="str">
        <f t="shared" ref="O35:O98" si="16">IF($D$3="", "", IFERROR(IF(RIGHT(K35,6)="Fossil","Gas","Electric"),""))</f>
        <v/>
      </c>
      <c r="P35" s="208" t="str">
        <f t="shared" ref="P35:P98" si="17">IFERROR(IF($D$3="", "", IF(AND(G35="Domestic_Hot_Water",$D$18="All Year"),G35&amp;"_AY",IF(AND(G35="Domestic_Hot_Water",$D$18="Heating Season Only"),G35&amp;"_HSO","NOTDHW"))),"")</f>
        <v/>
      </c>
      <c r="Q35" s="208" t="str">
        <f t="shared" si="5"/>
        <v/>
      </c>
      <c r="R35" s="609" t="str">
        <f t="shared" si="6"/>
        <v/>
      </c>
      <c r="S35" s="609" t="str">
        <f t="shared" si="7"/>
        <v/>
      </c>
      <c r="T35" s="609" t="str">
        <f t="shared" si="8"/>
        <v/>
      </c>
      <c r="U35" s="609" t="str" cm="1">
        <f t="array" ref="U35">IFERROR(IF($D$3="","",_xlfn.LET(_xlpm.Mixed,AND(COUNTIF($G$34:$G$533,"Heating_Hot_Water")&gt;0,(COUNTIF($G$34:$G$533,"Steam_Low_Pressure") + COUNTIF($G$34:$G$533,"Steam_Medium_Pressure") + COUNTIF($G$34:$G$533,"Steam_High_Pressure"))&gt;0),_xlpm.fluid, G35,_xlpm.fuel, K35,_xlpm.load,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 s="609" t="str">
        <f t="shared" ref="V35:V98" si="18">IFERROR(IF($D$3="", "", IF(K35="Domestic_Hot_WaterElectric", 1, 0)),"")</f>
        <v/>
      </c>
      <c r="W35" s="482"/>
      <c r="X35" s="397" t="str" cm="1">
        <f t="array" ref="X35">IFERROR(IF($D$3="","", _xlfn.XLOOKUP(1,($AR$36:$AR$53=F35)*($AS$36:$AS$53=G35), INDEX($AT$36:$BJ$53,,_xlfn.XMATCH(E35,$AT$35:$BJ$35)))),"")</f>
        <v/>
      </c>
      <c r="Y35" s="480"/>
      <c r="Z35" s="482"/>
      <c r="AA35" s="607" t="str" cm="1">
        <f t="array" ref="AA35">IFERROR(IF($D$3="", "", _xlfn.LET(_xlpm.dia, E35, _xlpm.thk, Z35, _xlpm.temp, I35,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 s="397" t="str" cm="1">
        <f t="array" ref="AB35">IFERROR(IF($D$3="", "", _xlfn.XLOOKUP(1,($AR$57:$AR$76=Y35)*($AS$57:$AS$76=Z35), INDEX($AT$57:$BJ$76,,_xlfn.XMATCH(E35,$AT$56:$BJ$56)))),"")</f>
        <v/>
      </c>
      <c r="AC35" s="208" t="str">
        <f t="shared" si="9"/>
        <v/>
      </c>
      <c r="AD35" s="397" t="str">
        <f t="shared" si="10"/>
        <v/>
      </c>
      <c r="AE35" s="610" t="str">
        <f t="shared" si="11"/>
        <v/>
      </c>
      <c r="AF35" s="610" t="str">
        <f t="shared" si="12"/>
        <v/>
      </c>
      <c r="AG35" s="610" t="str">
        <f t="shared" si="13"/>
        <v/>
      </c>
      <c r="AH35" s="608" t="str">
        <f t="shared" ref="AH35:AH97" si="19">IFERROR(IF($D$3="","",IF(OR(AND(ISNUMBER(SEARCH("Domestic_Hot_Water",$K35)),OR(ISNUMBER(SEARCH("Not National Grid",$D$17)),ISNUMBER(SEARCH("Oil/Propane/Wood",$D$17)))),AND(ISNUMBER(SEARCH("Cooling",$K35)),ISNUMBER(SEARCH("Not National Grid",$D$16))),AND(NOT(ISNUMBER(SEARCH("Domestic_Hot_Water",$K35))),NOT(ISNUMBER(SEARCH("Cooling",$K35))),OR(ISNUMBER(SEARCH("Not National Grid",$D$15)),ISNUMBER(SEARCH("Oil/Propane/Wood",$D$15))))),0,IF(AA35="No",0,IF(M35="PERTHERM",N35*AE35,N35*W35)))),"")</f>
        <v/>
      </c>
      <c r="AI35" s="610" t="str">
        <f t="shared" si="14"/>
        <v/>
      </c>
      <c r="AM35" s="264" t="s">
        <v>167</v>
      </c>
      <c r="AN35" s="264" t="s">
        <v>171</v>
      </c>
      <c r="AO35" s="76" t="s">
        <v>172</v>
      </c>
      <c r="AP35" s="264" t="s">
        <v>171</v>
      </c>
      <c r="AQ35" s="1"/>
      <c r="AR35" s="614" t="s">
        <v>166</v>
      </c>
      <c r="AS35" s="614" t="s">
        <v>173</v>
      </c>
      <c r="AT35" s="615">
        <v>0.5</v>
      </c>
      <c r="AU35" s="616">
        <v>0.75</v>
      </c>
      <c r="AV35" s="616">
        <v>1</v>
      </c>
      <c r="AW35" s="616">
        <v>1.25</v>
      </c>
      <c r="AX35" s="616">
        <v>1.5</v>
      </c>
      <c r="AY35" s="616">
        <v>2</v>
      </c>
      <c r="AZ35" s="616">
        <v>2.5</v>
      </c>
      <c r="BA35" s="616">
        <v>3</v>
      </c>
      <c r="BB35" s="616">
        <v>3.5</v>
      </c>
      <c r="BC35" s="616">
        <v>4</v>
      </c>
      <c r="BD35" s="616">
        <v>5</v>
      </c>
      <c r="BE35" s="616">
        <v>6</v>
      </c>
      <c r="BF35" s="616">
        <v>8</v>
      </c>
      <c r="BG35" s="617">
        <v>10</v>
      </c>
      <c r="BH35" s="617">
        <v>12</v>
      </c>
      <c r="BI35" s="617">
        <v>14</v>
      </c>
      <c r="BJ35" s="618">
        <v>16</v>
      </c>
      <c r="BK35" s="619" t="s">
        <v>174</v>
      </c>
      <c r="BN35" s="620"/>
      <c r="BO35" s="620"/>
      <c r="BP35" s="65"/>
    </row>
    <row r="36" spans="2:68" x14ac:dyDescent="0.25">
      <c r="B36" s="209">
        <v>3</v>
      </c>
      <c r="C36" s="480"/>
      <c r="D36" s="480"/>
      <c r="E36" s="481"/>
      <c r="F36" s="480"/>
      <c r="G36" s="480"/>
      <c r="H36" s="607" t="str">
        <f t="shared" si="0"/>
        <v/>
      </c>
      <c r="I36" s="607" t="str">
        <f t="shared" si="1"/>
        <v/>
      </c>
      <c r="J36" s="607" t="str">
        <f t="shared" si="2"/>
        <v/>
      </c>
      <c r="K36" s="208" t="str">
        <f t="shared" si="3"/>
        <v/>
      </c>
      <c r="L36" s="208" t="str">
        <f t="shared" si="4"/>
        <v/>
      </c>
      <c r="M36" s="208" t="str">
        <f t="shared" si="15"/>
        <v/>
      </c>
      <c r="N36" s="608" t="str">
        <f>IF($D$3="", "", IFERROR(VLOOKUP(L36,'PIPE INCENTIVE'!$B$4:$E$19,2,FALSE),""))</f>
        <v/>
      </c>
      <c r="O36" s="608" t="str">
        <f t="shared" si="16"/>
        <v/>
      </c>
      <c r="P36" s="208" t="str">
        <f t="shared" si="17"/>
        <v/>
      </c>
      <c r="Q36" s="208" t="str">
        <f t="shared" si="5"/>
        <v/>
      </c>
      <c r="R36" s="609" t="str">
        <f t="shared" si="6"/>
        <v/>
      </c>
      <c r="S36" s="609" t="str">
        <f t="shared" si="7"/>
        <v/>
      </c>
      <c r="T36" s="609" t="str">
        <f t="shared" si="8"/>
        <v/>
      </c>
      <c r="U36" s="609" t="str" cm="1">
        <f t="array" ref="U36">IFERROR(IF($D$3="","",_xlfn.LET(_xlpm.Mixed,AND(COUNTIF($G$34:$G$533,"Heating_Hot_Water")&gt;0,(COUNTIF($G$34:$G$533,"Steam_Low_Pressure") + COUNTIF($G$34:$G$533,"Steam_Medium_Pressure") + COUNTIF($G$34:$G$533,"Steam_High_Pressure"))&gt;0),_xlpm.fluid, G36,_xlpm.fuel, K36,_xlpm.load,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 s="609" t="str">
        <f t="shared" si="18"/>
        <v/>
      </c>
      <c r="W36" s="482"/>
      <c r="X36" s="397" t="str" cm="1">
        <f t="array" ref="X36">IFERROR(IF($D$3="","", _xlfn.XLOOKUP(1,($AR$36:$AR$53=F36)*($AS$36:$AS$53=G36), INDEX($AT$36:$BJ$53,,_xlfn.XMATCH(E36,$AT$35:$BJ$35)))),"")</f>
        <v/>
      </c>
      <c r="Y36" s="480"/>
      <c r="Z36" s="482"/>
      <c r="AA36" s="607" t="str" cm="1">
        <f t="array" ref="AA36">IFERROR(IF($D$3="", "", _xlfn.LET(_xlpm.dia, E36, _xlpm.thk, Z36, _xlpm.temp, I36,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 s="397" t="str" cm="1">
        <f t="array" ref="AB36">IFERROR(IF($D$3="", "", _xlfn.XLOOKUP(1,($AR$57:$AR$76=Y36)*($AS$57:$AS$76=Z36), INDEX($AT$57:$BJ$76,,_xlfn.XMATCH(E36,$AT$56:$BJ$56)))),"")</f>
        <v/>
      </c>
      <c r="AC36" s="208" t="str">
        <f t="shared" si="9"/>
        <v/>
      </c>
      <c r="AD36" s="397" t="str">
        <f t="shared" si="10"/>
        <v/>
      </c>
      <c r="AE36" s="610" t="str">
        <f t="shared" si="11"/>
        <v/>
      </c>
      <c r="AF36" s="610" t="str">
        <f t="shared" si="12"/>
        <v/>
      </c>
      <c r="AG36" s="610" t="str">
        <f t="shared" si="13"/>
        <v/>
      </c>
      <c r="AH36" s="608" t="str">
        <f t="shared" si="19"/>
        <v/>
      </c>
      <c r="AI36" s="610" t="str">
        <f t="shared" si="14"/>
        <v/>
      </c>
      <c r="AM36" s="76" t="s">
        <v>168</v>
      </c>
      <c r="AN36" s="76" t="s">
        <v>172</v>
      </c>
      <c r="AO36" s="76" t="s">
        <v>175</v>
      </c>
      <c r="AP36" s="76" t="s">
        <v>172</v>
      </c>
      <c r="AR36" s="621" t="s">
        <v>167</v>
      </c>
      <c r="AS36" s="621" t="s">
        <v>171</v>
      </c>
      <c r="AT36" s="622">
        <v>0.44</v>
      </c>
      <c r="AU36" s="623">
        <v>0.54</v>
      </c>
      <c r="AV36" s="623">
        <v>0.65</v>
      </c>
      <c r="AW36" s="623">
        <v>0.8</v>
      </c>
      <c r="AX36" s="623">
        <v>0.9</v>
      </c>
      <c r="AY36" s="623">
        <v>1.1000000000000001</v>
      </c>
      <c r="AZ36" s="623">
        <v>1.31</v>
      </c>
      <c r="BA36" s="623">
        <v>1.57</v>
      </c>
      <c r="BB36" s="623">
        <v>1.77</v>
      </c>
      <c r="BC36" s="623">
        <v>1.98</v>
      </c>
      <c r="BD36" s="623">
        <v>2.41</v>
      </c>
      <c r="BE36" s="623">
        <v>2.84</v>
      </c>
      <c r="BF36" s="623">
        <v>3.64</v>
      </c>
      <c r="BG36" s="624" cm="1">
        <f t="array" ref="BG36">EXP(_xlfn.FORECAST.LINEAR(LN(BG$35),LN($AT36:$BF36),LN($AT$35:$BF$35)))</f>
        <v>4.072098123961907</v>
      </c>
      <c r="BH36" s="624" cm="1">
        <f t="array" ref="BH36">EXP(_xlfn.FORECAST.LINEAR(LN(BH$35),LN($AT36:$BF36),LN($AT$35:$BF$35)))</f>
        <v>4.693836424023198</v>
      </c>
      <c r="BI36" s="624" cm="1">
        <f t="array" ref="BI36">EXP(_xlfn.FORECAST.LINEAR(LN(BI$35),LN($AT36:$BF36),LN($AT$35:$BF$35)))</f>
        <v>5.2930107059902083</v>
      </c>
      <c r="BJ36" s="625" cm="1">
        <f t="array" ref="BJ36">EXP(_xlfn.FORECAST.LINEAR(LN(BJ$35),LN($AT36:$BF36),LN($AT$35:$BF$35)))</f>
        <v>5.8735227968965127</v>
      </c>
      <c r="BK36" s="626" t="s">
        <v>176</v>
      </c>
      <c r="BN36" s="620"/>
      <c r="BO36" s="620"/>
      <c r="BP36" s="65"/>
    </row>
    <row r="37" spans="2:68" x14ac:dyDescent="0.25">
      <c r="B37" s="209">
        <v>4</v>
      </c>
      <c r="C37" s="480"/>
      <c r="D37" s="480"/>
      <c r="E37" s="481"/>
      <c r="F37" s="480"/>
      <c r="G37" s="480"/>
      <c r="H37" s="607" t="str">
        <f t="shared" si="0"/>
        <v/>
      </c>
      <c r="I37" s="607" t="str">
        <f t="shared" si="1"/>
        <v/>
      </c>
      <c r="J37" s="607" t="str">
        <f t="shared" si="2"/>
        <v/>
      </c>
      <c r="K37" s="208" t="str">
        <f t="shared" si="3"/>
        <v/>
      </c>
      <c r="L37" s="208" t="str">
        <f t="shared" si="4"/>
        <v/>
      </c>
      <c r="M37" s="208" t="str">
        <f t="shared" si="15"/>
        <v/>
      </c>
      <c r="N37" s="608" t="str">
        <f>IF($D$3="", "", IFERROR(VLOOKUP(L37,'PIPE INCENTIVE'!$B$4:$E$19,2,FALSE),""))</f>
        <v/>
      </c>
      <c r="O37" s="608" t="str">
        <f t="shared" si="16"/>
        <v/>
      </c>
      <c r="P37" s="208" t="str">
        <f t="shared" si="17"/>
        <v/>
      </c>
      <c r="Q37" s="208" t="str">
        <f t="shared" si="5"/>
        <v/>
      </c>
      <c r="R37" s="609" t="str">
        <f t="shared" si="6"/>
        <v/>
      </c>
      <c r="S37" s="609" t="str">
        <f t="shared" si="7"/>
        <v/>
      </c>
      <c r="T37" s="609" t="str">
        <f t="shared" si="8"/>
        <v/>
      </c>
      <c r="U37" s="609" t="str" cm="1">
        <f t="array" ref="U37">IFERROR(IF($D$3="","",_xlfn.LET(_xlpm.Mixed,AND(COUNTIF($G$34:$G$533,"Heating_Hot_Water")&gt;0,(COUNTIF($G$34:$G$533,"Steam_Low_Pressure") + COUNTIF($G$34:$G$533,"Steam_Medium_Pressure") + COUNTIF($G$34:$G$533,"Steam_High_Pressure"))&gt;0),_xlpm.fluid, G37,_xlpm.fuel, K37,_xlpm.load,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 s="609" t="str">
        <f t="shared" si="18"/>
        <v/>
      </c>
      <c r="W37" s="482"/>
      <c r="X37" s="397" t="str" cm="1">
        <f t="array" ref="X37">IFERROR(IF($D$3="","", _xlfn.XLOOKUP(1,($AR$36:$AR$53=F37)*($AS$36:$AS$53=G37), INDEX($AT$36:$BJ$53,,_xlfn.XMATCH(E37,$AT$35:$BJ$35)))),"")</f>
        <v/>
      </c>
      <c r="Y37" s="480"/>
      <c r="Z37" s="482"/>
      <c r="AA37" s="607" t="str" cm="1">
        <f t="array" ref="AA37">IFERROR(IF($D$3="", "", _xlfn.LET(_xlpm.dia, E37, _xlpm.thk, Z37, _xlpm.temp, I37,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 s="397" t="str" cm="1">
        <f t="array" ref="AB37">IFERROR(IF($D$3="", "", _xlfn.XLOOKUP(1,($AR$57:$AR$76=Y37)*($AS$57:$AS$76=Z37), INDEX($AT$57:$BJ$76,,_xlfn.XMATCH(E37,$AT$56:$BJ$56)))),"")</f>
        <v/>
      </c>
      <c r="AC37" s="208" t="str">
        <f t="shared" si="9"/>
        <v/>
      </c>
      <c r="AD37" s="397" t="str">
        <f t="shared" si="10"/>
        <v/>
      </c>
      <c r="AE37" s="610" t="str">
        <f t="shared" si="11"/>
        <v/>
      </c>
      <c r="AF37" s="610" t="str">
        <f t="shared" si="12"/>
        <v/>
      </c>
      <c r="AG37" s="610" t="str">
        <f t="shared" si="13"/>
        <v/>
      </c>
      <c r="AH37" s="608" t="str">
        <f t="shared" si="19"/>
        <v/>
      </c>
      <c r="AI37" s="610" t="str">
        <f t="shared" si="14"/>
        <v/>
      </c>
      <c r="AM37" s="76" t="s">
        <v>169</v>
      </c>
      <c r="AN37" s="76" t="s">
        <v>175</v>
      </c>
      <c r="AO37" s="76" t="s">
        <v>177</v>
      </c>
      <c r="AP37" s="76" t="s">
        <v>178</v>
      </c>
      <c r="AR37" s="627" t="s">
        <v>167</v>
      </c>
      <c r="AS37" s="627" t="s">
        <v>172</v>
      </c>
      <c r="AT37" s="628">
        <v>0.48</v>
      </c>
      <c r="AU37" s="629">
        <v>0.57999999999999996</v>
      </c>
      <c r="AV37" s="629">
        <v>0.7</v>
      </c>
      <c r="AW37" s="629">
        <v>0.86</v>
      </c>
      <c r="AX37" s="629">
        <v>0.97</v>
      </c>
      <c r="AY37" s="629">
        <v>1.19</v>
      </c>
      <c r="AZ37" s="629">
        <v>1.42</v>
      </c>
      <c r="BA37" s="629">
        <v>1.7</v>
      </c>
      <c r="BB37" s="629">
        <v>1.92</v>
      </c>
      <c r="BC37" s="629">
        <v>2.14</v>
      </c>
      <c r="BD37" s="629">
        <v>2.61</v>
      </c>
      <c r="BE37" s="629">
        <v>3.07</v>
      </c>
      <c r="BF37" s="629">
        <v>3.94</v>
      </c>
      <c r="BG37" s="630" cm="1">
        <f t="array" ref="BG37">EXP(_xlfn.FORECAST.LINEAR(LN(BG$35),LN($AT37:$BF37),LN($AT$35:$BF$35)))</f>
        <v>4.4073530563184597</v>
      </c>
      <c r="BH37" s="630" cm="1">
        <f t="array" ref="BH37">EXP(_xlfn.FORECAST.LINEAR(LN(BH$35),LN($AT37:$BF37),LN($AT$35:$BF$35)))</f>
        <v>5.0809469529319733</v>
      </c>
      <c r="BI37" s="630" cm="1">
        <f t="array" ref="BI37">EXP(_xlfn.FORECAST.LINEAR(LN(BI$35),LN($AT37:$BF37),LN($AT$35:$BF$35)))</f>
        <v>5.7301733724873385</v>
      </c>
      <c r="BJ37" s="631" cm="1">
        <f t="array" ref="BJ37">EXP(_xlfn.FORECAST.LINEAR(LN(BJ$35),LN($AT37:$BF37),LN($AT$35:$BF$35)))</f>
        <v>6.3592437287581518</v>
      </c>
      <c r="BK37" s="632" t="s">
        <v>176</v>
      </c>
      <c r="BN37" s="620"/>
      <c r="BO37" s="620"/>
      <c r="BP37" s="65"/>
    </row>
    <row r="38" spans="2:68" x14ac:dyDescent="0.25">
      <c r="B38" s="209">
        <v>5</v>
      </c>
      <c r="C38" s="480"/>
      <c r="D38" s="480"/>
      <c r="E38" s="481"/>
      <c r="F38" s="480"/>
      <c r="G38" s="480"/>
      <c r="H38" s="607" t="str">
        <f t="shared" si="0"/>
        <v/>
      </c>
      <c r="I38" s="607" t="str">
        <f t="shared" si="1"/>
        <v/>
      </c>
      <c r="J38" s="607" t="str">
        <f t="shared" si="2"/>
        <v/>
      </c>
      <c r="K38" s="208" t="str">
        <f t="shared" si="3"/>
        <v/>
      </c>
      <c r="L38" s="208" t="str">
        <f t="shared" si="4"/>
        <v/>
      </c>
      <c r="M38" s="208" t="str">
        <f t="shared" si="15"/>
        <v/>
      </c>
      <c r="N38" s="608" t="str">
        <f>IF($D$3="", "", IFERROR(VLOOKUP(L38,'PIPE INCENTIVE'!$B$4:$E$19,2,FALSE),""))</f>
        <v/>
      </c>
      <c r="O38" s="608" t="str">
        <f t="shared" si="16"/>
        <v/>
      </c>
      <c r="P38" s="208" t="str">
        <f t="shared" si="17"/>
        <v/>
      </c>
      <c r="Q38" s="208" t="str">
        <f t="shared" si="5"/>
        <v/>
      </c>
      <c r="R38" s="609" t="str">
        <f t="shared" si="6"/>
        <v/>
      </c>
      <c r="S38" s="609" t="str">
        <f t="shared" si="7"/>
        <v/>
      </c>
      <c r="T38" s="609" t="str">
        <f t="shared" si="8"/>
        <v/>
      </c>
      <c r="U38" s="609" t="str" cm="1">
        <f t="array" ref="U38">IFERROR(IF($D$3="","",_xlfn.LET(_xlpm.Mixed,AND(COUNTIF($G$34:$G$533,"Heating_Hot_Water")&gt;0,(COUNTIF($G$34:$G$533,"Steam_Low_Pressure") + COUNTIF($G$34:$G$533,"Steam_Medium_Pressure") + COUNTIF($G$34:$G$533,"Steam_High_Pressure"))&gt;0),_xlpm.fluid, G38,_xlpm.fuel, K38,_xlpm.load,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 s="609" t="str">
        <f t="shared" si="18"/>
        <v/>
      </c>
      <c r="W38" s="482"/>
      <c r="X38" s="397" t="str" cm="1">
        <f t="array" ref="X38">IFERROR(IF($D$3="","", _xlfn.XLOOKUP(1,($AR$36:$AR$53=F38)*($AS$36:$AS$53=G38), INDEX($AT$36:$BJ$53,,_xlfn.XMATCH(E38,$AT$35:$BJ$35)))),"")</f>
        <v/>
      </c>
      <c r="Y38" s="480"/>
      <c r="Z38" s="482"/>
      <c r="AA38" s="607" t="str" cm="1">
        <f t="array" ref="AA38">IFERROR(IF($D$3="", "", _xlfn.LET(_xlpm.dia, E38, _xlpm.thk, Z38, _xlpm.temp, I38,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 s="397" t="str" cm="1">
        <f t="array" ref="AB38">IFERROR(IF($D$3="", "", _xlfn.XLOOKUP(1,($AR$57:$AR$76=Y38)*($AS$57:$AS$76=Z38), INDEX($AT$57:$BJ$76,,_xlfn.XMATCH(E38,$AT$56:$BJ$56)))),"")</f>
        <v/>
      </c>
      <c r="AC38" s="208" t="str">
        <f t="shared" si="9"/>
        <v/>
      </c>
      <c r="AD38" s="397" t="str">
        <f t="shared" si="10"/>
        <v/>
      </c>
      <c r="AE38" s="610" t="str">
        <f t="shared" si="11"/>
        <v/>
      </c>
      <c r="AF38" s="610" t="str">
        <f t="shared" si="12"/>
        <v/>
      </c>
      <c r="AG38" s="610" t="str">
        <f t="shared" si="13"/>
        <v/>
      </c>
      <c r="AH38" s="608" t="str">
        <f t="shared" si="19"/>
        <v/>
      </c>
      <c r="AI38" s="610" t="str">
        <f t="shared" si="14"/>
        <v/>
      </c>
      <c r="AM38" s="123"/>
      <c r="AN38" s="76" t="s">
        <v>177</v>
      </c>
      <c r="AO38" s="76" t="s">
        <v>179</v>
      </c>
      <c r="AP38" s="76" t="s">
        <v>180</v>
      </c>
      <c r="AR38" s="627" t="s">
        <v>167</v>
      </c>
      <c r="AS38" s="627" t="s">
        <v>175</v>
      </c>
      <c r="AT38" s="628">
        <v>0.53</v>
      </c>
      <c r="AU38" s="629">
        <v>0.64</v>
      </c>
      <c r="AV38" s="629">
        <v>0.78</v>
      </c>
      <c r="AW38" s="629">
        <v>0.96</v>
      </c>
      <c r="AX38" s="629">
        <v>1.0900000000000001</v>
      </c>
      <c r="AY38" s="629">
        <v>1.33</v>
      </c>
      <c r="AZ38" s="629">
        <v>1.58</v>
      </c>
      <c r="BA38" s="629">
        <v>1.9</v>
      </c>
      <c r="BB38" s="629">
        <v>2.15</v>
      </c>
      <c r="BC38" s="629">
        <v>2.4</v>
      </c>
      <c r="BD38" s="629">
        <v>2.92</v>
      </c>
      <c r="BE38" s="629">
        <v>3.45</v>
      </c>
      <c r="BF38" s="629">
        <v>4.42</v>
      </c>
      <c r="BG38" s="630" cm="1">
        <f t="array" ref="BG38">EXP(_xlfn.FORECAST.LINEAR(LN(BG$35),LN($AT38:$BF38),LN($AT$35:$BF$35)))</f>
        <v>4.9616074740731086</v>
      </c>
      <c r="BH38" s="630" cm="1">
        <f t="array" ref="BH38">EXP(_xlfn.FORECAST.LINEAR(LN(BH$35),LN($AT38:$BF38),LN($AT$35:$BF$35)))</f>
        <v>5.7256278169656767</v>
      </c>
      <c r="BI38" s="630" cm="1">
        <f t="array" ref="BI38">EXP(_xlfn.FORECAST.LINEAR(LN(BI$35),LN($AT38:$BF38),LN($AT$35:$BF$35)))</f>
        <v>6.4626861558128104</v>
      </c>
      <c r="BJ38" s="631" cm="1">
        <f t="array" ref="BJ38">EXP(_xlfn.FORECAST.LINEAR(LN(BJ$35),LN($AT38:$BF38),LN($AT$35:$BF$35)))</f>
        <v>7.1774232045982451</v>
      </c>
      <c r="BK38" s="632" t="s">
        <v>176</v>
      </c>
      <c r="BN38" s="620"/>
      <c r="BO38" s="620"/>
      <c r="BP38" s="65"/>
    </row>
    <row r="39" spans="2:68" x14ac:dyDescent="0.25">
      <c r="B39" s="209">
        <v>6</v>
      </c>
      <c r="C39" s="480"/>
      <c r="D39" s="480"/>
      <c r="E39" s="481"/>
      <c r="F39" s="480"/>
      <c r="G39" s="480"/>
      <c r="H39" s="607" t="str">
        <f t="shared" si="0"/>
        <v/>
      </c>
      <c r="I39" s="607" t="str">
        <f t="shared" si="1"/>
        <v/>
      </c>
      <c r="J39" s="607" t="str">
        <f t="shared" si="2"/>
        <v/>
      </c>
      <c r="K39" s="208" t="str">
        <f t="shared" si="3"/>
        <v/>
      </c>
      <c r="L39" s="208" t="str">
        <f t="shared" si="4"/>
        <v/>
      </c>
      <c r="M39" s="208" t="str">
        <f t="shared" si="15"/>
        <v/>
      </c>
      <c r="N39" s="608" t="str">
        <f>IF($D$3="", "", IFERROR(VLOOKUP(L39,'PIPE INCENTIVE'!$B$4:$E$19,2,FALSE),""))</f>
        <v/>
      </c>
      <c r="O39" s="608" t="str">
        <f t="shared" si="16"/>
        <v/>
      </c>
      <c r="P39" s="208" t="str">
        <f t="shared" si="17"/>
        <v/>
      </c>
      <c r="Q39" s="208" t="str">
        <f t="shared" si="5"/>
        <v/>
      </c>
      <c r="R39" s="609" t="str">
        <f t="shared" si="6"/>
        <v/>
      </c>
      <c r="S39" s="609" t="str">
        <f t="shared" si="7"/>
        <v/>
      </c>
      <c r="T39" s="609" t="str">
        <f t="shared" si="8"/>
        <v/>
      </c>
      <c r="U39" s="609" t="str" cm="1">
        <f t="array" ref="U39">IFERROR(IF($D$3="","",_xlfn.LET(_xlpm.Mixed,AND(COUNTIF($G$34:$G$533,"Heating_Hot_Water")&gt;0,(COUNTIF($G$34:$G$533,"Steam_Low_Pressure") + COUNTIF($G$34:$G$533,"Steam_Medium_Pressure") + COUNTIF($G$34:$G$533,"Steam_High_Pressure"))&gt;0),_xlpm.fluid, G39,_xlpm.fuel, K39,_xlpm.load,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 s="609" t="str">
        <f t="shared" si="18"/>
        <v/>
      </c>
      <c r="W39" s="482"/>
      <c r="X39" s="397" t="str" cm="1">
        <f t="array" ref="X39">IFERROR(IF($D$3="","", _xlfn.XLOOKUP(1,($AR$36:$AR$53=F39)*($AS$36:$AS$53=G39), INDEX($AT$36:$BJ$53,,_xlfn.XMATCH(E39,$AT$35:$BJ$35)))),"")</f>
        <v/>
      </c>
      <c r="Y39" s="480"/>
      <c r="Z39" s="482"/>
      <c r="AA39" s="607" t="str" cm="1">
        <f t="array" ref="AA39">IFERROR(IF($D$3="", "", _xlfn.LET(_xlpm.dia, E39, _xlpm.thk, Z39, _xlpm.temp, I39,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 s="397" t="str" cm="1">
        <f t="array" ref="AB39">IFERROR(IF($D$3="", "", _xlfn.XLOOKUP(1,($AR$57:$AR$76=Y39)*($AS$57:$AS$76=Z39), INDEX($AT$57:$BJ$76,,_xlfn.XMATCH(E39,$AT$56:$BJ$56)))),"")</f>
        <v/>
      </c>
      <c r="AC39" s="208" t="str">
        <f t="shared" si="9"/>
        <v/>
      </c>
      <c r="AD39" s="397" t="str">
        <f t="shared" si="10"/>
        <v/>
      </c>
      <c r="AE39" s="610" t="str">
        <f t="shared" si="11"/>
        <v/>
      </c>
      <c r="AF39" s="610" t="str">
        <f t="shared" si="12"/>
        <v/>
      </c>
      <c r="AG39" s="610" t="str">
        <f t="shared" si="13"/>
        <v/>
      </c>
      <c r="AH39" s="608" t="str">
        <f>IFERROR(IF($D$3="","",IF(OR(AND(ISNUMBER(SEARCH("Domestic_Hot_Water",$K39)),OR(ISNUMBER(SEARCH("Not National Grid",$D$17)),ISNUMBER(SEARCH("Oil/Propane/Wood",$D$17)))),AND(ISNUMBER(SEARCH("Cooling",$K39)),ISNUMBER(SEARCH("Not National Grid",$D$16))),AND(NOT(ISNUMBER(SEARCH("Domestic_Hot_Water",$K39))),NOT(ISNUMBER(SEARCH("Cooling",$K39))),OR(ISNUMBER(SEARCH("Not National Grid",$D$15)),ISNUMBER(SEARCH("Oil/Propane/Wood",$D$15))))),0,IF(AA39="No",0,IF(M39="PERTHERM",N39*AE39,N39*W39)))),"")</f>
        <v/>
      </c>
      <c r="AI39" s="610" t="str">
        <f t="shared" si="14"/>
        <v/>
      </c>
      <c r="AN39" s="76" t="s">
        <v>179</v>
      </c>
      <c r="AO39" s="76" t="s">
        <v>181</v>
      </c>
      <c r="AR39" s="633" t="s">
        <v>167</v>
      </c>
      <c r="AS39" s="633" t="s">
        <v>177</v>
      </c>
      <c r="AT39" s="634">
        <f>AT$38*ABS(_xlfn.XLOOKUP($AS39,$AM$64:$AM$71,$AN$64:$AN$71)-_xlfn.XLOOKUP($AS39,$AM$53:$AM$60,$AN$53:$AN$60))/ABS(_xlfn.XLOOKUP($AS$38,$AM$64:$AM$71,$AN$64:$AN$71)-_xlfn.XLOOKUP($AS$38,$AM$53:$AM$60,$AN$53:$AN$60))</f>
        <v>0.65759259259259262</v>
      </c>
      <c r="AU39" s="630">
        <f t="shared" ref="AU39:BF40" si="20">AU$38*ABS(_xlfn.XLOOKUP($AS39,$AM$64:$AM$71,$AN$64:$AN$71)-_xlfn.XLOOKUP($AS39,$AM$53:$AM$60,$AN$53:$AN$60))/ABS(_xlfn.XLOOKUP($AS$38,$AM$64:$AM$71,$AN$64:$AN$71)-_xlfn.XLOOKUP($AS$38,$AM$53:$AM$60,$AN$53:$AN$60))</f>
        <v>0.79407407407407415</v>
      </c>
      <c r="AV39" s="630">
        <f t="shared" si="20"/>
        <v>0.96777777777777774</v>
      </c>
      <c r="AW39" s="630">
        <f t="shared" si="20"/>
        <v>1.191111111111111</v>
      </c>
      <c r="AX39" s="630">
        <f t="shared" si="20"/>
        <v>1.3524074074074075</v>
      </c>
      <c r="AY39" s="630">
        <f t="shared" si="20"/>
        <v>1.6501851851851854</v>
      </c>
      <c r="AZ39" s="630">
        <f t="shared" si="20"/>
        <v>1.9603703703703705</v>
      </c>
      <c r="BA39" s="630">
        <f t="shared" si="20"/>
        <v>2.3574074074074072</v>
      </c>
      <c r="BB39" s="630">
        <f t="shared" si="20"/>
        <v>2.6675925925925923</v>
      </c>
      <c r="BC39" s="630">
        <f t="shared" si="20"/>
        <v>2.9777777777777779</v>
      </c>
      <c r="BD39" s="630">
        <f t="shared" si="20"/>
        <v>3.6229629629629625</v>
      </c>
      <c r="BE39" s="630">
        <f t="shared" si="20"/>
        <v>4.2805555555555559</v>
      </c>
      <c r="BF39" s="630">
        <f t="shared" si="20"/>
        <v>5.4840740740740737</v>
      </c>
      <c r="BG39" s="630" cm="1">
        <f t="array" ref="BG39">EXP(_xlfn.FORECAST.LINEAR(LN(BG$35),LN($AT39:$BF39),LN($AT$35:$BF$35)))</f>
        <v>6.1560685326462643</v>
      </c>
      <c r="BH39" s="630" cm="1">
        <f t="array" ref="BH39">EXP(_xlfn.FORECAST.LINEAR(LN(BH$35),LN($AT39:$BF39),LN($AT$35:$BF$35)))</f>
        <v>7.1040196988277842</v>
      </c>
      <c r="BI39" s="630" cm="1">
        <f t="array" ref="BI39">EXP(_xlfn.FORECAST.LINEAR(LN(BI$35),LN($AT39:$BF39),LN($AT$35:$BF$35)))</f>
        <v>8.0185180081381162</v>
      </c>
      <c r="BJ39" s="631" cm="1">
        <f t="array" ref="BJ39">EXP(_xlfn.FORECAST.LINEAR(LN(BJ$35),LN($AT39:$BF39),LN($AT$35:$BF$35)))</f>
        <v>8.9053213834830078</v>
      </c>
      <c r="BK39" s="632" t="s">
        <v>182</v>
      </c>
      <c r="BN39" s="620"/>
      <c r="BO39" s="620"/>
      <c r="BP39" s="65"/>
    </row>
    <row r="40" spans="2:68" x14ac:dyDescent="0.25">
      <c r="B40" s="209">
        <v>7</v>
      </c>
      <c r="C40" s="480"/>
      <c r="D40" s="480"/>
      <c r="E40" s="481"/>
      <c r="F40" s="480"/>
      <c r="G40" s="480"/>
      <c r="H40" s="607" t="str">
        <f t="shared" si="0"/>
        <v/>
      </c>
      <c r="I40" s="607" t="str">
        <f t="shared" si="1"/>
        <v/>
      </c>
      <c r="J40" s="607" t="str">
        <f t="shared" si="2"/>
        <v/>
      </c>
      <c r="K40" s="208" t="str">
        <f t="shared" si="3"/>
        <v/>
      </c>
      <c r="L40" s="208" t="str">
        <f t="shared" si="4"/>
        <v/>
      </c>
      <c r="M40" s="208" t="str">
        <f t="shared" si="15"/>
        <v/>
      </c>
      <c r="N40" s="608" t="str">
        <f>IF($D$3="", "", IFERROR(VLOOKUP(L40,'PIPE INCENTIVE'!$B$4:$E$19,2,FALSE),""))</f>
        <v/>
      </c>
      <c r="O40" s="608" t="str">
        <f t="shared" si="16"/>
        <v/>
      </c>
      <c r="P40" s="208" t="str">
        <f t="shared" si="17"/>
        <v/>
      </c>
      <c r="Q40" s="208" t="str">
        <f t="shared" si="5"/>
        <v/>
      </c>
      <c r="R40" s="609" t="str">
        <f t="shared" si="6"/>
        <v/>
      </c>
      <c r="S40" s="609" t="str">
        <f t="shared" si="7"/>
        <v/>
      </c>
      <c r="T40" s="609" t="str">
        <f t="shared" si="8"/>
        <v/>
      </c>
      <c r="U40" s="609" t="str" cm="1">
        <f t="array" ref="U40">IFERROR(IF($D$3="","",_xlfn.LET(_xlpm.Mixed,AND(COUNTIF($G$34:$G$533,"Heating_Hot_Water")&gt;0,(COUNTIF($G$34:$G$533,"Steam_Low_Pressure") + COUNTIF($G$34:$G$533,"Steam_Medium_Pressure") + COUNTIF($G$34:$G$533,"Steam_High_Pressure"))&gt;0),_xlpm.fluid, G40,_xlpm.fuel, K40,_xlpm.load,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 s="609" t="str">
        <f t="shared" si="18"/>
        <v/>
      </c>
      <c r="W40" s="482"/>
      <c r="X40" s="397" t="str" cm="1">
        <f t="array" ref="X40">IFERROR(IF($D$3="","", _xlfn.XLOOKUP(1,($AR$36:$AR$53=F40)*($AS$36:$AS$53=G40), INDEX($AT$36:$BJ$53,,_xlfn.XMATCH(E40,$AT$35:$BJ$35)))),"")</f>
        <v/>
      </c>
      <c r="Y40" s="480"/>
      <c r="Z40" s="482"/>
      <c r="AA40" s="607" t="str" cm="1">
        <f t="array" ref="AA40">IFERROR(IF($D$3="", "", _xlfn.LET(_xlpm.dia, E40, _xlpm.thk, Z40, _xlpm.temp, I40,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 s="397" t="str" cm="1">
        <f t="array" ref="AB40">IFERROR(IF($D$3="", "", _xlfn.XLOOKUP(1,($AR$57:$AR$76=Y40)*($AS$57:$AS$76=Z40), INDEX($AT$57:$BJ$76,,_xlfn.XMATCH(E40,$AT$56:$BJ$56)))),"")</f>
        <v/>
      </c>
      <c r="AC40" s="208" t="str">
        <f t="shared" si="9"/>
        <v/>
      </c>
      <c r="AD40" s="397" t="str">
        <f t="shared" si="10"/>
        <v/>
      </c>
      <c r="AE40" s="610" t="str">
        <f t="shared" si="11"/>
        <v/>
      </c>
      <c r="AF40" s="610" t="str">
        <f t="shared" si="12"/>
        <v/>
      </c>
      <c r="AG40" s="610" t="str">
        <f t="shared" si="13"/>
        <v/>
      </c>
      <c r="AH40" s="608" t="str">
        <f t="shared" si="19"/>
        <v/>
      </c>
      <c r="AI40" s="610" t="str">
        <f t="shared" si="14"/>
        <v/>
      </c>
      <c r="AN40" s="76" t="s">
        <v>178</v>
      </c>
      <c r="AO40" s="76" t="s">
        <v>178</v>
      </c>
      <c r="AR40" s="633" t="s">
        <v>167</v>
      </c>
      <c r="AS40" s="633" t="s">
        <v>179</v>
      </c>
      <c r="AT40" s="634">
        <f>AT$38*ABS(_xlfn.XLOOKUP($AS40,$AM$64:$AM$71,$AN$64:$AN$71)-_xlfn.XLOOKUP($AS40,$AM$53:$AM$60,$AN$53:$AN$60))/ABS(_xlfn.XLOOKUP($AS$38,$AM$64:$AM$71,$AN$64:$AN$71)-_xlfn.XLOOKUP($AS$38,$AM$53:$AM$60,$AN$53:$AN$60))</f>
        <v>0.98475308641975312</v>
      </c>
      <c r="AU40" s="630">
        <f t="shared" si="20"/>
        <v>1.1891358024691359</v>
      </c>
      <c r="AV40" s="630">
        <f t="shared" si="20"/>
        <v>1.4492592592592592</v>
      </c>
      <c r="AW40" s="630">
        <f t="shared" si="20"/>
        <v>1.7837037037037036</v>
      </c>
      <c r="AX40" s="630">
        <f t="shared" si="20"/>
        <v>2.0252469135802471</v>
      </c>
      <c r="AY40" s="630">
        <f t="shared" si="20"/>
        <v>2.4711728395061732</v>
      </c>
      <c r="AZ40" s="630">
        <f t="shared" si="20"/>
        <v>2.9356790123456791</v>
      </c>
      <c r="BA40" s="630">
        <f t="shared" si="20"/>
        <v>3.5302469135802466</v>
      </c>
      <c r="BB40" s="630">
        <f t="shared" si="20"/>
        <v>3.9947530864197529</v>
      </c>
      <c r="BC40" s="630">
        <f t="shared" si="20"/>
        <v>4.4592592592592588</v>
      </c>
      <c r="BD40" s="630">
        <f t="shared" si="20"/>
        <v>5.4254320987654321</v>
      </c>
      <c r="BE40" s="630">
        <f t="shared" si="20"/>
        <v>6.4101851851851857</v>
      </c>
      <c r="BF40" s="630">
        <f t="shared" si="20"/>
        <v>8.2124691358024702</v>
      </c>
      <c r="BG40" s="630" cm="1">
        <f t="array" ref="BG40">EXP(_xlfn.FORECAST.LINEAR(LN(BG$35),LN($AT40:$BF40),LN($AT$35:$BF$35)))</f>
        <v>9.2187891956543524</v>
      </c>
      <c r="BH40" s="630" cm="1">
        <f t="array" ref="BH40">EXP(_xlfn.FORECAST.LINEAR(LN(BH$35),LN($AT40:$BF40),LN($AT$35:$BF$35)))</f>
        <v>10.63835785744857</v>
      </c>
      <c r="BI40" s="630" cm="1">
        <f t="array" ref="BI40">EXP(_xlfn.FORECAST.LINEAR(LN(BI$35),LN($AT40:$BF40),LN($AT$35:$BF$35)))</f>
        <v>12.007830449997877</v>
      </c>
      <c r="BJ40" s="631" cm="1">
        <f t="array" ref="BJ40">EXP(_xlfn.FORECAST.LINEAR(LN(BJ$35),LN($AT40:$BF40),LN($AT$35:$BF$35)))</f>
        <v>13.33582953446958</v>
      </c>
      <c r="BK40" s="632" t="s">
        <v>182</v>
      </c>
      <c r="BN40" s="620"/>
      <c r="BO40" s="620"/>
      <c r="BP40" s="65"/>
    </row>
    <row r="41" spans="2:68" x14ac:dyDescent="0.25">
      <c r="B41" s="209">
        <v>8</v>
      </c>
      <c r="C41" s="480"/>
      <c r="D41" s="480"/>
      <c r="E41" s="481"/>
      <c r="F41" s="480"/>
      <c r="G41" s="480"/>
      <c r="H41" s="607" t="str">
        <f t="shared" si="0"/>
        <v/>
      </c>
      <c r="I41" s="607" t="str">
        <f t="shared" si="1"/>
        <v/>
      </c>
      <c r="J41" s="607" t="str">
        <f t="shared" si="2"/>
        <v/>
      </c>
      <c r="K41" s="208" t="str">
        <f t="shared" si="3"/>
        <v/>
      </c>
      <c r="L41" s="208" t="str">
        <f t="shared" si="4"/>
        <v/>
      </c>
      <c r="M41" s="208" t="str">
        <f t="shared" si="15"/>
        <v/>
      </c>
      <c r="N41" s="608" t="str">
        <f>IF($D$3="", "", IFERROR(VLOOKUP(L41,'PIPE INCENTIVE'!$B$4:$E$19,2,FALSE),""))</f>
        <v/>
      </c>
      <c r="O41" s="608" t="str">
        <f t="shared" si="16"/>
        <v/>
      </c>
      <c r="P41" s="208" t="str">
        <f t="shared" si="17"/>
        <v/>
      </c>
      <c r="Q41" s="208" t="str">
        <f t="shared" si="5"/>
        <v/>
      </c>
      <c r="R41" s="609" t="str">
        <f t="shared" si="6"/>
        <v/>
      </c>
      <c r="S41" s="609" t="str">
        <f t="shared" si="7"/>
        <v/>
      </c>
      <c r="T41" s="609" t="str">
        <f t="shared" si="8"/>
        <v/>
      </c>
      <c r="U41" s="609" t="str" cm="1">
        <f t="array" ref="U41">IFERROR(IF($D$3="","",_xlfn.LET(_xlpm.Mixed,AND(COUNTIF($G$34:$G$533,"Heating_Hot_Water")&gt;0,(COUNTIF($G$34:$G$533,"Steam_Low_Pressure") + COUNTIF($G$34:$G$533,"Steam_Medium_Pressure") + COUNTIF($G$34:$G$533,"Steam_High_Pressure"))&gt;0),_xlpm.fluid, G41,_xlpm.fuel, K41,_xlpm.load,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 s="609" t="str">
        <f t="shared" si="18"/>
        <v/>
      </c>
      <c r="W41" s="482"/>
      <c r="X41" s="397" t="str" cm="1">
        <f t="array" ref="X41">IFERROR(IF($D$3="","", _xlfn.XLOOKUP(1,($AR$36:$AR$53=F41)*($AS$36:$AS$53=G41), INDEX($AT$36:$BJ$53,,_xlfn.XMATCH(E41,$AT$35:$BJ$35)))),"")</f>
        <v/>
      </c>
      <c r="Y41" s="480"/>
      <c r="Z41" s="482"/>
      <c r="AA41" s="607" t="str" cm="1">
        <f t="array" ref="AA41">IFERROR(IF($D$3="", "", _xlfn.LET(_xlpm.dia, E41, _xlpm.thk, Z41, _xlpm.temp, I41,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 s="397" t="str" cm="1">
        <f t="array" ref="AB41">IFERROR(IF($D$3="", "", _xlfn.XLOOKUP(1,($AR$57:$AR$76=Y41)*($AS$57:$AS$76=Z41), INDEX($AT$57:$BJ$76,,_xlfn.XMATCH(E41,$AT$56:$BJ$56)))),"")</f>
        <v/>
      </c>
      <c r="AC41" s="208" t="str">
        <f t="shared" si="9"/>
        <v/>
      </c>
      <c r="AD41" s="397" t="str">
        <f t="shared" si="10"/>
        <v/>
      </c>
      <c r="AE41" s="610" t="str">
        <f t="shared" si="11"/>
        <v/>
      </c>
      <c r="AF41" s="610" t="str">
        <f t="shared" si="12"/>
        <v/>
      </c>
      <c r="AG41" s="610" t="str">
        <f t="shared" si="13"/>
        <v/>
      </c>
      <c r="AH41" s="608" t="str">
        <f t="shared" si="19"/>
        <v/>
      </c>
      <c r="AI41" s="610" t="str">
        <f t="shared" si="14"/>
        <v/>
      </c>
      <c r="AN41" s="76" t="s">
        <v>180</v>
      </c>
      <c r="AO41" s="76" t="s">
        <v>180</v>
      </c>
      <c r="AR41" s="633" t="s">
        <v>167</v>
      </c>
      <c r="AS41" s="633" t="s">
        <v>178</v>
      </c>
      <c r="AT41" s="634">
        <f>AT$37*ABS(_xlfn.XLOOKUP($AS41,$AM$64:$AM$71,$AN$64:$AN$71)-_xlfn.XLOOKUP($AS41,$AM$53:$AM$60,$AN$53:$AN$60))/ABS(_xlfn.XLOOKUP($AS$37,$AM$64:$AM$71,$AN$64:$AN$71)-_xlfn.XLOOKUP($AS$37,$AM$53:$AM$60,$AN$53:$AN$60))</f>
        <v>0.10909090909090909</v>
      </c>
      <c r="AU41" s="630">
        <f t="shared" ref="AU41:BF42" si="21">AU$37*ABS(_xlfn.XLOOKUP($AS41,$AM$64:$AM$71,$AN$64:$AN$71)-_xlfn.XLOOKUP($AS41,$AM$53:$AM$60,$AN$53:$AN$60))/ABS(_xlfn.XLOOKUP($AS$37,$AM$64:$AM$71,$AN$64:$AN$71)-_xlfn.XLOOKUP($AS$37,$AM$53:$AM$60,$AN$53:$AN$60))</f>
        <v>0.13181818181818181</v>
      </c>
      <c r="AV41" s="630">
        <f t="shared" si="21"/>
        <v>0.15909090909090909</v>
      </c>
      <c r="AW41" s="630">
        <f t="shared" si="21"/>
        <v>0.19545454545454546</v>
      </c>
      <c r="AX41" s="630">
        <f t="shared" si="21"/>
        <v>0.22045454545454546</v>
      </c>
      <c r="AY41" s="630">
        <f t="shared" si="21"/>
        <v>0.27045454545454545</v>
      </c>
      <c r="AZ41" s="630">
        <f t="shared" si="21"/>
        <v>0.32272727272727275</v>
      </c>
      <c r="BA41" s="630">
        <f t="shared" si="21"/>
        <v>0.38636363636363635</v>
      </c>
      <c r="BB41" s="630">
        <f t="shared" si="21"/>
        <v>0.43636363636363634</v>
      </c>
      <c r="BC41" s="630">
        <f t="shared" si="21"/>
        <v>0.48636363636363639</v>
      </c>
      <c r="BD41" s="630">
        <f t="shared" si="21"/>
        <v>0.59318181818181814</v>
      </c>
      <c r="BE41" s="630">
        <f t="shared" si="21"/>
        <v>0.69772727272727275</v>
      </c>
      <c r="BF41" s="630">
        <f t="shared" si="21"/>
        <v>0.8954545454545455</v>
      </c>
      <c r="BG41" s="630" cm="1">
        <f t="array" ref="BG41">EXP(_xlfn.FORECAST.LINEAR(LN(BG$35),LN($AT41:$BF41),LN($AT$35:$BF$35)))</f>
        <v>1.0016711491632861</v>
      </c>
      <c r="BH41" s="630" cm="1">
        <f t="array" ref="BH41">EXP(_xlfn.FORECAST.LINEAR(LN(BH$35),LN($AT41:$BF41),LN($AT$35:$BF$35)))</f>
        <v>1.1547606711209031</v>
      </c>
      <c r="BI41" s="630" cm="1">
        <f t="array" ref="BI41">EXP(_xlfn.FORECAST.LINEAR(LN(BI$35),LN($AT41:$BF41),LN($AT$35:$BF$35)))</f>
        <v>1.3023121301107583</v>
      </c>
      <c r="BJ41" s="631" cm="1">
        <f t="array" ref="BJ41">EXP(_xlfn.FORECAST.LINEAR(LN(BJ$35),LN($AT41:$BF41),LN($AT$35:$BF$35)))</f>
        <v>1.4452826656268523</v>
      </c>
      <c r="BK41" s="632" t="s">
        <v>182</v>
      </c>
      <c r="BN41" s="620"/>
      <c r="BO41" s="620"/>
      <c r="BP41" s="65"/>
    </row>
    <row r="42" spans="2:68" x14ac:dyDescent="0.25">
      <c r="B42" s="209">
        <v>9</v>
      </c>
      <c r="C42" s="480"/>
      <c r="D42" s="480"/>
      <c r="E42" s="481"/>
      <c r="F42" s="480"/>
      <c r="G42" s="480"/>
      <c r="H42" s="607" t="str">
        <f t="shared" si="0"/>
        <v/>
      </c>
      <c r="I42" s="607" t="str">
        <f t="shared" si="1"/>
        <v/>
      </c>
      <c r="J42" s="607" t="str">
        <f t="shared" si="2"/>
        <v/>
      </c>
      <c r="K42" s="208" t="str">
        <f t="shared" si="3"/>
        <v/>
      </c>
      <c r="L42" s="208" t="str">
        <f t="shared" si="4"/>
        <v/>
      </c>
      <c r="M42" s="208" t="str">
        <f t="shared" si="15"/>
        <v/>
      </c>
      <c r="N42" s="608" t="str">
        <f>IF($D$3="", "", IFERROR(VLOOKUP(L42,'PIPE INCENTIVE'!$B$4:$E$19,2,FALSE),""))</f>
        <v/>
      </c>
      <c r="O42" s="608" t="str">
        <f t="shared" si="16"/>
        <v/>
      </c>
      <c r="P42" s="208" t="str">
        <f t="shared" si="17"/>
        <v/>
      </c>
      <c r="Q42" s="208" t="str">
        <f t="shared" si="5"/>
        <v/>
      </c>
      <c r="R42" s="609" t="str">
        <f t="shared" si="6"/>
        <v/>
      </c>
      <c r="S42" s="609" t="str">
        <f t="shared" si="7"/>
        <v/>
      </c>
      <c r="T42" s="609" t="str">
        <f t="shared" si="8"/>
        <v/>
      </c>
      <c r="U42" s="609" t="str" cm="1">
        <f t="array" ref="U42">IFERROR(IF($D$3="","",_xlfn.LET(_xlpm.Mixed,AND(COUNTIF($G$34:$G$533,"Heating_Hot_Water")&gt;0,(COUNTIF($G$34:$G$533,"Steam_Low_Pressure") + COUNTIF($G$34:$G$533,"Steam_Medium_Pressure") + COUNTIF($G$34:$G$533,"Steam_High_Pressure"))&gt;0),_xlpm.fluid, G42,_xlpm.fuel, K42,_xlpm.load,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 s="609" t="str">
        <f t="shared" si="18"/>
        <v/>
      </c>
      <c r="W42" s="482"/>
      <c r="X42" s="397" t="str" cm="1">
        <f t="array" ref="X42">IFERROR(IF($D$3="","", _xlfn.XLOOKUP(1,($AR$36:$AR$53=F42)*($AS$36:$AS$53=G42), INDEX($AT$36:$BJ$53,,_xlfn.XMATCH(E42,$AT$35:$BJ$35)))),"")</f>
        <v/>
      </c>
      <c r="Y42" s="480"/>
      <c r="Z42" s="482"/>
      <c r="AA42" s="607" t="str" cm="1">
        <f t="array" ref="AA42">IFERROR(IF($D$3="", "", _xlfn.LET(_xlpm.dia, E42, _xlpm.thk, Z42, _xlpm.temp, I42,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 s="397" t="str" cm="1">
        <f t="array" ref="AB42">IFERROR(IF($D$3="", "", _xlfn.XLOOKUP(1,($AR$57:$AR$76=Y42)*($AS$57:$AS$76=Z42), INDEX($AT$57:$BJ$76,,_xlfn.XMATCH(E42,$AT$56:$BJ$56)))),"")</f>
        <v/>
      </c>
      <c r="AC42" s="208" t="str">
        <f t="shared" si="9"/>
        <v/>
      </c>
      <c r="AD42" s="397" t="str">
        <f t="shared" si="10"/>
        <v/>
      </c>
      <c r="AE42" s="610" t="str">
        <f t="shared" si="11"/>
        <v/>
      </c>
      <c r="AF42" s="610" t="str">
        <f t="shared" si="12"/>
        <v/>
      </c>
      <c r="AG42" s="610" t="str">
        <f t="shared" si="13"/>
        <v/>
      </c>
      <c r="AH42" s="608" t="str">
        <f t="shared" si="19"/>
        <v/>
      </c>
      <c r="AI42" s="610" t="str">
        <f t="shared" si="14"/>
        <v/>
      </c>
      <c r="AR42" s="633" t="s">
        <v>167</v>
      </c>
      <c r="AS42" s="635" t="s">
        <v>180</v>
      </c>
      <c r="AT42" s="636">
        <f>AT$37*ABS(_xlfn.XLOOKUP($AS42,$AM$64:$AM$71,$AN$64:$AN$71)-_xlfn.XLOOKUP($AS42,$AM$53:$AM$60,$AN$53:$AN$60))/ABS(_xlfn.XLOOKUP($AS$37,$AM$64:$AM$71,$AN$64:$AN$71)-_xlfn.XLOOKUP($AS$37,$AM$53:$AM$60,$AN$53:$AN$60))</f>
        <v>6.5454545454545446E-2</v>
      </c>
      <c r="AU42" s="637">
        <f t="shared" si="21"/>
        <v>7.9090909090909087E-2</v>
      </c>
      <c r="AV42" s="637">
        <f t="shared" si="21"/>
        <v>9.5454545454545459E-2</v>
      </c>
      <c r="AW42" s="637">
        <f t="shared" si="21"/>
        <v>0.11727272727272728</v>
      </c>
      <c r="AX42" s="637">
        <f t="shared" si="21"/>
        <v>0.13227272727272726</v>
      </c>
      <c r="AY42" s="637">
        <f t="shared" si="21"/>
        <v>0.16227272727272726</v>
      </c>
      <c r="AZ42" s="637">
        <f t="shared" si="21"/>
        <v>0.19363636363636361</v>
      </c>
      <c r="BA42" s="637">
        <f t="shared" si="21"/>
        <v>0.23181818181818181</v>
      </c>
      <c r="BB42" s="637">
        <f t="shared" si="21"/>
        <v>0.26181818181818178</v>
      </c>
      <c r="BC42" s="637">
        <f t="shared" si="21"/>
        <v>0.29181818181818181</v>
      </c>
      <c r="BD42" s="637">
        <f t="shared" si="21"/>
        <v>0.3559090909090909</v>
      </c>
      <c r="BE42" s="637">
        <f t="shared" si="21"/>
        <v>0.41863636363636358</v>
      </c>
      <c r="BF42" s="637">
        <f t="shared" si="21"/>
        <v>0.53727272727272724</v>
      </c>
      <c r="BG42" s="637" cm="1">
        <f t="array" ref="BG42">EXP(_xlfn.FORECAST.LINEAR(LN(BG$35),LN($AT42:$BF42),LN($AT$35:$BF$35)))</f>
        <v>0.60100268949797186</v>
      </c>
      <c r="BH42" s="637" cm="1">
        <f t="array" ref="BH42">EXP(_xlfn.FORECAST.LINEAR(LN(BH$35),LN($AT42:$BF42),LN($AT$35:$BF$35)))</f>
        <v>0.69285640267254189</v>
      </c>
      <c r="BI42" s="637" cm="1">
        <f t="array" ref="BI42">EXP(_xlfn.FORECAST.LINEAR(LN(BI$35),LN($AT42:$BF42),LN($AT$35:$BF$35)))</f>
        <v>0.78138727806645514</v>
      </c>
      <c r="BJ42" s="638" cm="1">
        <f t="array" ref="BJ42">EXP(_xlfn.FORECAST.LINEAR(LN(BJ$35),LN($AT42:$BF42),LN($AT$35:$BF$35)))</f>
        <v>0.86716959937611149</v>
      </c>
      <c r="BK42" s="639" t="s">
        <v>182</v>
      </c>
      <c r="BN42" s="620"/>
      <c r="BO42" s="620"/>
      <c r="BP42" s="65"/>
    </row>
    <row r="43" spans="2:68" x14ac:dyDescent="0.25">
      <c r="B43" s="209">
        <v>10</v>
      </c>
      <c r="C43" s="480"/>
      <c r="D43" s="480"/>
      <c r="E43" s="481"/>
      <c r="F43" s="480"/>
      <c r="G43" s="480"/>
      <c r="H43" s="607" t="str">
        <f t="shared" si="0"/>
        <v/>
      </c>
      <c r="I43" s="607" t="str">
        <f t="shared" si="1"/>
        <v/>
      </c>
      <c r="J43" s="607" t="str">
        <f t="shared" si="2"/>
        <v/>
      </c>
      <c r="K43" s="208" t="str">
        <f t="shared" si="3"/>
        <v/>
      </c>
      <c r="L43" s="208" t="str">
        <f t="shared" si="4"/>
        <v/>
      </c>
      <c r="M43" s="208" t="str">
        <f t="shared" si="15"/>
        <v/>
      </c>
      <c r="N43" s="608" t="str">
        <f>IF($D$3="", "", IFERROR(VLOOKUP(L43,'PIPE INCENTIVE'!$B$4:$E$19,2,FALSE),""))</f>
        <v/>
      </c>
      <c r="O43" s="608" t="str">
        <f t="shared" si="16"/>
        <v/>
      </c>
      <c r="P43" s="208" t="str">
        <f t="shared" si="17"/>
        <v/>
      </c>
      <c r="Q43" s="208" t="str">
        <f t="shared" si="5"/>
        <v/>
      </c>
      <c r="R43" s="609" t="str">
        <f t="shared" si="6"/>
        <v/>
      </c>
      <c r="S43" s="609" t="str">
        <f t="shared" si="7"/>
        <v/>
      </c>
      <c r="T43" s="609" t="str">
        <f t="shared" si="8"/>
        <v/>
      </c>
      <c r="U43" s="609" t="str" cm="1">
        <f t="array" ref="U43">IFERROR(IF($D$3="","",_xlfn.LET(_xlpm.Mixed,AND(COUNTIF($G$34:$G$533,"Heating_Hot_Water")&gt;0,(COUNTIF($G$34:$G$533,"Steam_Low_Pressure") + COUNTIF($G$34:$G$533,"Steam_Medium_Pressure") + COUNTIF($G$34:$G$533,"Steam_High_Pressure"))&gt;0),_xlpm.fluid, G43,_xlpm.fuel, K43,_xlpm.load,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 s="609" t="str">
        <f t="shared" si="18"/>
        <v/>
      </c>
      <c r="W43" s="482"/>
      <c r="X43" s="397" t="str" cm="1">
        <f t="array" ref="X43">IFERROR(IF($D$3="","", _xlfn.XLOOKUP(1,($AR$36:$AR$53=F43)*($AS$36:$AS$53=G43), INDEX($AT$36:$BJ$53,,_xlfn.XMATCH(E43,$AT$35:$BJ$35)))),"")</f>
        <v/>
      </c>
      <c r="Y43" s="480"/>
      <c r="Z43" s="482"/>
      <c r="AA43" s="607" t="str" cm="1">
        <f t="array" ref="AA43">IFERROR(IF($D$3="", "", _xlfn.LET(_xlpm.dia, E43, _xlpm.thk, Z43, _xlpm.temp, I43,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 s="397" t="str" cm="1">
        <f t="array" ref="AB43">IFERROR(IF($D$3="", "", _xlfn.XLOOKUP(1,($AR$57:$AR$76=Y43)*($AS$57:$AS$76=Z43), INDEX($AT$57:$BJ$76,,_xlfn.XMATCH(E43,$AT$56:$BJ$56)))),"")</f>
        <v/>
      </c>
      <c r="AC43" s="208" t="str">
        <f t="shared" si="9"/>
        <v/>
      </c>
      <c r="AD43" s="397" t="str">
        <f t="shared" si="10"/>
        <v/>
      </c>
      <c r="AE43" s="610" t="str">
        <f t="shared" si="11"/>
        <v/>
      </c>
      <c r="AF43" s="610" t="str">
        <f t="shared" si="12"/>
        <v/>
      </c>
      <c r="AG43" s="610" t="str">
        <f t="shared" si="13"/>
        <v/>
      </c>
      <c r="AH43" s="608" t="str">
        <f t="shared" si="19"/>
        <v/>
      </c>
      <c r="AI43" s="610" t="str">
        <f t="shared" si="14"/>
        <v/>
      </c>
      <c r="AM43" s="73" t="s">
        <v>183</v>
      </c>
      <c r="AO43" s="72" t="s">
        <v>184</v>
      </c>
      <c r="AP43" s="86" t="str" cm="1">
        <f t="array" ref="AP43">IFERROR(IF($D$3="", "", _xlfn.LET(_xlpm.City,$D$5,_xlpm.Type,$D$13,_xlpm.Sub,$D$14,_xlfn.SWITCH(_xlpm.Type,"Multifamily_Low_Rise",INDEX('PIPE - EFLH HEATING'!$C$4:$F$10,MATCH(_xlpm.City,'PIPE - EFLH HEATING'!$B$4:$B$10,0),MATCH(_xlpm.Sub,'PIPE - EFLH HEATING'!$C$3:$F$3,0)),"Multifamily_High_Rise",INDEX('PIPE - EFLH HEATING'!$C$15:$F$21,MATCH(_xlpm.City,'PIPE - EFLH HEATING'!$B$15:$B$21,0),MATCH(_xlpm.Sub,'PIPE - EFLH HEATING'!$C$14:$F$14,0)),"Small_Commercial",INDEX('PIPE - EFLH HEATING'!$C$26:$I$39,MATCH(_xlpm.Sub,'PIPE - EFLH HEATING'!$B$26:$B$39,0),MATCH(_xlpm.City,'PIPE - EFLH HEATING'!$C$25:$J$25,0)),"Large_Commercial",INDEX('PIPE - EFLH HEATING'!$C$43:$I$64,MATCH(_xlpm.Sub,'PIPE - EFLH HEATING'!$B$43:$B$64,0),MATCH(_xlpm.City,'PIPE - EFLH HEATING'!$C$42:$I$42,0)),""))),"")</f>
        <v/>
      </c>
      <c r="AQ43" s="204" t="s">
        <v>185</v>
      </c>
      <c r="AR43" s="621" t="s">
        <v>168</v>
      </c>
      <c r="AS43" s="621" t="s">
        <v>172</v>
      </c>
      <c r="AT43" s="622">
        <v>0.53</v>
      </c>
      <c r="AU43" s="623">
        <v>0.65</v>
      </c>
      <c r="AV43" s="623">
        <v>0.79</v>
      </c>
      <c r="AW43" s="623">
        <v>0.97</v>
      </c>
      <c r="AX43" s="623">
        <v>1.1000000000000001</v>
      </c>
      <c r="AY43" s="623">
        <v>1.34</v>
      </c>
      <c r="AZ43" s="623">
        <v>1.6</v>
      </c>
      <c r="BA43" s="623">
        <v>1.92</v>
      </c>
      <c r="BB43" s="623">
        <v>2.1800000000000002</v>
      </c>
      <c r="BC43" s="623">
        <v>2.4300000000000002</v>
      </c>
      <c r="BD43" s="623">
        <v>2.97</v>
      </c>
      <c r="BE43" s="623">
        <v>3.5</v>
      </c>
      <c r="BF43" s="623">
        <v>4.5</v>
      </c>
      <c r="BG43" s="624" cm="1">
        <f t="array" ref="BG43">EXP(_xlfn.FORECAST.LINEAR(LN(BG$35),LN($AT43:$BF43),LN($AT$35:$BF$35)))</f>
        <v>5.048034154166869</v>
      </c>
      <c r="BH43" s="624" cm="1">
        <f t="array" ref="BH43">EXP(_xlfn.FORECAST.LINEAR(LN(BH$35),LN($AT43:$BF43),LN($AT$35:$BF$35)))</f>
        <v>5.8292198099766255</v>
      </c>
      <c r="BI43" s="624" cm="1">
        <f t="array" ref="BI43">EXP(_xlfn.FORECAST.LINEAR(LN(BI$35),LN($AT43:$BF43),LN($AT$35:$BF$35)))</f>
        <v>6.5832963890671179</v>
      </c>
      <c r="BJ43" s="625" cm="1">
        <f t="array" ref="BJ43">EXP(_xlfn.FORECAST.LINEAR(LN(BJ$35),LN($AT43:$BF43),LN($AT$35:$BF$35)))</f>
        <v>7.3149171823338861</v>
      </c>
      <c r="BK43" s="626" t="s">
        <v>176</v>
      </c>
      <c r="BN43" s="620"/>
      <c r="BO43" s="620"/>
      <c r="BP43" s="65"/>
    </row>
    <row r="44" spans="2:68" x14ac:dyDescent="0.25">
      <c r="B44" s="209">
        <v>11</v>
      </c>
      <c r="C44" s="480"/>
      <c r="D44" s="480"/>
      <c r="E44" s="481"/>
      <c r="F44" s="480"/>
      <c r="G44" s="480"/>
      <c r="H44" s="607" t="str">
        <f t="shared" si="0"/>
        <v/>
      </c>
      <c r="I44" s="607" t="str">
        <f t="shared" si="1"/>
        <v/>
      </c>
      <c r="J44" s="607" t="str">
        <f t="shared" si="2"/>
        <v/>
      </c>
      <c r="K44" s="208" t="str">
        <f t="shared" si="3"/>
        <v/>
      </c>
      <c r="L44" s="208" t="str">
        <f t="shared" si="4"/>
        <v/>
      </c>
      <c r="M44" s="208" t="str">
        <f t="shared" si="15"/>
        <v/>
      </c>
      <c r="N44" s="608" t="str">
        <f>IF($D$3="", "", IFERROR(VLOOKUP(L44,'PIPE INCENTIVE'!$B$4:$E$19,2,FALSE),""))</f>
        <v/>
      </c>
      <c r="O44" s="608" t="str">
        <f t="shared" si="16"/>
        <v/>
      </c>
      <c r="P44" s="208" t="str">
        <f t="shared" si="17"/>
        <v/>
      </c>
      <c r="Q44" s="208" t="str">
        <f t="shared" si="5"/>
        <v/>
      </c>
      <c r="R44" s="609" t="str">
        <f t="shared" si="6"/>
        <v/>
      </c>
      <c r="S44" s="609" t="str">
        <f t="shared" si="7"/>
        <v/>
      </c>
      <c r="T44" s="609" t="str">
        <f t="shared" si="8"/>
        <v/>
      </c>
      <c r="U44" s="609" t="str" cm="1">
        <f t="array" ref="U44">IFERROR(IF($D$3="","",_xlfn.LET(_xlpm.Mixed,AND(COUNTIF($G$34:$G$533,"Heating_Hot_Water")&gt;0,(COUNTIF($G$34:$G$533,"Steam_Low_Pressure") + COUNTIF($G$34:$G$533,"Steam_Medium_Pressure") + COUNTIF($G$34:$G$533,"Steam_High_Pressure"))&gt;0),_xlpm.fluid, G44,_xlpm.fuel, K44,_xlpm.load,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 s="609" t="str">
        <f t="shared" si="18"/>
        <v/>
      </c>
      <c r="W44" s="482"/>
      <c r="X44" s="397" t="str" cm="1">
        <f t="array" ref="X44">IFERROR(IF($D$3="","", _xlfn.XLOOKUP(1,($AR$36:$AR$53=F44)*($AS$36:$AS$53=G44), INDEX($AT$36:$BJ$53,,_xlfn.XMATCH(E44,$AT$35:$BJ$35)))),"")</f>
        <v/>
      </c>
      <c r="Y44" s="480"/>
      <c r="Z44" s="482"/>
      <c r="AA44" s="607" t="str" cm="1">
        <f t="array" ref="AA44">IFERROR(IF($D$3="", "", _xlfn.LET(_xlpm.dia, E44, _xlpm.thk, Z44, _xlpm.temp, I44,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 s="397" t="str" cm="1">
        <f t="array" ref="AB44">IFERROR(IF($D$3="", "", _xlfn.XLOOKUP(1,($AR$57:$AR$76=Y44)*($AS$57:$AS$76=Z44), INDEX($AT$57:$BJ$76,,_xlfn.XMATCH(E44,$AT$56:$BJ$56)))),"")</f>
        <v/>
      </c>
      <c r="AC44" s="208" t="str">
        <f t="shared" si="9"/>
        <v/>
      </c>
      <c r="AD44" s="397" t="str">
        <f t="shared" si="10"/>
        <v/>
      </c>
      <c r="AE44" s="610" t="str">
        <f t="shared" si="11"/>
        <v/>
      </c>
      <c r="AF44" s="610" t="str">
        <f t="shared" si="12"/>
        <v/>
      </c>
      <c r="AG44" s="610" t="str">
        <f t="shared" si="13"/>
        <v/>
      </c>
      <c r="AH44" s="608" t="str">
        <f t="shared" si="19"/>
        <v/>
      </c>
      <c r="AI44" s="610" t="str">
        <f t="shared" si="14"/>
        <v/>
      </c>
      <c r="AM44" s="264" t="s">
        <v>186</v>
      </c>
      <c r="AO44" s="72" t="s">
        <v>187</v>
      </c>
      <c r="AP44" s="86" t="str" cm="1">
        <f t="array" ref="AP44">IFERROR(IF($D$3="","",_xlfn.LET(_xlpm.City,$D$5,_xlpm.Type,$D$13,_xlpm.Sub,$D$14,_xlfn.SWITCH(_xlpm.Type,"Multifamily_Low_Rise",INDEX('PIPE - EFLH COOLING'!$C$4:$F$10,MATCH(_xlpm.City,'PIPE - EFLH COOLING'!$B$4:$B$10,0),MATCH(_xlpm.Sub,'PIPE - EFLH COOLING'!$C$3:$F$3,0)),"Multifamily_High_Rise",INDEX('PIPE - EFLH COOLING'!$C$15:$F$21,MATCH(_xlpm.City,'PIPE - EFLH COOLING'!$B$15:$B$21,0),MATCH(_xlpm.Sub,'PIPE - EFLH COOLING'!$C$14:$F$14,0)),"Small_Commercial",INDEX('PIPE - EFLH COOLING'!$C$26:$J$39,MATCH(_xlpm.Sub,'PIPE - EFLH COOLING'!$B$26:$B$39,0),MATCH(_xlpm.City,'PIPE - EFLH COOLING'!$C$25:$J$25,0)),"Large_Commercial",INDEX('PIPE - EFLH COOLING'!$C$43:$J$64,MATCH(_xlpm.Sub,'PIPE - EFLH COOLING'!$B$43:$B$64,0),MATCH(_xlpm.City,'PIPE - EFLH COOLING'!$C$42:$J$42,0)),""))),"")</f>
        <v/>
      </c>
      <c r="AQ44" s="204" t="s">
        <v>185</v>
      </c>
      <c r="AR44" s="627" t="s">
        <v>168</v>
      </c>
      <c r="AS44" s="627" t="s">
        <v>175</v>
      </c>
      <c r="AT44" s="628">
        <v>0.59</v>
      </c>
      <c r="AU44" s="629">
        <v>0.72</v>
      </c>
      <c r="AV44" s="629">
        <v>0.88</v>
      </c>
      <c r="AW44" s="629">
        <v>1.0900000000000001</v>
      </c>
      <c r="AX44" s="629">
        <v>1.23</v>
      </c>
      <c r="AY44" s="629">
        <v>1.51</v>
      </c>
      <c r="AZ44" s="629">
        <v>1.8</v>
      </c>
      <c r="BA44" s="629">
        <v>2.16</v>
      </c>
      <c r="BB44" s="629">
        <v>2.4500000000000002</v>
      </c>
      <c r="BC44" s="629">
        <v>2.73</v>
      </c>
      <c r="BD44" s="629">
        <v>3.34</v>
      </c>
      <c r="BE44" s="629">
        <v>3.94</v>
      </c>
      <c r="BF44" s="629">
        <v>5.0599999999999996</v>
      </c>
      <c r="BG44" s="630" cm="1">
        <f t="array" ref="BG44">EXP(_xlfn.FORECAST.LINEAR(LN(BG$35),LN($AT44:$BF44),LN($AT$35:$BF$35)))</f>
        <v>5.7019912970097044</v>
      </c>
      <c r="BH44" s="630" cm="1">
        <f t="array" ref="BH44">EXP(_xlfn.FORECAST.LINEAR(LN(BH$35),LN($AT44:$BF44),LN($AT$35:$BF$35)))</f>
        <v>6.5903374956480052</v>
      </c>
      <c r="BI44" s="630" cm="1">
        <f t="array" ref="BI44">EXP(_xlfn.FORECAST.LINEAR(LN(BI$35),LN($AT44:$BF44),LN($AT$35:$BF$35)))</f>
        <v>7.4485694748495916</v>
      </c>
      <c r="BJ44" s="631" cm="1">
        <f t="array" ref="BJ44">EXP(_xlfn.FORECAST.LINEAR(LN(BJ$35),LN($AT44:$BF44),LN($AT$35:$BF$35)))</f>
        <v>8.2818370042453928</v>
      </c>
      <c r="BK44" s="632" t="s">
        <v>176</v>
      </c>
      <c r="BN44" s="620"/>
      <c r="BO44" s="620"/>
      <c r="BP44" s="65"/>
    </row>
    <row r="45" spans="2:68" x14ac:dyDescent="0.25">
      <c r="B45" s="209">
        <v>12</v>
      </c>
      <c r="C45" s="480"/>
      <c r="D45" s="480"/>
      <c r="E45" s="481"/>
      <c r="F45" s="480"/>
      <c r="G45" s="480"/>
      <c r="H45" s="607" t="str">
        <f t="shared" si="0"/>
        <v/>
      </c>
      <c r="I45" s="607" t="str">
        <f t="shared" si="1"/>
        <v/>
      </c>
      <c r="J45" s="607" t="str">
        <f t="shared" si="2"/>
        <v/>
      </c>
      <c r="K45" s="208" t="str">
        <f t="shared" si="3"/>
        <v/>
      </c>
      <c r="L45" s="208" t="str">
        <f t="shared" si="4"/>
        <v/>
      </c>
      <c r="M45" s="208" t="str">
        <f t="shared" si="15"/>
        <v/>
      </c>
      <c r="N45" s="608" t="str">
        <f>IF($D$3="", "", IFERROR(VLOOKUP(L45,'PIPE INCENTIVE'!$B$4:$E$19,2,FALSE),""))</f>
        <v/>
      </c>
      <c r="O45" s="608" t="str">
        <f t="shared" si="16"/>
        <v/>
      </c>
      <c r="P45" s="208" t="str">
        <f t="shared" si="17"/>
        <v/>
      </c>
      <c r="Q45" s="208" t="str">
        <f t="shared" si="5"/>
        <v/>
      </c>
      <c r="R45" s="609" t="str">
        <f t="shared" si="6"/>
        <v/>
      </c>
      <c r="S45" s="609" t="str">
        <f t="shared" si="7"/>
        <v/>
      </c>
      <c r="T45" s="609" t="str">
        <f t="shared" si="8"/>
        <v/>
      </c>
      <c r="U45" s="609" t="str" cm="1">
        <f t="array" ref="U45">IFERROR(IF($D$3="","",_xlfn.LET(_xlpm.Mixed,AND(COUNTIF($G$34:$G$533,"Heating_Hot_Water")&gt;0,(COUNTIF($G$34:$G$533,"Steam_Low_Pressure") + COUNTIF($G$34:$G$533,"Steam_Medium_Pressure") + COUNTIF($G$34:$G$533,"Steam_High_Pressure"))&gt;0),_xlpm.fluid, G45,_xlpm.fuel, K45,_xlpm.load,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 s="609" t="str">
        <f t="shared" si="18"/>
        <v/>
      </c>
      <c r="W45" s="482"/>
      <c r="X45" s="397" t="str" cm="1">
        <f t="array" ref="X45">IFERROR(IF($D$3="","", _xlfn.XLOOKUP(1,($AR$36:$AR$53=F45)*($AS$36:$AS$53=G45), INDEX($AT$36:$BJ$53,,_xlfn.XMATCH(E45,$AT$35:$BJ$35)))),"")</f>
        <v/>
      </c>
      <c r="Y45" s="480"/>
      <c r="Z45" s="482"/>
      <c r="AA45" s="607" t="str" cm="1">
        <f t="array" ref="AA45">IFERROR(IF($D$3="", "", _xlfn.LET(_xlpm.dia, E45, _xlpm.thk, Z45, _xlpm.temp, I45,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 s="397" t="str" cm="1">
        <f t="array" ref="AB45">IFERROR(IF($D$3="", "", _xlfn.XLOOKUP(1,($AR$57:$AR$76=Y45)*($AS$57:$AS$76=Z45), INDEX($AT$57:$BJ$76,,_xlfn.XMATCH(E45,$AT$56:$BJ$56)))),"")</f>
        <v/>
      </c>
      <c r="AC45" s="208" t="str">
        <f t="shared" si="9"/>
        <v/>
      </c>
      <c r="AD45" s="397" t="str">
        <f t="shared" si="10"/>
        <v/>
      </c>
      <c r="AE45" s="610" t="str">
        <f t="shared" si="11"/>
        <v/>
      </c>
      <c r="AF45" s="610" t="str">
        <f t="shared" si="12"/>
        <v/>
      </c>
      <c r="AG45" s="610" t="str">
        <f t="shared" si="13"/>
        <v/>
      </c>
      <c r="AH45" s="608" t="str">
        <f t="shared" si="19"/>
        <v/>
      </c>
      <c r="AI45" s="610" t="str">
        <f t="shared" si="14"/>
        <v/>
      </c>
      <c r="AM45" s="76" t="s">
        <v>188</v>
      </c>
      <c r="AR45" s="633" t="s">
        <v>168</v>
      </c>
      <c r="AS45" s="633" t="s">
        <v>177</v>
      </c>
      <c r="AT45" s="634">
        <f>AT$44*ABS(_xlfn.XLOOKUP($AS45,$AM$64:$AM$71,$AN$64:$AN$71)-_xlfn.XLOOKUP($AS45,$AM$53:$AM$60,$AN$53:$AN$60))/ABS(_xlfn.XLOOKUP($AS$44,$AM$64:$AM$71,$AN$64:$AN$71)-_xlfn.XLOOKUP($AS$44,$AM$53:$AM$60,$AN$53:$AN$60))</f>
        <v>0.73203703703703693</v>
      </c>
      <c r="AU45" s="630">
        <f t="shared" ref="AU45:BF46" si="22">AU$44*ABS(_xlfn.XLOOKUP($AS45,$AM$64:$AM$71,$AN$64:$AN$71)-_xlfn.XLOOKUP($AS45,$AM$53:$AM$60,$AN$53:$AN$60))/ABS(_xlfn.XLOOKUP($AS$44,$AM$64:$AM$71,$AN$64:$AN$71)-_xlfn.XLOOKUP($AS$44,$AM$53:$AM$60,$AN$53:$AN$60))</f>
        <v>0.89333333333333331</v>
      </c>
      <c r="AV45" s="630">
        <f t="shared" si="22"/>
        <v>1.0918518518518519</v>
      </c>
      <c r="AW45" s="630">
        <f t="shared" si="22"/>
        <v>1.3524074074074075</v>
      </c>
      <c r="AX45" s="630">
        <f t="shared" si="22"/>
        <v>1.526111111111111</v>
      </c>
      <c r="AY45" s="630">
        <f t="shared" si="22"/>
        <v>1.8735185185185184</v>
      </c>
      <c r="AZ45" s="630">
        <f t="shared" si="22"/>
        <v>2.2333333333333334</v>
      </c>
      <c r="BA45" s="630">
        <f t="shared" si="22"/>
        <v>2.68</v>
      </c>
      <c r="BB45" s="630">
        <f t="shared" si="22"/>
        <v>3.039814814814815</v>
      </c>
      <c r="BC45" s="630">
        <f t="shared" si="22"/>
        <v>3.3872222222222224</v>
      </c>
      <c r="BD45" s="630">
        <f t="shared" si="22"/>
        <v>4.1440740740740738</v>
      </c>
      <c r="BE45" s="630">
        <f t="shared" si="22"/>
        <v>4.8885185185185183</v>
      </c>
      <c r="BF45" s="630">
        <f t="shared" si="22"/>
        <v>6.2781481481481478</v>
      </c>
      <c r="BG45" s="630" cm="1">
        <f t="array" ref="BG45">EXP(_xlfn.FORECAST.LINEAR(LN(BG$35),LN($AT45:$BF45),LN($AT$35:$BF$35)))</f>
        <v>7.0746929055490773</v>
      </c>
      <c r="BH45" s="630" cm="1">
        <f t="array" ref="BH45">EXP(_xlfn.FORECAST.LINEAR(LN(BH$35),LN($AT45:$BF45),LN($AT$35:$BF$35)))</f>
        <v>8.1769002260817842</v>
      </c>
      <c r="BI45" s="630" cm="1">
        <f t="array" ref="BI45">EXP(_xlfn.FORECAST.LINEAR(LN(BI$35),LN($AT45:$BF45),LN($AT$35:$BF$35)))</f>
        <v>9.2417436076837518</v>
      </c>
      <c r="BJ45" s="631" cm="1">
        <f t="array" ref="BJ45">EXP(_xlfn.FORECAST.LINEAR(LN(BJ$35),LN($AT45:$BF45),LN($AT$35:$BF$35)))</f>
        <v>10.275612579341507</v>
      </c>
      <c r="BK45" s="632" t="s">
        <v>182</v>
      </c>
      <c r="BN45" s="620"/>
      <c r="BO45" s="620"/>
      <c r="BP45" s="65"/>
    </row>
    <row r="46" spans="2:68" x14ac:dyDescent="0.25">
      <c r="B46" s="209">
        <v>13</v>
      </c>
      <c r="C46" s="480"/>
      <c r="D46" s="480"/>
      <c r="E46" s="481"/>
      <c r="F46" s="480"/>
      <c r="G46" s="480"/>
      <c r="H46" s="607" t="str">
        <f t="shared" si="0"/>
        <v/>
      </c>
      <c r="I46" s="607" t="str">
        <f t="shared" si="1"/>
        <v/>
      </c>
      <c r="J46" s="607" t="str">
        <f t="shared" si="2"/>
        <v/>
      </c>
      <c r="K46" s="208" t="str">
        <f t="shared" si="3"/>
        <v/>
      </c>
      <c r="L46" s="208" t="str">
        <f t="shared" si="4"/>
        <v/>
      </c>
      <c r="M46" s="208" t="str">
        <f t="shared" si="15"/>
        <v/>
      </c>
      <c r="N46" s="608" t="str">
        <f>IF($D$3="", "", IFERROR(VLOOKUP(L46,'PIPE INCENTIVE'!$B$4:$E$19,2,FALSE),""))</f>
        <v/>
      </c>
      <c r="O46" s="608" t="str">
        <f t="shared" si="16"/>
        <v/>
      </c>
      <c r="P46" s="208" t="str">
        <f t="shared" si="17"/>
        <v/>
      </c>
      <c r="Q46" s="208" t="str">
        <f t="shared" si="5"/>
        <v/>
      </c>
      <c r="R46" s="609" t="str">
        <f t="shared" si="6"/>
        <v/>
      </c>
      <c r="S46" s="609" t="str">
        <f t="shared" si="7"/>
        <v/>
      </c>
      <c r="T46" s="609" t="str">
        <f t="shared" si="8"/>
        <v/>
      </c>
      <c r="U46" s="609" t="str" cm="1">
        <f t="array" ref="U46">IFERROR(IF($D$3="","",_xlfn.LET(_xlpm.Mixed,AND(COUNTIF($G$34:$G$533,"Heating_Hot_Water")&gt;0,(COUNTIF($G$34:$G$533,"Steam_Low_Pressure") + COUNTIF($G$34:$G$533,"Steam_Medium_Pressure") + COUNTIF($G$34:$G$533,"Steam_High_Pressure"))&gt;0),_xlpm.fluid, G46,_xlpm.fuel, K46,_xlpm.load,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 s="609" t="str">
        <f t="shared" si="18"/>
        <v/>
      </c>
      <c r="W46" s="482"/>
      <c r="X46" s="397" t="str" cm="1">
        <f t="array" ref="X46">IFERROR(IF($D$3="","", _xlfn.XLOOKUP(1,($AR$36:$AR$53=F46)*($AS$36:$AS$53=G46), INDEX($AT$36:$BJ$53,,_xlfn.XMATCH(E46,$AT$35:$BJ$35)))),"")</f>
        <v/>
      </c>
      <c r="Y46" s="480"/>
      <c r="Z46" s="482"/>
      <c r="AA46" s="607" t="str" cm="1">
        <f t="array" ref="AA46">IFERROR(IF($D$3="", "", _xlfn.LET(_xlpm.dia, E46, _xlpm.thk, Z46, _xlpm.temp, I46,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 s="397" t="str" cm="1">
        <f t="array" ref="AB46">IFERROR(IF($D$3="", "", _xlfn.XLOOKUP(1,($AR$57:$AR$76=Y46)*($AS$57:$AS$76=Z46), INDEX($AT$57:$BJ$76,,_xlfn.XMATCH(E46,$AT$56:$BJ$56)))),"")</f>
        <v/>
      </c>
      <c r="AC46" s="208" t="str">
        <f t="shared" si="9"/>
        <v/>
      </c>
      <c r="AD46" s="397" t="str">
        <f t="shared" si="10"/>
        <v/>
      </c>
      <c r="AE46" s="610" t="str">
        <f t="shared" si="11"/>
        <v/>
      </c>
      <c r="AF46" s="610" t="str">
        <f t="shared" si="12"/>
        <v/>
      </c>
      <c r="AG46" s="610" t="str">
        <f t="shared" si="13"/>
        <v/>
      </c>
      <c r="AH46" s="608" t="str">
        <f t="shared" si="19"/>
        <v/>
      </c>
      <c r="AI46" s="610" t="str">
        <f t="shared" si="14"/>
        <v/>
      </c>
      <c r="AO46" s="73" t="s">
        <v>189</v>
      </c>
      <c r="AR46" s="633" t="s">
        <v>168</v>
      </c>
      <c r="AS46" s="633" t="s">
        <v>179</v>
      </c>
      <c r="AT46" s="634">
        <f>AT$44*ABS(_xlfn.XLOOKUP($AS46,$AM$64:$AM$71,$AN$64:$AN$71)-_xlfn.XLOOKUP($AS46,$AM$53:$AM$60,$AN$53:$AN$60))/ABS(_xlfn.XLOOKUP($AS$44,$AM$64:$AM$71,$AN$64:$AN$71)-_xlfn.XLOOKUP($AS$44,$AM$53:$AM$60,$AN$53:$AN$60))</f>
        <v>1.0962345679012346</v>
      </c>
      <c r="AU46" s="630">
        <f t="shared" si="22"/>
        <v>1.3377777777777777</v>
      </c>
      <c r="AV46" s="630">
        <f t="shared" si="22"/>
        <v>1.6350617283950617</v>
      </c>
      <c r="AW46" s="630">
        <f t="shared" si="22"/>
        <v>2.0252469135802471</v>
      </c>
      <c r="AX46" s="630">
        <f t="shared" si="22"/>
        <v>2.2853703703703703</v>
      </c>
      <c r="AY46" s="630">
        <f t="shared" si="22"/>
        <v>2.805617283950617</v>
      </c>
      <c r="AZ46" s="630">
        <f t="shared" si="22"/>
        <v>3.344444444444445</v>
      </c>
      <c r="BA46" s="630">
        <f t="shared" si="22"/>
        <v>4.0133333333333336</v>
      </c>
      <c r="BB46" s="630">
        <f t="shared" si="22"/>
        <v>4.5521604938271611</v>
      </c>
      <c r="BC46" s="630">
        <f t="shared" si="22"/>
        <v>5.0724074074074075</v>
      </c>
      <c r="BD46" s="630">
        <f t="shared" si="22"/>
        <v>6.2058024691358016</v>
      </c>
      <c r="BE46" s="630">
        <f t="shared" si="22"/>
        <v>7.3206172839506181</v>
      </c>
      <c r="BF46" s="630">
        <f t="shared" si="22"/>
        <v>9.4016049382716051</v>
      </c>
      <c r="BG46" s="630" cm="1">
        <f t="array" ref="BG46">EXP(_xlfn.FORECAST.LINEAR(LN(BG$35),LN($AT46:$BF46),LN($AT$35:$BF$35)))</f>
        <v>10.594440619752593</v>
      </c>
      <c r="BH46" s="630" cm="1">
        <f t="array" ref="BH46">EXP(_xlfn.FORECAST.LINEAR(LN(BH$35),LN($AT46:$BF46),LN($AT$35:$BF$35)))</f>
        <v>12.245009791296598</v>
      </c>
      <c r="BI46" s="630" cm="1">
        <f t="array" ref="BI46">EXP(_xlfn.FORECAST.LINEAR(LN(BI$35),LN($AT46:$BF46),LN($AT$35:$BF$35)))</f>
        <v>13.839625999566211</v>
      </c>
      <c r="BJ46" s="631" cm="1">
        <f t="array" ref="BJ46">EXP(_xlfn.FORECAST.LINEAR(LN(BJ$35),LN($AT46:$BF46),LN($AT$35:$BF$35)))</f>
        <v>15.387857643690509</v>
      </c>
      <c r="BK46" s="632" t="s">
        <v>182</v>
      </c>
      <c r="BN46" s="620"/>
      <c r="BO46" s="620"/>
      <c r="BP46" s="65"/>
    </row>
    <row r="47" spans="2:68" x14ac:dyDescent="0.25">
      <c r="B47" s="209">
        <v>14</v>
      </c>
      <c r="C47" s="480"/>
      <c r="D47" s="480"/>
      <c r="E47" s="481"/>
      <c r="F47" s="480"/>
      <c r="G47" s="480"/>
      <c r="H47" s="607" t="str">
        <f t="shared" si="0"/>
        <v/>
      </c>
      <c r="I47" s="607" t="str">
        <f t="shared" si="1"/>
        <v/>
      </c>
      <c r="J47" s="607" t="str">
        <f t="shared" si="2"/>
        <v/>
      </c>
      <c r="K47" s="208" t="str">
        <f t="shared" si="3"/>
        <v/>
      </c>
      <c r="L47" s="208" t="str">
        <f t="shared" si="4"/>
        <v/>
      </c>
      <c r="M47" s="208" t="str">
        <f t="shared" si="15"/>
        <v/>
      </c>
      <c r="N47" s="608" t="str">
        <f>IF($D$3="", "", IFERROR(VLOOKUP(L47,'PIPE INCENTIVE'!$B$4:$E$19,2,FALSE),""))</f>
        <v/>
      </c>
      <c r="O47" s="608" t="str">
        <f t="shared" si="16"/>
        <v/>
      </c>
      <c r="P47" s="208" t="str">
        <f t="shared" si="17"/>
        <v/>
      </c>
      <c r="Q47" s="208" t="str">
        <f t="shared" si="5"/>
        <v/>
      </c>
      <c r="R47" s="609" t="str">
        <f t="shared" si="6"/>
        <v/>
      </c>
      <c r="S47" s="609" t="str">
        <f t="shared" si="7"/>
        <v/>
      </c>
      <c r="T47" s="609" t="str">
        <f t="shared" si="8"/>
        <v/>
      </c>
      <c r="U47" s="609" t="str" cm="1">
        <f t="array" ref="U47">IFERROR(IF($D$3="","",_xlfn.LET(_xlpm.Mixed,AND(COUNTIF($G$34:$G$533,"Heating_Hot_Water")&gt;0,(COUNTIF($G$34:$G$533,"Steam_Low_Pressure") + COUNTIF($G$34:$G$533,"Steam_Medium_Pressure") + COUNTIF($G$34:$G$533,"Steam_High_Pressure"))&gt;0),_xlpm.fluid, G47,_xlpm.fuel, K47,_xlpm.load,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 s="609" t="str">
        <f t="shared" si="18"/>
        <v/>
      </c>
      <c r="W47" s="482"/>
      <c r="X47" s="397" t="str" cm="1">
        <f t="array" ref="X47">IFERROR(IF($D$3="","", _xlfn.XLOOKUP(1,($AR$36:$AR$53=F47)*($AS$36:$AS$53=G47), INDEX($AT$36:$BJ$53,,_xlfn.XMATCH(E47,$AT$35:$BJ$35)))),"")</f>
        <v/>
      </c>
      <c r="Y47" s="480"/>
      <c r="Z47" s="482"/>
      <c r="AA47" s="607" t="str" cm="1">
        <f t="array" ref="AA47">IFERROR(IF($D$3="", "", _xlfn.LET(_xlpm.dia, E47, _xlpm.thk, Z47, _xlpm.temp, I47,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 s="397" t="str" cm="1">
        <f t="array" ref="AB47">IFERROR(IF($D$3="", "", _xlfn.XLOOKUP(1,($AR$57:$AR$76=Y47)*($AS$57:$AS$76=Z47), INDEX($AT$57:$BJ$76,,_xlfn.XMATCH(E47,$AT$56:$BJ$56)))),"")</f>
        <v/>
      </c>
      <c r="AC47" s="208" t="str">
        <f t="shared" si="9"/>
        <v/>
      </c>
      <c r="AD47" s="397" t="str">
        <f t="shared" si="10"/>
        <v/>
      </c>
      <c r="AE47" s="610" t="str">
        <f t="shared" si="11"/>
        <v/>
      </c>
      <c r="AF47" s="610" t="str">
        <f t="shared" si="12"/>
        <v/>
      </c>
      <c r="AG47" s="610" t="str">
        <f t="shared" si="13"/>
        <v/>
      </c>
      <c r="AH47" s="608" t="str">
        <f t="shared" si="19"/>
        <v/>
      </c>
      <c r="AI47" s="610" t="str">
        <f t="shared" si="14"/>
        <v/>
      </c>
      <c r="AM47" s="73" t="s">
        <v>190</v>
      </c>
      <c r="AO47" s="76" t="s">
        <v>191</v>
      </c>
      <c r="AR47" s="633" t="s">
        <v>168</v>
      </c>
      <c r="AS47" s="633" t="s">
        <v>181</v>
      </c>
      <c r="AT47" s="634">
        <f>AT$43*ABS(_xlfn.XLOOKUP($AS47,$AM$64:$AM$71,$AN$64:$AN$71)-_xlfn.XLOOKUP($AS47,$AM$53:$AM$60,$AN$53:$AN$60))/ABS(_xlfn.XLOOKUP($AS$43,$AM$64:$AM$71,$AN$64:$AN$71)-_xlfn.XLOOKUP($AS$43,$AM$53:$AM$60,$AN$53:$AN$60))</f>
        <v>0.62636363636363646</v>
      </c>
      <c r="AU47" s="630">
        <f t="shared" ref="AU47:BF49" si="23">AU$43*ABS(_xlfn.XLOOKUP($AS47,$AM$64:$AM$71,$AN$64:$AN$71)-_xlfn.XLOOKUP($AS47,$AM$53:$AM$60,$AN$53:$AN$60))/ABS(_xlfn.XLOOKUP($AS$43,$AM$64:$AM$71,$AN$64:$AN$71)-_xlfn.XLOOKUP($AS$43,$AM$53:$AM$60,$AN$53:$AN$60))</f>
        <v>0.76818181818181819</v>
      </c>
      <c r="AV47" s="630">
        <f t="shared" si="23"/>
        <v>0.93363636363636371</v>
      </c>
      <c r="AW47" s="630">
        <f t="shared" si="23"/>
        <v>1.1463636363636363</v>
      </c>
      <c r="AX47" s="630">
        <f t="shared" si="23"/>
        <v>1.3</v>
      </c>
      <c r="AY47" s="630">
        <f t="shared" si="23"/>
        <v>1.5836363636363637</v>
      </c>
      <c r="AZ47" s="630">
        <f t="shared" si="23"/>
        <v>1.8909090909090909</v>
      </c>
      <c r="BA47" s="630">
        <f t="shared" si="23"/>
        <v>2.269090909090909</v>
      </c>
      <c r="BB47" s="630">
        <f t="shared" si="23"/>
        <v>2.5763636363636366</v>
      </c>
      <c r="BC47" s="630">
        <f t="shared" si="23"/>
        <v>2.871818181818182</v>
      </c>
      <c r="BD47" s="630">
        <f t="shared" si="23"/>
        <v>3.5100000000000002</v>
      </c>
      <c r="BE47" s="630">
        <f t="shared" si="23"/>
        <v>4.1363636363636367</v>
      </c>
      <c r="BF47" s="630">
        <f t="shared" si="23"/>
        <v>5.3181818181818183</v>
      </c>
      <c r="BG47" s="630" cm="1">
        <f t="array" ref="BG47">EXP(_xlfn.FORECAST.LINEAR(LN(BG$35),LN($AT47:$BF47),LN($AT$35:$BF$35)))</f>
        <v>5.965858545833572</v>
      </c>
      <c r="BH47" s="630" cm="1">
        <f t="array" ref="BH47">EXP(_xlfn.FORECAST.LINEAR(LN(BH$35),LN($AT47:$BF47),LN($AT$35:$BF$35)))</f>
        <v>6.889077957245104</v>
      </c>
      <c r="BI47" s="630" cm="1">
        <f t="array" ref="BI47">EXP(_xlfn.FORECAST.LINEAR(LN(BI$35),LN($AT47:$BF47),LN($AT$35:$BF$35)))</f>
        <v>7.7802593688975001</v>
      </c>
      <c r="BJ47" s="631" cm="1">
        <f t="array" ref="BJ47">EXP(_xlfn.FORECAST.LINEAR(LN(BJ$35),LN($AT47:$BF47),LN($AT$35:$BF$35)))</f>
        <v>8.6449021245764079</v>
      </c>
      <c r="BK47" s="632" t="s">
        <v>182</v>
      </c>
      <c r="BN47" s="620"/>
      <c r="BO47" s="620"/>
      <c r="BP47" s="65"/>
    </row>
    <row r="48" spans="2:68" x14ac:dyDescent="0.25">
      <c r="B48" s="209">
        <v>15</v>
      </c>
      <c r="C48" s="480"/>
      <c r="D48" s="480"/>
      <c r="E48" s="481"/>
      <c r="F48" s="480"/>
      <c r="G48" s="480"/>
      <c r="H48" s="607" t="str">
        <f t="shared" si="0"/>
        <v/>
      </c>
      <c r="I48" s="607" t="str">
        <f t="shared" si="1"/>
        <v/>
      </c>
      <c r="J48" s="607" t="str">
        <f t="shared" si="2"/>
        <v/>
      </c>
      <c r="K48" s="208" t="str">
        <f t="shared" si="3"/>
        <v/>
      </c>
      <c r="L48" s="208" t="str">
        <f t="shared" si="4"/>
        <v/>
      </c>
      <c r="M48" s="208" t="str">
        <f t="shared" si="15"/>
        <v/>
      </c>
      <c r="N48" s="608" t="str">
        <f>IF($D$3="", "", IFERROR(VLOOKUP(L48,'PIPE INCENTIVE'!$B$4:$E$19,2,FALSE),""))</f>
        <v/>
      </c>
      <c r="O48" s="608" t="str">
        <f t="shared" si="16"/>
        <v/>
      </c>
      <c r="P48" s="208" t="str">
        <f t="shared" si="17"/>
        <v/>
      </c>
      <c r="Q48" s="208" t="str">
        <f t="shared" si="5"/>
        <v/>
      </c>
      <c r="R48" s="609" t="str">
        <f t="shared" si="6"/>
        <v/>
      </c>
      <c r="S48" s="609" t="str">
        <f t="shared" si="7"/>
        <v/>
      </c>
      <c r="T48" s="609" t="str">
        <f t="shared" si="8"/>
        <v/>
      </c>
      <c r="U48" s="609" t="str" cm="1">
        <f t="array" ref="U48">IFERROR(IF($D$3="","",_xlfn.LET(_xlpm.Mixed,AND(COUNTIF($G$34:$G$533,"Heating_Hot_Water")&gt;0,(COUNTIF($G$34:$G$533,"Steam_Low_Pressure") + COUNTIF($G$34:$G$533,"Steam_Medium_Pressure") + COUNTIF($G$34:$G$533,"Steam_High_Pressure"))&gt;0),_xlpm.fluid, G48,_xlpm.fuel, K48,_xlpm.load,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 s="609" t="str">
        <f t="shared" si="18"/>
        <v/>
      </c>
      <c r="W48" s="482"/>
      <c r="X48" s="397" t="str" cm="1">
        <f t="array" ref="X48">IFERROR(IF($D$3="","", _xlfn.XLOOKUP(1,($AR$36:$AR$53=F48)*($AS$36:$AS$53=G48), INDEX($AT$36:$BJ$53,,_xlfn.XMATCH(E48,$AT$35:$BJ$35)))),"")</f>
        <v/>
      </c>
      <c r="Y48" s="480"/>
      <c r="Z48" s="482"/>
      <c r="AA48" s="607" t="str" cm="1">
        <f t="array" ref="AA48">IFERROR(IF($D$3="", "", _xlfn.LET(_xlpm.dia, E48, _xlpm.thk, Z48, _xlpm.temp, I48,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 s="397" t="str" cm="1">
        <f t="array" ref="AB48">IFERROR(IF($D$3="", "", _xlfn.XLOOKUP(1,($AR$57:$AR$76=Y48)*($AS$57:$AS$76=Z48), INDEX($AT$57:$BJ$76,,_xlfn.XMATCH(E48,$AT$56:$BJ$56)))),"")</f>
        <v/>
      </c>
      <c r="AC48" s="208" t="str">
        <f t="shared" si="9"/>
        <v/>
      </c>
      <c r="AD48" s="397" t="str">
        <f t="shared" si="10"/>
        <v/>
      </c>
      <c r="AE48" s="610" t="str">
        <f t="shared" si="11"/>
        <v/>
      </c>
      <c r="AF48" s="610" t="str">
        <f t="shared" si="12"/>
        <v/>
      </c>
      <c r="AG48" s="610" t="str">
        <f t="shared" si="13"/>
        <v/>
      </c>
      <c r="AH48" s="608" t="str">
        <f t="shared" si="19"/>
        <v/>
      </c>
      <c r="AI48" s="610" t="str">
        <f t="shared" si="14"/>
        <v/>
      </c>
      <c r="AM48" s="264" t="s">
        <v>192</v>
      </c>
      <c r="AO48" s="76" t="s">
        <v>193</v>
      </c>
      <c r="AR48" s="633" t="s">
        <v>168</v>
      </c>
      <c r="AS48" s="633" t="s">
        <v>178</v>
      </c>
      <c r="AT48" s="634">
        <f t="shared" ref="AT48:AT49" si="24">AT$43*ABS(_xlfn.XLOOKUP($AS48,$AM$64:$AM$71,$AN$64:$AN$71)-_xlfn.XLOOKUP($AS48,$AM$53:$AM$60,$AN$53:$AN$60))/ABS(_xlfn.XLOOKUP($AS$43,$AM$64:$AM$71,$AN$64:$AN$71)-_xlfn.XLOOKUP($AS$43,$AM$53:$AM$60,$AN$53:$AN$60))</f>
        <v>0.12045454545454545</v>
      </c>
      <c r="AU48" s="630">
        <f t="shared" si="23"/>
        <v>0.14772727272727273</v>
      </c>
      <c r="AV48" s="630">
        <f t="shared" si="23"/>
        <v>0.17954545454545454</v>
      </c>
      <c r="AW48" s="630">
        <f t="shared" si="23"/>
        <v>0.22045454545454546</v>
      </c>
      <c r="AX48" s="630">
        <f t="shared" si="23"/>
        <v>0.25000000000000006</v>
      </c>
      <c r="AY48" s="630">
        <f t="shared" si="23"/>
        <v>0.30454545454545456</v>
      </c>
      <c r="AZ48" s="630">
        <f t="shared" si="23"/>
        <v>0.36363636363636365</v>
      </c>
      <c r="BA48" s="630">
        <f t="shared" si="23"/>
        <v>0.43636363636363634</v>
      </c>
      <c r="BB48" s="630">
        <f t="shared" si="23"/>
        <v>0.49545454545454554</v>
      </c>
      <c r="BC48" s="630">
        <f t="shared" si="23"/>
        <v>0.55227272727272736</v>
      </c>
      <c r="BD48" s="630">
        <f t="shared" si="23"/>
        <v>0.67500000000000004</v>
      </c>
      <c r="BE48" s="630">
        <f t="shared" si="23"/>
        <v>0.79545454545454541</v>
      </c>
      <c r="BF48" s="630">
        <f t="shared" si="23"/>
        <v>1.0227272727272727</v>
      </c>
      <c r="BG48" s="630" cm="1">
        <f t="array" ref="BG48">EXP(_xlfn.FORECAST.LINEAR(LN(BG$35),LN($AT48:$BF48),LN($AT$35:$BF$35)))</f>
        <v>1.1472804895833792</v>
      </c>
      <c r="BH48" s="630" cm="1">
        <f t="array" ref="BH48">EXP(_xlfn.FORECAST.LINEAR(LN(BH$35),LN($AT48:$BF48),LN($AT$35:$BF$35)))</f>
        <v>1.3248226840855966</v>
      </c>
      <c r="BI48" s="630" cm="1">
        <f t="array" ref="BI48">EXP(_xlfn.FORECAST.LINEAR(LN(BI$35),LN($AT48:$BF48),LN($AT$35:$BF$35)))</f>
        <v>1.4962037247879807</v>
      </c>
      <c r="BJ48" s="631" cm="1">
        <f t="array" ref="BJ48">EXP(_xlfn.FORECAST.LINEAR(LN(BJ$35),LN($AT48:$BF48),LN($AT$35:$BF$35)))</f>
        <v>1.6624811778031554</v>
      </c>
      <c r="BK48" s="632" t="s">
        <v>182</v>
      </c>
      <c r="BN48" s="143"/>
      <c r="BO48" s="143"/>
      <c r="BP48" s="65"/>
    </row>
    <row r="49" spans="2:63" x14ac:dyDescent="0.25">
      <c r="B49" s="209">
        <v>16</v>
      </c>
      <c r="C49" s="480"/>
      <c r="D49" s="480"/>
      <c r="E49" s="481"/>
      <c r="F49" s="480"/>
      <c r="G49" s="480"/>
      <c r="H49" s="607" t="str">
        <f t="shared" si="0"/>
        <v/>
      </c>
      <c r="I49" s="607" t="str">
        <f t="shared" si="1"/>
        <v/>
      </c>
      <c r="J49" s="607" t="str">
        <f t="shared" si="2"/>
        <v/>
      </c>
      <c r="K49" s="208" t="str">
        <f t="shared" si="3"/>
        <v/>
      </c>
      <c r="L49" s="208" t="str">
        <f t="shared" si="4"/>
        <v/>
      </c>
      <c r="M49" s="208" t="str">
        <f t="shared" si="15"/>
        <v/>
      </c>
      <c r="N49" s="608" t="str">
        <f>IF($D$3="", "", IFERROR(VLOOKUP(L49,'PIPE INCENTIVE'!$B$4:$E$19,2,FALSE),""))</f>
        <v/>
      </c>
      <c r="O49" s="608" t="str">
        <f t="shared" si="16"/>
        <v/>
      </c>
      <c r="P49" s="208" t="str">
        <f t="shared" si="17"/>
        <v/>
      </c>
      <c r="Q49" s="208" t="str">
        <f t="shared" si="5"/>
        <v/>
      </c>
      <c r="R49" s="609" t="str">
        <f t="shared" si="6"/>
        <v/>
      </c>
      <c r="S49" s="609" t="str">
        <f t="shared" si="7"/>
        <v/>
      </c>
      <c r="T49" s="609" t="str">
        <f t="shared" si="8"/>
        <v/>
      </c>
      <c r="U49" s="609" t="str" cm="1">
        <f t="array" ref="U49">IFERROR(IF($D$3="","",_xlfn.LET(_xlpm.Mixed,AND(COUNTIF($G$34:$G$533,"Heating_Hot_Water")&gt;0,(COUNTIF($G$34:$G$533,"Steam_Low_Pressure") + COUNTIF($G$34:$G$533,"Steam_Medium_Pressure") + COUNTIF($G$34:$G$533,"Steam_High_Pressure"))&gt;0),_xlpm.fluid, G49,_xlpm.fuel, K49,_xlpm.load,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 s="609" t="str">
        <f t="shared" si="18"/>
        <v/>
      </c>
      <c r="W49" s="482"/>
      <c r="X49" s="397" t="str" cm="1">
        <f t="array" ref="X49">IFERROR(IF($D$3="","", _xlfn.XLOOKUP(1,($AR$36:$AR$53=F49)*($AS$36:$AS$53=G49), INDEX($AT$36:$BJ$53,,_xlfn.XMATCH(E49,$AT$35:$BJ$35)))),"")</f>
        <v/>
      </c>
      <c r="Y49" s="480"/>
      <c r="Z49" s="482"/>
      <c r="AA49" s="607" t="str" cm="1">
        <f t="array" ref="AA49">IFERROR(IF($D$3="", "", _xlfn.LET(_xlpm.dia, E49, _xlpm.thk, Z49, _xlpm.temp, I49,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 s="397" t="str" cm="1">
        <f t="array" ref="AB49">IFERROR(IF($D$3="", "", _xlfn.XLOOKUP(1,($AR$57:$AR$76=Y49)*($AS$57:$AS$76=Z49), INDEX($AT$57:$BJ$76,,_xlfn.XMATCH(E49,$AT$56:$BJ$56)))),"")</f>
        <v/>
      </c>
      <c r="AC49" s="208" t="str">
        <f t="shared" si="9"/>
        <v/>
      </c>
      <c r="AD49" s="397" t="str">
        <f t="shared" si="10"/>
        <v/>
      </c>
      <c r="AE49" s="610" t="str">
        <f t="shared" si="11"/>
        <v/>
      </c>
      <c r="AF49" s="610" t="str">
        <f t="shared" si="12"/>
        <v/>
      </c>
      <c r="AG49" s="610" t="str">
        <f t="shared" si="13"/>
        <v/>
      </c>
      <c r="AH49" s="608" t="str">
        <f t="shared" si="19"/>
        <v/>
      </c>
      <c r="AI49" s="610" t="str">
        <f t="shared" si="14"/>
        <v/>
      </c>
      <c r="AM49" s="76" t="s">
        <v>194</v>
      </c>
      <c r="AR49" s="635" t="s">
        <v>168</v>
      </c>
      <c r="AS49" s="635" t="s">
        <v>180</v>
      </c>
      <c r="AT49" s="636">
        <f t="shared" si="24"/>
        <v>7.227272727272728E-2</v>
      </c>
      <c r="AU49" s="637">
        <f t="shared" si="23"/>
        <v>8.8636363636363638E-2</v>
      </c>
      <c r="AV49" s="637">
        <f t="shared" si="23"/>
        <v>0.10772727272727274</v>
      </c>
      <c r="AW49" s="637">
        <f t="shared" si="23"/>
        <v>0.13227272727272726</v>
      </c>
      <c r="AX49" s="637">
        <f t="shared" si="23"/>
        <v>0.15</v>
      </c>
      <c r="AY49" s="637">
        <f t="shared" si="23"/>
        <v>0.18272727272727274</v>
      </c>
      <c r="AZ49" s="637">
        <f t="shared" si="23"/>
        <v>0.21818181818181817</v>
      </c>
      <c r="BA49" s="637">
        <f t="shared" si="23"/>
        <v>0.26181818181818178</v>
      </c>
      <c r="BB49" s="637">
        <f t="shared" si="23"/>
        <v>0.2972727272727273</v>
      </c>
      <c r="BC49" s="637">
        <f t="shared" si="23"/>
        <v>0.33136363636363642</v>
      </c>
      <c r="BD49" s="637">
        <f t="shared" si="23"/>
        <v>0.40500000000000003</v>
      </c>
      <c r="BE49" s="637">
        <f t="shared" si="23"/>
        <v>0.47727272727272729</v>
      </c>
      <c r="BF49" s="637">
        <f t="shared" si="23"/>
        <v>0.61363636363636365</v>
      </c>
      <c r="BG49" s="637" cm="1">
        <f t="array" ref="BG49">EXP(_xlfn.FORECAST.LINEAR(LN(BG$35),LN($AT49:$BF49),LN($AT$35:$BF$35)))</f>
        <v>0.6883682937500275</v>
      </c>
      <c r="BH49" s="637" cm="1">
        <f t="array" ref="BH49">EXP(_xlfn.FORECAST.LINEAR(LN(BH$35),LN($AT49:$BF49),LN($AT$35:$BF$35)))</f>
        <v>0.79489361045135798</v>
      </c>
      <c r="BI49" s="637" cm="1">
        <f t="array" ref="BI49">EXP(_xlfn.FORECAST.LINEAR(LN(BI$35),LN($AT49:$BF49),LN($AT$35:$BF$35)))</f>
        <v>0.89772223487278868</v>
      </c>
      <c r="BJ49" s="638" cm="1">
        <f t="array" ref="BJ49">EXP(_xlfn.FORECAST.LINEAR(LN(BJ$35),LN($AT49:$BF49),LN($AT$35:$BF$35)))</f>
        <v>0.99748870668189304</v>
      </c>
      <c r="BK49" s="639" t="s">
        <v>182</v>
      </c>
    </row>
    <row r="50" spans="2:63" x14ac:dyDescent="0.25">
      <c r="B50" s="209">
        <v>17</v>
      </c>
      <c r="C50" s="480"/>
      <c r="D50" s="480"/>
      <c r="E50" s="481"/>
      <c r="F50" s="480"/>
      <c r="G50" s="480"/>
      <c r="H50" s="607" t="str">
        <f t="shared" si="0"/>
        <v/>
      </c>
      <c r="I50" s="607" t="str">
        <f t="shared" si="1"/>
        <v/>
      </c>
      <c r="J50" s="607" t="str">
        <f t="shared" si="2"/>
        <v/>
      </c>
      <c r="K50" s="208" t="str">
        <f t="shared" si="3"/>
        <v/>
      </c>
      <c r="L50" s="208" t="str">
        <f t="shared" si="4"/>
        <v/>
      </c>
      <c r="M50" s="208" t="str">
        <f t="shared" si="15"/>
        <v/>
      </c>
      <c r="N50" s="608" t="str">
        <f>IF($D$3="", "", IFERROR(VLOOKUP(L50,'PIPE INCENTIVE'!$B$4:$E$19,2,FALSE),""))</f>
        <v/>
      </c>
      <c r="O50" s="608" t="str">
        <f t="shared" si="16"/>
        <v/>
      </c>
      <c r="P50" s="208" t="str">
        <f t="shared" si="17"/>
        <v/>
      </c>
      <c r="Q50" s="208" t="str">
        <f t="shared" si="5"/>
        <v/>
      </c>
      <c r="R50" s="609" t="str">
        <f t="shared" si="6"/>
        <v/>
      </c>
      <c r="S50" s="609" t="str">
        <f t="shared" si="7"/>
        <v/>
      </c>
      <c r="T50" s="609" t="str">
        <f t="shared" si="8"/>
        <v/>
      </c>
      <c r="U50" s="609" t="str" cm="1">
        <f t="array" ref="U50">IFERROR(IF($D$3="","",_xlfn.LET(_xlpm.Mixed,AND(COUNTIF($G$34:$G$533,"Heating_Hot_Water")&gt;0,(COUNTIF($G$34:$G$533,"Steam_Low_Pressure") + COUNTIF($G$34:$G$533,"Steam_Medium_Pressure") + COUNTIF($G$34:$G$533,"Steam_High_Pressure"))&gt;0),_xlpm.fluid, G50,_xlpm.fuel, K50,_xlpm.load,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 s="609" t="str">
        <f t="shared" si="18"/>
        <v/>
      </c>
      <c r="W50" s="482"/>
      <c r="X50" s="397" t="str" cm="1">
        <f t="array" ref="X50">IFERROR(IF($D$3="","", _xlfn.XLOOKUP(1,($AR$36:$AR$53=F50)*($AS$36:$AS$53=G50), INDEX($AT$36:$BJ$53,,_xlfn.XMATCH(E50,$AT$35:$BJ$35)))),"")</f>
        <v/>
      </c>
      <c r="Y50" s="480"/>
      <c r="Z50" s="482"/>
      <c r="AA50" s="607" t="str" cm="1">
        <f t="array" ref="AA50">IFERROR(IF($D$3="", "", _xlfn.LET(_xlpm.dia, E50, _xlpm.thk, Z50, _xlpm.temp, I50,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 s="397" t="str" cm="1">
        <f t="array" ref="AB50">IFERROR(IF($D$3="", "", _xlfn.XLOOKUP(1,($AR$57:$AR$76=Y50)*($AS$57:$AS$76=Z50), INDEX($AT$57:$BJ$76,,_xlfn.XMATCH(E50,$AT$56:$BJ$56)))),"")</f>
        <v/>
      </c>
      <c r="AC50" s="208" t="str">
        <f t="shared" si="9"/>
        <v/>
      </c>
      <c r="AD50" s="397" t="str">
        <f t="shared" si="10"/>
        <v/>
      </c>
      <c r="AE50" s="610" t="str">
        <f t="shared" si="11"/>
        <v/>
      </c>
      <c r="AF50" s="610" t="str">
        <f t="shared" si="12"/>
        <v/>
      </c>
      <c r="AG50" s="610" t="str">
        <f t="shared" si="13"/>
        <v/>
      </c>
      <c r="AH50" s="608" t="str">
        <f t="shared" si="19"/>
        <v/>
      </c>
      <c r="AI50" s="610" t="str">
        <f t="shared" si="14"/>
        <v/>
      </c>
      <c r="AM50" s="76" t="s">
        <v>195</v>
      </c>
      <c r="AR50" s="627" t="s">
        <v>169</v>
      </c>
      <c r="AS50" s="627" t="s">
        <v>171</v>
      </c>
      <c r="AT50" s="622">
        <v>0.39</v>
      </c>
      <c r="AU50" s="623">
        <v>0.48</v>
      </c>
      <c r="AV50" s="623">
        <v>0.56000000000000005</v>
      </c>
      <c r="AW50" s="623">
        <v>0.69</v>
      </c>
      <c r="AX50" s="623">
        <v>0.78</v>
      </c>
      <c r="AY50" s="623">
        <v>0.95</v>
      </c>
      <c r="AZ50" s="623">
        <v>1.07</v>
      </c>
      <c r="BA50" s="623">
        <v>1.23</v>
      </c>
      <c r="BB50" s="623">
        <v>1.38</v>
      </c>
      <c r="BC50" s="623">
        <v>1.52</v>
      </c>
      <c r="BD50" s="623">
        <v>1.82</v>
      </c>
      <c r="BE50" s="623">
        <v>2.09</v>
      </c>
      <c r="BF50" s="623">
        <v>2.56</v>
      </c>
      <c r="BG50" s="624" cm="1">
        <f t="array" ref="BG50">EXP(_xlfn.FORECAST.LINEAR(LN(BG$35),LN($AT50:$BF50),LN($AT$35:$BF$35)))</f>
        <v>2.8952605176498687</v>
      </c>
      <c r="BH50" s="624" cm="1">
        <f t="array" ref="BH50">EXP(_xlfn.FORECAST.LINEAR(LN(BH$35),LN($AT50:$BF50),LN($AT$35:$BF$35)))</f>
        <v>3.2842730510318132</v>
      </c>
      <c r="BI50" s="624" cm="1">
        <f t="array" ref="BI50">EXP(_xlfn.FORECAST.LINEAR(LN(BI$35),LN($AT50:$BF50),LN($AT$35:$BF$35)))</f>
        <v>3.6536848329512455</v>
      </c>
      <c r="BJ50" s="625" cm="1">
        <f t="array" ref="BJ50">EXP(_xlfn.FORECAST.LINEAR(LN(BJ$35),LN($AT50:$BF50),LN($AT$35:$BF$35)))</f>
        <v>4.0071065048095438</v>
      </c>
      <c r="BK50" s="626" t="s">
        <v>176</v>
      </c>
    </row>
    <row r="51" spans="2:63" x14ac:dyDescent="0.25">
      <c r="B51" s="209">
        <v>18</v>
      </c>
      <c r="C51" s="480"/>
      <c r="D51" s="480"/>
      <c r="E51" s="481"/>
      <c r="F51" s="480"/>
      <c r="G51" s="480"/>
      <c r="H51" s="607" t="str">
        <f t="shared" si="0"/>
        <v/>
      </c>
      <c r="I51" s="607" t="str">
        <f t="shared" si="1"/>
        <v/>
      </c>
      <c r="J51" s="607" t="str">
        <f t="shared" si="2"/>
        <v/>
      </c>
      <c r="K51" s="208" t="str">
        <f t="shared" si="3"/>
        <v/>
      </c>
      <c r="L51" s="208" t="str">
        <f t="shared" si="4"/>
        <v/>
      </c>
      <c r="M51" s="208" t="str">
        <f t="shared" si="15"/>
        <v/>
      </c>
      <c r="N51" s="608" t="str">
        <f>IF($D$3="", "", IFERROR(VLOOKUP(L51,'PIPE INCENTIVE'!$B$4:$E$19,2,FALSE),""))</f>
        <v/>
      </c>
      <c r="O51" s="608" t="str">
        <f t="shared" si="16"/>
        <v/>
      </c>
      <c r="P51" s="208" t="str">
        <f t="shared" si="17"/>
        <v/>
      </c>
      <c r="Q51" s="208" t="str">
        <f t="shared" si="5"/>
        <v/>
      </c>
      <c r="R51" s="609" t="str">
        <f t="shared" si="6"/>
        <v/>
      </c>
      <c r="S51" s="609" t="str">
        <f t="shared" si="7"/>
        <v/>
      </c>
      <c r="T51" s="609" t="str">
        <f t="shared" si="8"/>
        <v/>
      </c>
      <c r="U51" s="609" t="str" cm="1">
        <f t="array" ref="U51">IFERROR(IF($D$3="","",_xlfn.LET(_xlpm.Mixed,AND(COUNTIF($G$34:$G$533,"Heating_Hot_Water")&gt;0,(COUNTIF($G$34:$G$533,"Steam_Low_Pressure") + COUNTIF($G$34:$G$533,"Steam_Medium_Pressure") + COUNTIF($G$34:$G$533,"Steam_High_Pressure"))&gt;0),_xlpm.fluid, G51,_xlpm.fuel, K51,_xlpm.load,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 s="609" t="str">
        <f t="shared" si="18"/>
        <v/>
      </c>
      <c r="W51" s="482"/>
      <c r="X51" s="397" t="str" cm="1">
        <f t="array" ref="X51">IFERROR(IF($D$3="","", _xlfn.XLOOKUP(1,($AR$36:$AR$53=F51)*($AS$36:$AS$53=G51), INDEX($AT$36:$BJ$53,,_xlfn.XMATCH(E51,$AT$35:$BJ$35)))),"")</f>
        <v/>
      </c>
      <c r="Y51" s="480"/>
      <c r="Z51" s="482"/>
      <c r="AA51" s="607" t="str" cm="1">
        <f t="array" ref="AA51">IFERROR(IF($D$3="", "", _xlfn.LET(_xlpm.dia, E51, _xlpm.thk, Z51, _xlpm.temp, I51,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 s="397" t="str" cm="1">
        <f t="array" ref="AB51">IFERROR(IF($D$3="", "", _xlfn.XLOOKUP(1,($AR$57:$AR$76=Y51)*($AS$57:$AS$76=Z51), INDEX($AT$57:$BJ$76,,_xlfn.XMATCH(E51,$AT$56:$BJ$56)))),"")</f>
        <v/>
      </c>
      <c r="AC51" s="208" t="str">
        <f t="shared" si="9"/>
        <v/>
      </c>
      <c r="AD51" s="397" t="str">
        <f t="shared" si="10"/>
        <v/>
      </c>
      <c r="AE51" s="610" t="str">
        <f t="shared" si="11"/>
        <v/>
      </c>
      <c r="AF51" s="610" t="str">
        <f t="shared" si="12"/>
        <v/>
      </c>
      <c r="AG51" s="610" t="str">
        <f t="shared" si="13"/>
        <v/>
      </c>
      <c r="AH51" s="608" t="str">
        <f t="shared" si="19"/>
        <v/>
      </c>
      <c r="AI51" s="610" t="str">
        <f t="shared" si="14"/>
        <v/>
      </c>
      <c r="AR51" s="627" t="s">
        <v>169</v>
      </c>
      <c r="AS51" s="627" t="s">
        <v>172</v>
      </c>
      <c r="AT51" s="628">
        <v>0.41</v>
      </c>
      <c r="AU51" s="629">
        <v>0.5</v>
      </c>
      <c r="AV51" s="629">
        <v>0.57999999999999996</v>
      </c>
      <c r="AW51" s="629">
        <v>0.72</v>
      </c>
      <c r="AX51" s="629">
        <v>0.81</v>
      </c>
      <c r="AY51" s="629">
        <v>0.98</v>
      </c>
      <c r="AZ51" s="629">
        <v>1.1100000000000001</v>
      </c>
      <c r="BA51" s="629">
        <v>1.27</v>
      </c>
      <c r="BB51" s="629">
        <v>1.42</v>
      </c>
      <c r="BC51" s="629">
        <v>1.57</v>
      </c>
      <c r="BD51" s="629">
        <v>1.87</v>
      </c>
      <c r="BE51" s="629">
        <v>2.15</v>
      </c>
      <c r="BF51" s="629">
        <v>2.62</v>
      </c>
      <c r="BG51" s="630" cm="1">
        <f t="array" ref="BG51">EXP(_xlfn.FORECAST.LINEAR(LN(BG$35),LN($AT51:$BF51),LN($AT$35:$BF$35)))</f>
        <v>2.9609185628281591</v>
      </c>
      <c r="BH51" s="630" cm="1">
        <f t="array" ref="BH51">EXP(_xlfn.FORECAST.LINEAR(LN(BH$35),LN($AT51:$BF51),LN($AT$35:$BF$35)))</f>
        <v>3.3539095559177547</v>
      </c>
      <c r="BI51" s="630" cm="1">
        <f t="array" ref="BI51">EXP(_xlfn.FORECAST.LINEAR(LN(BI$35),LN($AT51:$BF51),LN($AT$35:$BF$35)))</f>
        <v>3.7266043318558184</v>
      </c>
      <c r="BJ51" s="631" cm="1">
        <f t="array" ref="BJ51">EXP(_xlfn.FORECAST.LINEAR(LN(BJ$35),LN($AT51:$BF51),LN($AT$35:$BF$35)))</f>
        <v>4.0827621306208961</v>
      </c>
      <c r="BK51" s="632" t="s">
        <v>176</v>
      </c>
    </row>
    <row r="52" spans="2:63" x14ac:dyDescent="0.25">
      <c r="B52" s="209">
        <v>19</v>
      </c>
      <c r="C52" s="480"/>
      <c r="D52" s="480"/>
      <c r="E52" s="481"/>
      <c r="F52" s="480"/>
      <c r="G52" s="480"/>
      <c r="H52" s="607" t="str">
        <f t="shared" si="0"/>
        <v/>
      </c>
      <c r="I52" s="607" t="str">
        <f t="shared" si="1"/>
        <v/>
      </c>
      <c r="J52" s="607" t="str">
        <f t="shared" si="2"/>
        <v/>
      </c>
      <c r="K52" s="208" t="str">
        <f t="shared" si="3"/>
        <v/>
      </c>
      <c r="L52" s="208" t="str">
        <f t="shared" si="4"/>
        <v/>
      </c>
      <c r="M52" s="208" t="str">
        <f t="shared" si="15"/>
        <v/>
      </c>
      <c r="N52" s="608" t="str">
        <f>IF($D$3="", "", IFERROR(VLOOKUP(L52,'PIPE INCENTIVE'!$B$4:$E$19,2,FALSE),""))</f>
        <v/>
      </c>
      <c r="O52" s="608" t="str">
        <f t="shared" si="16"/>
        <v/>
      </c>
      <c r="P52" s="208" t="str">
        <f t="shared" si="17"/>
        <v/>
      </c>
      <c r="Q52" s="208" t="str">
        <f t="shared" si="5"/>
        <v/>
      </c>
      <c r="R52" s="609" t="str">
        <f t="shared" si="6"/>
        <v/>
      </c>
      <c r="S52" s="609" t="str">
        <f t="shared" si="7"/>
        <v/>
      </c>
      <c r="T52" s="609" t="str">
        <f t="shared" si="8"/>
        <v/>
      </c>
      <c r="U52" s="609" t="str" cm="1">
        <f t="array" ref="U52">IFERROR(IF($D$3="","",_xlfn.LET(_xlpm.Mixed,AND(COUNTIF($G$34:$G$533,"Heating_Hot_Water")&gt;0,(COUNTIF($G$34:$G$533,"Steam_Low_Pressure") + COUNTIF($G$34:$G$533,"Steam_Medium_Pressure") + COUNTIF($G$34:$G$533,"Steam_High_Pressure"))&gt;0),_xlpm.fluid, G52,_xlpm.fuel, K52,_xlpm.load,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 s="609" t="str">
        <f t="shared" si="18"/>
        <v/>
      </c>
      <c r="W52" s="482"/>
      <c r="X52" s="397" t="str" cm="1">
        <f t="array" ref="X52">IFERROR(IF($D$3="","", _xlfn.XLOOKUP(1,($AR$36:$AR$53=F52)*($AS$36:$AS$53=G52), INDEX($AT$36:$BJ$53,,_xlfn.XMATCH(E52,$AT$35:$BJ$35)))),"")</f>
        <v/>
      </c>
      <c r="Y52" s="480"/>
      <c r="Z52" s="482"/>
      <c r="AA52" s="607" t="str" cm="1">
        <f t="array" ref="AA52">IFERROR(IF($D$3="", "", _xlfn.LET(_xlpm.dia, E52, _xlpm.thk, Z52, _xlpm.temp, I52,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 s="397" t="str" cm="1">
        <f t="array" ref="AB52">IFERROR(IF($D$3="", "", _xlfn.XLOOKUP(1,($AR$57:$AR$76=Y52)*($AS$57:$AS$76=Z52), INDEX($AT$57:$BJ$76,,_xlfn.XMATCH(E52,$AT$56:$BJ$56)))),"")</f>
        <v/>
      </c>
      <c r="AC52" s="208" t="str">
        <f t="shared" si="9"/>
        <v/>
      </c>
      <c r="AD52" s="397" t="str">
        <f t="shared" si="10"/>
        <v/>
      </c>
      <c r="AE52" s="610" t="str">
        <f t="shared" si="11"/>
        <v/>
      </c>
      <c r="AF52" s="610" t="str">
        <f t="shared" si="12"/>
        <v/>
      </c>
      <c r="AG52" s="610" t="str">
        <f t="shared" si="13"/>
        <v/>
      </c>
      <c r="AH52" s="608" t="str">
        <f t="shared" si="19"/>
        <v/>
      </c>
      <c r="AI52" s="610" t="str">
        <f t="shared" si="14"/>
        <v/>
      </c>
      <c r="AM52" s="640" t="s">
        <v>196</v>
      </c>
      <c r="AN52" s="383"/>
      <c r="AO52" s="641" t="s">
        <v>174</v>
      </c>
      <c r="AR52" s="633" t="s">
        <v>169</v>
      </c>
      <c r="AS52" s="633" t="s">
        <v>178</v>
      </c>
      <c r="AT52" s="634">
        <f>AT$50*ABS(_xlfn.XLOOKUP($AS52,$AM$64:$AM$71,$AN$64:$AN$71)-_xlfn.XLOOKUP($AS52,$AM$53:$AM$60,$AN$53:$AN$60))/ABS(_xlfn.XLOOKUP($AS$50,$AM$64:$AM$71,$AN$64:$AN$71)-_xlfn.XLOOKUP($AS$50,$AM$53:$AM$60,$AN$53:$AN$60))</f>
        <v>0.17727272727272728</v>
      </c>
      <c r="AU52" s="630">
        <f t="shared" ref="AU52:BJ53" si="25">AU$50*ABS(_xlfn.XLOOKUP($AS52,$AM$64:$AM$71,$AN$64:$AN$71)-_xlfn.XLOOKUP($AS52,$AM$53:$AM$60,$AN$53:$AN$60))/ABS(_xlfn.XLOOKUP($AS$50,$AM$64:$AM$71,$AN$64:$AN$71)-_xlfn.XLOOKUP($AS$50,$AM$53:$AM$60,$AN$53:$AN$60))</f>
        <v>0.21818181818181817</v>
      </c>
      <c r="AV52" s="630">
        <f t="shared" si="25"/>
        <v>0.25454545454545457</v>
      </c>
      <c r="AW52" s="630">
        <f t="shared" si="25"/>
        <v>0.31363636363636366</v>
      </c>
      <c r="AX52" s="630">
        <f t="shared" si="25"/>
        <v>0.35454545454545455</v>
      </c>
      <c r="AY52" s="630">
        <f t="shared" si="25"/>
        <v>0.43181818181818182</v>
      </c>
      <c r="AZ52" s="630">
        <f t="shared" si="25"/>
        <v>0.48636363636363639</v>
      </c>
      <c r="BA52" s="630">
        <f t="shared" si="25"/>
        <v>0.55909090909090908</v>
      </c>
      <c r="BB52" s="630">
        <f t="shared" si="25"/>
        <v>0.62727272727272732</v>
      </c>
      <c r="BC52" s="630">
        <f t="shared" si="25"/>
        <v>0.69090909090909092</v>
      </c>
      <c r="BD52" s="630">
        <f t="shared" si="25"/>
        <v>0.82727272727272727</v>
      </c>
      <c r="BE52" s="630">
        <f t="shared" si="25"/>
        <v>0.95</v>
      </c>
      <c r="BF52" s="630">
        <f t="shared" si="25"/>
        <v>1.1636363636363636</v>
      </c>
      <c r="BG52" s="630">
        <f t="shared" si="25"/>
        <v>1.3160275080226675</v>
      </c>
      <c r="BH52" s="630">
        <f t="shared" si="25"/>
        <v>1.4928513868326423</v>
      </c>
      <c r="BI52" s="630">
        <f t="shared" si="25"/>
        <v>1.6607658331596569</v>
      </c>
      <c r="BJ52" s="631">
        <f t="shared" si="25"/>
        <v>1.8214120476407016</v>
      </c>
      <c r="BK52" s="632" t="s">
        <v>197</v>
      </c>
    </row>
    <row r="53" spans="2:63" x14ac:dyDescent="0.25">
      <c r="B53" s="209">
        <v>20</v>
      </c>
      <c r="C53" s="480"/>
      <c r="D53" s="480"/>
      <c r="E53" s="481"/>
      <c r="F53" s="480"/>
      <c r="G53" s="480"/>
      <c r="H53" s="607" t="str">
        <f t="shared" si="0"/>
        <v/>
      </c>
      <c r="I53" s="607" t="str">
        <f t="shared" si="1"/>
        <v/>
      </c>
      <c r="J53" s="607" t="str">
        <f t="shared" si="2"/>
        <v/>
      </c>
      <c r="K53" s="208" t="str">
        <f t="shared" si="3"/>
        <v/>
      </c>
      <c r="L53" s="208" t="str">
        <f t="shared" si="4"/>
        <v/>
      </c>
      <c r="M53" s="208" t="str">
        <f t="shared" si="15"/>
        <v/>
      </c>
      <c r="N53" s="608" t="str">
        <f>IF($D$3="", "", IFERROR(VLOOKUP(L53,'PIPE INCENTIVE'!$B$4:$E$19,2,FALSE),""))</f>
        <v/>
      </c>
      <c r="O53" s="608" t="str">
        <f t="shared" si="16"/>
        <v/>
      </c>
      <c r="P53" s="208" t="str">
        <f t="shared" si="17"/>
        <v/>
      </c>
      <c r="Q53" s="208" t="str">
        <f t="shared" si="5"/>
        <v/>
      </c>
      <c r="R53" s="609" t="str">
        <f t="shared" si="6"/>
        <v/>
      </c>
      <c r="S53" s="609" t="str">
        <f t="shared" si="7"/>
        <v/>
      </c>
      <c r="T53" s="609" t="str">
        <f t="shared" si="8"/>
        <v/>
      </c>
      <c r="U53" s="609" t="str" cm="1">
        <f t="array" ref="U53">IFERROR(IF($D$3="","",_xlfn.LET(_xlpm.Mixed,AND(COUNTIF($G$34:$G$533,"Heating_Hot_Water")&gt;0,(COUNTIF($G$34:$G$533,"Steam_Low_Pressure") + COUNTIF($G$34:$G$533,"Steam_Medium_Pressure") + COUNTIF($G$34:$G$533,"Steam_High_Pressure"))&gt;0),_xlpm.fluid, G53,_xlpm.fuel, K53,_xlpm.load,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 s="609" t="str">
        <f t="shared" si="18"/>
        <v/>
      </c>
      <c r="W53" s="482"/>
      <c r="X53" s="397" t="str" cm="1">
        <f t="array" ref="X53">IFERROR(IF($D$3="","", _xlfn.XLOOKUP(1,($AR$36:$AR$53=F53)*($AS$36:$AS$53=G53), INDEX($AT$36:$BJ$53,,_xlfn.XMATCH(E53,$AT$35:$BJ$35)))),"")</f>
        <v/>
      </c>
      <c r="Y53" s="480"/>
      <c r="Z53" s="482"/>
      <c r="AA53" s="607" t="str" cm="1">
        <f t="array" ref="AA53">IFERROR(IF($D$3="", "", _xlfn.LET(_xlpm.dia, E53, _xlpm.thk, Z53, _xlpm.temp, I53,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 s="397" t="str" cm="1">
        <f t="array" ref="AB53">IFERROR(IF($D$3="", "", _xlfn.XLOOKUP(1,($AR$57:$AR$76=Y53)*($AS$57:$AS$76=Z53), INDEX($AT$57:$BJ$76,,_xlfn.XMATCH(E53,$AT$56:$BJ$56)))),"")</f>
        <v/>
      </c>
      <c r="AC53" s="208" t="str">
        <f t="shared" si="9"/>
        <v/>
      </c>
      <c r="AD53" s="397" t="str">
        <f t="shared" si="10"/>
        <v/>
      </c>
      <c r="AE53" s="610" t="str">
        <f t="shared" si="11"/>
        <v/>
      </c>
      <c r="AF53" s="610" t="str">
        <f t="shared" si="12"/>
        <v/>
      </c>
      <c r="AG53" s="610" t="str">
        <f t="shared" si="13"/>
        <v/>
      </c>
      <c r="AH53" s="608" t="str">
        <f t="shared" si="19"/>
        <v/>
      </c>
      <c r="AI53" s="610" t="str">
        <f t="shared" si="14"/>
        <v/>
      </c>
      <c r="AM53" s="264" t="s">
        <v>171</v>
      </c>
      <c r="AN53" s="76">
        <v>70</v>
      </c>
      <c r="AO53" s="300" t="s">
        <v>198</v>
      </c>
      <c r="AR53" s="635" t="s">
        <v>169</v>
      </c>
      <c r="AS53" s="635" t="s">
        <v>180</v>
      </c>
      <c r="AT53" s="636">
        <f>AT$50*ABS(_xlfn.XLOOKUP($AS53,$AM$64:$AM$71,$AN$64:$AN$71)-_xlfn.XLOOKUP($AS53,$AM$53:$AM$60,$AN$53:$AN$60))/ABS(_xlfn.XLOOKUP($AS$50,$AM$64:$AM$71,$AN$64:$AN$71)-_xlfn.XLOOKUP($AS$50,$AM$53:$AM$60,$AN$53:$AN$60))</f>
        <v>0.10636363636363637</v>
      </c>
      <c r="AU53" s="637">
        <f>AU$50*ABS(_xlfn.XLOOKUP($AS53,$AM$64:$AM$71,$AN$64:$AN$71)-_xlfn.XLOOKUP($AS53,$AM$53:$AM$60,$AN$53:$AN$60))/ABS(_xlfn.XLOOKUP($AS$50,$AM$64:$AM$71,$AN$64:$AN$71)-_xlfn.XLOOKUP($AS$50,$AM$53:$AM$60,$AN$53:$AN$60))</f>
        <v>0.13090909090909089</v>
      </c>
      <c r="AV53" s="637">
        <f t="shared" si="25"/>
        <v>0.15272727272727274</v>
      </c>
      <c r="AW53" s="637">
        <f t="shared" si="25"/>
        <v>0.18818181818181817</v>
      </c>
      <c r="AX53" s="637">
        <f t="shared" si="25"/>
        <v>0.21272727272727274</v>
      </c>
      <c r="AY53" s="637">
        <f t="shared" si="25"/>
        <v>0.25909090909090909</v>
      </c>
      <c r="AZ53" s="637">
        <f t="shared" si="25"/>
        <v>0.29181818181818181</v>
      </c>
      <c r="BA53" s="637">
        <f t="shared" si="25"/>
        <v>0.33545454545454545</v>
      </c>
      <c r="BB53" s="637">
        <f t="shared" si="25"/>
        <v>0.37636363636363634</v>
      </c>
      <c r="BC53" s="637">
        <f t="shared" si="25"/>
        <v>0.41454545454545455</v>
      </c>
      <c r="BD53" s="637">
        <f t="shared" si="25"/>
        <v>0.4963636363636364</v>
      </c>
      <c r="BE53" s="637">
        <f t="shared" si="25"/>
        <v>0.56999999999999995</v>
      </c>
      <c r="BF53" s="637">
        <f t="shared" si="25"/>
        <v>0.69818181818181813</v>
      </c>
      <c r="BG53" s="637">
        <f t="shared" si="25"/>
        <v>0.78961650481360057</v>
      </c>
      <c r="BH53" s="637">
        <f t="shared" si="25"/>
        <v>0.89571083209958546</v>
      </c>
      <c r="BI53" s="637">
        <f t="shared" si="25"/>
        <v>0.9964594998957943</v>
      </c>
      <c r="BJ53" s="637">
        <f t="shared" si="25"/>
        <v>1.0928472285844211</v>
      </c>
      <c r="BK53" s="639" t="s">
        <v>197</v>
      </c>
    </row>
    <row r="54" spans="2:63" x14ac:dyDescent="0.25">
      <c r="B54" s="209">
        <v>21</v>
      </c>
      <c r="C54" s="480"/>
      <c r="D54" s="480"/>
      <c r="E54" s="481"/>
      <c r="F54" s="480"/>
      <c r="G54" s="480"/>
      <c r="H54" s="607" t="str">
        <f t="shared" si="0"/>
        <v/>
      </c>
      <c r="I54" s="607" t="str">
        <f t="shared" si="1"/>
        <v/>
      </c>
      <c r="J54" s="607" t="str">
        <f t="shared" si="2"/>
        <v/>
      </c>
      <c r="K54" s="208" t="str">
        <f t="shared" si="3"/>
        <v/>
      </c>
      <c r="L54" s="208" t="str">
        <f t="shared" si="4"/>
        <v/>
      </c>
      <c r="M54" s="208" t="str">
        <f t="shared" si="15"/>
        <v/>
      </c>
      <c r="N54" s="608" t="str">
        <f>IF($D$3="", "", IFERROR(VLOOKUP(L54,'PIPE INCENTIVE'!$B$4:$E$19,2,FALSE),""))</f>
        <v/>
      </c>
      <c r="O54" s="608" t="str">
        <f t="shared" si="16"/>
        <v/>
      </c>
      <c r="P54" s="208" t="str">
        <f t="shared" si="17"/>
        <v/>
      </c>
      <c r="Q54" s="208" t="str">
        <f t="shared" si="5"/>
        <v/>
      </c>
      <c r="R54" s="609" t="str">
        <f t="shared" si="6"/>
        <v/>
      </c>
      <c r="S54" s="609" t="str">
        <f t="shared" si="7"/>
        <v/>
      </c>
      <c r="T54" s="609" t="str">
        <f t="shared" si="8"/>
        <v/>
      </c>
      <c r="U54" s="609" t="str" cm="1">
        <f t="array" ref="U54">IFERROR(IF($D$3="","",_xlfn.LET(_xlpm.Mixed,AND(COUNTIF($G$34:$G$533,"Heating_Hot_Water")&gt;0,(COUNTIF($G$34:$G$533,"Steam_Low_Pressure") + COUNTIF($G$34:$G$533,"Steam_Medium_Pressure") + COUNTIF($G$34:$G$533,"Steam_High_Pressure"))&gt;0),_xlpm.fluid, G54,_xlpm.fuel, K54,_xlpm.load,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4" s="609" t="str">
        <f t="shared" si="18"/>
        <v/>
      </c>
      <c r="W54" s="482"/>
      <c r="X54" s="397" t="str" cm="1">
        <f t="array" ref="X54">IFERROR(IF($D$3="","", _xlfn.XLOOKUP(1,($AR$36:$AR$53=F54)*($AS$36:$AS$53=G54), INDEX($AT$36:$BJ$53,,_xlfn.XMATCH(E54,$AT$35:$BJ$35)))),"")</f>
        <v/>
      </c>
      <c r="Y54" s="480"/>
      <c r="Z54" s="482"/>
      <c r="AA54" s="607" t="str" cm="1">
        <f t="array" ref="AA54">IFERROR(IF($D$3="", "", _xlfn.LET(_xlpm.dia, E54, _xlpm.thk, Z54, _xlpm.temp, I54,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4" s="397" t="str" cm="1">
        <f t="array" ref="AB54">IFERROR(IF($D$3="", "", _xlfn.XLOOKUP(1,($AR$57:$AR$76=Y54)*($AS$57:$AS$76=Z54), INDEX($AT$57:$BJ$76,,_xlfn.XMATCH(E54,$AT$56:$BJ$56)))),"")</f>
        <v/>
      </c>
      <c r="AC54" s="208" t="str">
        <f t="shared" si="9"/>
        <v/>
      </c>
      <c r="AD54" s="397" t="str">
        <f t="shared" si="10"/>
        <v/>
      </c>
      <c r="AE54" s="610" t="str">
        <f t="shared" si="11"/>
        <v/>
      </c>
      <c r="AF54" s="610" t="str">
        <f t="shared" si="12"/>
        <v/>
      </c>
      <c r="AG54" s="610" t="str">
        <f t="shared" si="13"/>
        <v/>
      </c>
      <c r="AH54" s="608" t="str">
        <f t="shared" si="19"/>
        <v/>
      </c>
      <c r="AI54" s="610" t="str">
        <f t="shared" si="14"/>
        <v/>
      </c>
      <c r="AM54" s="76" t="s">
        <v>172</v>
      </c>
      <c r="AN54" s="76">
        <v>50</v>
      </c>
      <c r="AO54" s="300" t="s">
        <v>198</v>
      </c>
    </row>
    <row r="55" spans="2:63" x14ac:dyDescent="0.25">
      <c r="B55" s="209">
        <v>22</v>
      </c>
      <c r="C55" s="480"/>
      <c r="D55" s="480"/>
      <c r="E55" s="481"/>
      <c r="F55" s="480"/>
      <c r="G55" s="480"/>
      <c r="H55" s="607" t="str">
        <f t="shared" si="0"/>
        <v/>
      </c>
      <c r="I55" s="607" t="str">
        <f t="shared" si="1"/>
        <v/>
      </c>
      <c r="J55" s="607" t="str">
        <f t="shared" si="2"/>
        <v/>
      </c>
      <c r="K55" s="208" t="str">
        <f t="shared" si="3"/>
        <v/>
      </c>
      <c r="L55" s="208" t="str">
        <f t="shared" si="4"/>
        <v/>
      </c>
      <c r="M55" s="208" t="str">
        <f t="shared" si="15"/>
        <v/>
      </c>
      <c r="N55" s="608" t="str">
        <f>IF($D$3="", "", IFERROR(VLOOKUP(L55,'PIPE INCENTIVE'!$B$4:$E$19,2,FALSE),""))</f>
        <v/>
      </c>
      <c r="O55" s="608" t="str">
        <f t="shared" si="16"/>
        <v/>
      </c>
      <c r="P55" s="208" t="str">
        <f t="shared" si="17"/>
        <v/>
      </c>
      <c r="Q55" s="208" t="str">
        <f t="shared" si="5"/>
        <v/>
      </c>
      <c r="R55" s="609" t="str">
        <f t="shared" si="6"/>
        <v/>
      </c>
      <c r="S55" s="609" t="str">
        <f t="shared" si="7"/>
        <v/>
      </c>
      <c r="T55" s="609" t="str">
        <f t="shared" si="8"/>
        <v/>
      </c>
      <c r="U55" s="609" t="str" cm="1">
        <f t="array" ref="U55">IFERROR(IF($D$3="","",_xlfn.LET(_xlpm.Mixed,AND(COUNTIF($G$34:$G$533,"Heating_Hot_Water")&gt;0,(COUNTIF($G$34:$G$533,"Steam_Low_Pressure") + COUNTIF($G$34:$G$533,"Steam_Medium_Pressure") + COUNTIF($G$34:$G$533,"Steam_High_Pressure"))&gt;0),_xlpm.fluid, G55,_xlpm.fuel, K55,_xlpm.load,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5" s="609" t="str">
        <f t="shared" si="18"/>
        <v/>
      </c>
      <c r="W55" s="482"/>
      <c r="X55" s="397" t="str" cm="1">
        <f t="array" ref="X55">IFERROR(IF($D$3="","", _xlfn.XLOOKUP(1,($AR$36:$AR$53=F55)*($AS$36:$AS$53=G55), INDEX($AT$36:$BJ$53,,_xlfn.XMATCH(E55,$AT$35:$BJ$35)))),"")</f>
        <v/>
      </c>
      <c r="Y55" s="480"/>
      <c r="Z55" s="482"/>
      <c r="AA55" s="607" t="str" cm="1">
        <f t="array" ref="AA55">IFERROR(IF($D$3="", "", _xlfn.LET(_xlpm.dia, E55, _xlpm.thk, Z55, _xlpm.temp, I55,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5" s="397" t="str" cm="1">
        <f t="array" ref="AB55">IFERROR(IF($D$3="", "", _xlfn.XLOOKUP(1,($AR$57:$AR$76=Y55)*($AS$57:$AS$76=Z55), INDEX($AT$57:$BJ$76,,_xlfn.XMATCH(E55,$AT$56:$BJ$56)))),"")</f>
        <v/>
      </c>
      <c r="AC55" s="208" t="str">
        <f t="shared" si="9"/>
        <v/>
      </c>
      <c r="AD55" s="397" t="str">
        <f t="shared" si="10"/>
        <v/>
      </c>
      <c r="AE55" s="610" t="str">
        <f t="shared" si="11"/>
        <v/>
      </c>
      <c r="AF55" s="610" t="str">
        <f t="shared" si="12"/>
        <v/>
      </c>
      <c r="AG55" s="610" t="str">
        <f t="shared" si="13"/>
        <v/>
      </c>
      <c r="AH55" s="608" t="str">
        <f t="shared" si="19"/>
        <v/>
      </c>
      <c r="AI55" s="610" t="str">
        <f t="shared" si="14"/>
        <v/>
      </c>
      <c r="AM55" s="76" t="s">
        <v>175</v>
      </c>
      <c r="AN55" s="76">
        <v>50</v>
      </c>
      <c r="AO55" s="300" t="s">
        <v>198</v>
      </c>
      <c r="AR55" s="611" t="s">
        <v>199</v>
      </c>
      <c r="AS55" s="612"/>
      <c r="AT55" s="612"/>
      <c r="AU55" s="612"/>
      <c r="AV55" s="612"/>
      <c r="AW55" s="612"/>
      <c r="AX55" s="612"/>
      <c r="AY55" s="612"/>
      <c r="AZ55" s="612"/>
      <c r="BA55" s="612"/>
      <c r="BB55" s="612"/>
      <c r="BC55" s="612"/>
      <c r="BD55" s="612"/>
      <c r="BE55" s="612"/>
      <c r="BF55" s="612"/>
      <c r="BG55" s="612"/>
      <c r="BH55" s="612"/>
      <c r="BI55" s="612"/>
      <c r="BJ55" s="612"/>
      <c r="BK55" s="613"/>
    </row>
    <row r="56" spans="2:63" x14ac:dyDescent="0.25">
      <c r="B56" s="209">
        <v>23</v>
      </c>
      <c r="C56" s="480"/>
      <c r="D56" s="480"/>
      <c r="E56" s="481"/>
      <c r="F56" s="480"/>
      <c r="G56" s="480"/>
      <c r="H56" s="607" t="str">
        <f t="shared" si="0"/>
        <v/>
      </c>
      <c r="I56" s="607" t="str">
        <f t="shared" si="1"/>
        <v/>
      </c>
      <c r="J56" s="607" t="str">
        <f t="shared" si="2"/>
        <v/>
      </c>
      <c r="K56" s="208" t="str">
        <f t="shared" si="3"/>
        <v/>
      </c>
      <c r="L56" s="208" t="str">
        <f t="shared" si="4"/>
        <v/>
      </c>
      <c r="M56" s="208" t="str">
        <f t="shared" si="15"/>
        <v/>
      </c>
      <c r="N56" s="608" t="str">
        <f>IF($D$3="", "", IFERROR(VLOOKUP(L56,'PIPE INCENTIVE'!$B$4:$E$19,2,FALSE),""))</f>
        <v/>
      </c>
      <c r="O56" s="608" t="str">
        <f t="shared" si="16"/>
        <v/>
      </c>
      <c r="P56" s="208" t="str">
        <f t="shared" si="17"/>
        <v/>
      </c>
      <c r="Q56" s="208" t="str">
        <f t="shared" si="5"/>
        <v/>
      </c>
      <c r="R56" s="609" t="str">
        <f t="shared" si="6"/>
        <v/>
      </c>
      <c r="S56" s="609" t="str">
        <f t="shared" si="7"/>
        <v/>
      </c>
      <c r="T56" s="609" t="str">
        <f t="shared" si="8"/>
        <v/>
      </c>
      <c r="U56" s="609" t="str" cm="1">
        <f t="array" ref="U56">IFERROR(IF($D$3="","",_xlfn.LET(_xlpm.Mixed,AND(COUNTIF($G$34:$G$533,"Heating_Hot_Water")&gt;0,(COUNTIF($G$34:$G$533,"Steam_Low_Pressure") + COUNTIF($G$34:$G$533,"Steam_Medium_Pressure") + COUNTIF($G$34:$G$533,"Steam_High_Pressure"))&gt;0),_xlpm.fluid, G56,_xlpm.fuel, K56,_xlpm.load,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6" s="609" t="str">
        <f t="shared" si="18"/>
        <v/>
      </c>
      <c r="W56" s="482"/>
      <c r="X56" s="397" t="str" cm="1">
        <f t="array" ref="X56">IFERROR(IF($D$3="","", _xlfn.XLOOKUP(1,($AR$36:$AR$53=F56)*($AS$36:$AS$53=G56), INDEX($AT$36:$BJ$53,,_xlfn.XMATCH(E56,$AT$35:$BJ$35)))),"")</f>
        <v/>
      </c>
      <c r="Y56" s="480"/>
      <c r="Z56" s="482"/>
      <c r="AA56" s="607" t="str" cm="1">
        <f t="array" ref="AA56">IFERROR(IF($D$3="", "", _xlfn.LET(_xlpm.dia, E56, _xlpm.thk, Z56, _xlpm.temp, I56,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6" s="397" t="str" cm="1">
        <f t="array" ref="AB56">IFERROR(IF($D$3="", "", _xlfn.XLOOKUP(1,($AR$57:$AR$76=Y56)*($AS$57:$AS$76=Z56), INDEX($AT$57:$BJ$76,,_xlfn.XMATCH(E56,$AT$56:$BJ$56)))),"")</f>
        <v/>
      </c>
      <c r="AC56" s="208" t="str">
        <f t="shared" si="9"/>
        <v/>
      </c>
      <c r="AD56" s="397" t="str">
        <f t="shared" si="10"/>
        <v/>
      </c>
      <c r="AE56" s="610" t="str">
        <f t="shared" si="11"/>
        <v/>
      </c>
      <c r="AF56" s="610" t="str">
        <f t="shared" si="12"/>
        <v/>
      </c>
      <c r="AG56" s="610" t="str">
        <f t="shared" si="13"/>
        <v/>
      </c>
      <c r="AH56" s="608" t="str">
        <f t="shared" si="19"/>
        <v/>
      </c>
      <c r="AI56" s="610" t="str">
        <f t="shared" si="14"/>
        <v/>
      </c>
      <c r="AM56" s="76" t="s">
        <v>177</v>
      </c>
      <c r="AN56" s="76">
        <v>50</v>
      </c>
      <c r="AO56" s="300" t="s">
        <v>200</v>
      </c>
      <c r="AR56" s="642" t="s">
        <v>183</v>
      </c>
      <c r="AS56" s="642" t="s">
        <v>201</v>
      </c>
      <c r="AT56" s="643">
        <v>0.5</v>
      </c>
      <c r="AU56" s="643">
        <v>0.75</v>
      </c>
      <c r="AV56" s="643">
        <v>1</v>
      </c>
      <c r="AW56" s="643">
        <v>1.25</v>
      </c>
      <c r="AX56" s="643">
        <v>1.5</v>
      </c>
      <c r="AY56" s="643">
        <v>2</v>
      </c>
      <c r="AZ56" s="643">
        <v>2.5</v>
      </c>
      <c r="BA56" s="643">
        <v>3</v>
      </c>
      <c r="BB56" s="643">
        <v>3.5</v>
      </c>
      <c r="BC56" s="643">
        <v>4</v>
      </c>
      <c r="BD56" s="643">
        <v>5</v>
      </c>
      <c r="BE56" s="643">
        <v>6</v>
      </c>
      <c r="BF56" s="643">
        <v>8</v>
      </c>
      <c r="BG56" s="644">
        <v>10</v>
      </c>
      <c r="BH56" s="644">
        <v>12</v>
      </c>
      <c r="BI56" s="644">
        <v>14</v>
      </c>
      <c r="BJ56" s="644">
        <v>16</v>
      </c>
      <c r="BK56" s="619" t="s">
        <v>174</v>
      </c>
    </row>
    <row r="57" spans="2:63" x14ac:dyDescent="0.25">
      <c r="B57" s="209">
        <v>24</v>
      </c>
      <c r="C57" s="480"/>
      <c r="D57" s="480"/>
      <c r="E57" s="481"/>
      <c r="F57" s="480"/>
      <c r="G57" s="480"/>
      <c r="H57" s="607" t="str">
        <f t="shared" si="0"/>
        <v/>
      </c>
      <c r="I57" s="607" t="str">
        <f t="shared" si="1"/>
        <v/>
      </c>
      <c r="J57" s="607" t="str">
        <f t="shared" si="2"/>
        <v/>
      </c>
      <c r="K57" s="208" t="str">
        <f t="shared" si="3"/>
        <v/>
      </c>
      <c r="L57" s="208" t="str">
        <f t="shared" si="4"/>
        <v/>
      </c>
      <c r="M57" s="208" t="str">
        <f t="shared" si="15"/>
        <v/>
      </c>
      <c r="N57" s="608" t="str">
        <f>IF($D$3="", "", IFERROR(VLOOKUP(L57,'PIPE INCENTIVE'!$B$4:$E$19,2,FALSE),""))</f>
        <v/>
      </c>
      <c r="O57" s="608" t="str">
        <f t="shared" si="16"/>
        <v/>
      </c>
      <c r="P57" s="208" t="str">
        <f t="shared" si="17"/>
        <v/>
      </c>
      <c r="Q57" s="208" t="str">
        <f t="shared" si="5"/>
        <v/>
      </c>
      <c r="R57" s="609" t="str">
        <f t="shared" si="6"/>
        <v/>
      </c>
      <c r="S57" s="609" t="str">
        <f t="shared" si="7"/>
        <v/>
      </c>
      <c r="T57" s="609" t="str">
        <f t="shared" si="8"/>
        <v/>
      </c>
      <c r="U57" s="609" t="str" cm="1">
        <f t="array" ref="U57">IFERROR(IF($D$3="","",_xlfn.LET(_xlpm.Mixed,AND(COUNTIF($G$34:$G$533,"Heating_Hot_Water")&gt;0,(COUNTIF($G$34:$G$533,"Steam_Low_Pressure") + COUNTIF($G$34:$G$533,"Steam_Medium_Pressure") + COUNTIF($G$34:$G$533,"Steam_High_Pressure"))&gt;0),_xlpm.fluid, G57,_xlpm.fuel, K57,_xlpm.load,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7" s="609" t="str">
        <f t="shared" si="18"/>
        <v/>
      </c>
      <c r="W57" s="482"/>
      <c r="X57" s="397" t="str" cm="1">
        <f t="array" ref="X57">IFERROR(IF($D$3="","", _xlfn.XLOOKUP(1,($AR$36:$AR$53=F57)*($AS$36:$AS$53=G57), INDEX($AT$36:$BJ$53,,_xlfn.XMATCH(E57,$AT$35:$BJ$35)))),"")</f>
        <v/>
      </c>
      <c r="Y57" s="480"/>
      <c r="Z57" s="482"/>
      <c r="AA57" s="607" t="str" cm="1">
        <f t="array" ref="AA57">IFERROR(IF($D$3="", "", _xlfn.LET(_xlpm.dia, E57, _xlpm.thk, Z57, _xlpm.temp, I57,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7" s="397" t="str" cm="1">
        <f t="array" ref="AB57">IFERROR(IF($D$3="", "", _xlfn.XLOOKUP(1,($AR$57:$AR$76=Y57)*($AS$57:$AS$76=Z57), INDEX($AT$57:$BJ$76,,_xlfn.XMATCH(E57,$AT$56:$BJ$56)))),"")</f>
        <v/>
      </c>
      <c r="AC57" s="208" t="str">
        <f t="shared" si="9"/>
        <v/>
      </c>
      <c r="AD57" s="397" t="str">
        <f t="shared" si="10"/>
        <v/>
      </c>
      <c r="AE57" s="610" t="str">
        <f t="shared" si="11"/>
        <v/>
      </c>
      <c r="AF57" s="610" t="str">
        <f t="shared" si="12"/>
        <v/>
      </c>
      <c r="AG57" s="610" t="str">
        <f t="shared" si="13"/>
        <v/>
      </c>
      <c r="AH57" s="608" t="str">
        <f t="shared" si="19"/>
        <v/>
      </c>
      <c r="AI57" s="610" t="str">
        <f t="shared" si="14"/>
        <v/>
      </c>
      <c r="AM57" s="76" t="s">
        <v>179</v>
      </c>
      <c r="AN57" s="76">
        <v>50</v>
      </c>
      <c r="AO57" s="300" t="s">
        <v>200</v>
      </c>
      <c r="AR57" s="621" t="s">
        <v>186</v>
      </c>
      <c r="AS57" s="645">
        <v>0.5</v>
      </c>
      <c r="AT57" s="646">
        <v>0.12</v>
      </c>
      <c r="AU57" s="646">
        <v>0.14000000000000001</v>
      </c>
      <c r="AV57" s="646">
        <v>0.16</v>
      </c>
      <c r="AW57" s="646">
        <v>0.19</v>
      </c>
      <c r="AX57" s="646">
        <v>0.21</v>
      </c>
      <c r="AY57" s="646">
        <v>0.25</v>
      </c>
      <c r="AZ57" s="646">
        <v>0.28999999999999998</v>
      </c>
      <c r="BA57" s="646">
        <v>0.34</v>
      </c>
      <c r="BB57" s="646">
        <v>0.38</v>
      </c>
      <c r="BC57" s="646">
        <v>0.42</v>
      </c>
      <c r="BD57" s="646">
        <v>0.51</v>
      </c>
      <c r="BE57" s="646">
        <v>0.59</v>
      </c>
      <c r="BF57" s="646">
        <v>0.75</v>
      </c>
      <c r="BG57" s="647" cm="1">
        <f t="array" ref="BG57">EXP(_xlfn.FORECAST.LINEAR(LN(BG$56), LN($AT57:$BF57), LN($AT$56:$BF$56)))</f>
        <v>0.7938274545674131</v>
      </c>
      <c r="BH57" s="647" cm="1">
        <f t="array" ref="BH57">EXP(_xlfn.FORECAST.LINEAR(LN(BH$56), LN($AT57:$BF57), LN($AT$56:$BF$56)))</f>
        <v>0.89805060401763381</v>
      </c>
      <c r="BI57" s="647" cm="1">
        <f t="array" ref="BI57">EXP(_xlfn.FORECAST.LINEAR(LN(BI$56), LN($AT57:$BF57), LN($AT$56:$BF$56)))</f>
        <v>0.99677598924741473</v>
      </c>
      <c r="BJ57" s="647" cm="1">
        <f t="array" ref="BJ57">EXP(_xlfn.FORECAST.LINEAR(LN(BJ$56), LN($AT57:$BF57), LN($AT$56:$BF$56)))</f>
        <v>1.0910267657338184</v>
      </c>
      <c r="BK57" s="626" t="s">
        <v>202</v>
      </c>
    </row>
    <row r="58" spans="2:63" x14ac:dyDescent="0.25">
      <c r="B58" s="209">
        <v>25</v>
      </c>
      <c r="C58" s="480"/>
      <c r="D58" s="480"/>
      <c r="E58" s="481"/>
      <c r="F58" s="480"/>
      <c r="G58" s="480"/>
      <c r="H58" s="607" t="str">
        <f t="shared" si="0"/>
        <v/>
      </c>
      <c r="I58" s="607" t="str">
        <f t="shared" si="1"/>
        <v/>
      </c>
      <c r="J58" s="607" t="str">
        <f t="shared" si="2"/>
        <v/>
      </c>
      <c r="K58" s="208" t="str">
        <f t="shared" si="3"/>
        <v/>
      </c>
      <c r="L58" s="208" t="str">
        <f t="shared" si="4"/>
        <v/>
      </c>
      <c r="M58" s="208" t="str">
        <f t="shared" si="15"/>
        <v/>
      </c>
      <c r="N58" s="608" t="str">
        <f>IF($D$3="", "", IFERROR(VLOOKUP(L58,'PIPE INCENTIVE'!$B$4:$E$19,2,FALSE),""))</f>
        <v/>
      </c>
      <c r="O58" s="608" t="str">
        <f t="shared" si="16"/>
        <v/>
      </c>
      <c r="P58" s="208" t="str">
        <f t="shared" si="17"/>
        <v/>
      </c>
      <c r="Q58" s="208" t="str">
        <f t="shared" si="5"/>
        <v/>
      </c>
      <c r="R58" s="609" t="str">
        <f t="shared" si="6"/>
        <v/>
      </c>
      <c r="S58" s="609" t="str">
        <f t="shared" si="7"/>
        <v/>
      </c>
      <c r="T58" s="609" t="str">
        <f t="shared" si="8"/>
        <v/>
      </c>
      <c r="U58" s="609" t="str" cm="1">
        <f t="array" ref="U58">IFERROR(IF($D$3="","",_xlfn.LET(_xlpm.Mixed,AND(COUNTIF($G$34:$G$533,"Heating_Hot_Water")&gt;0,(COUNTIF($G$34:$G$533,"Steam_Low_Pressure") + COUNTIF($G$34:$G$533,"Steam_Medium_Pressure") + COUNTIF($G$34:$G$533,"Steam_High_Pressure"))&gt;0),_xlpm.fluid, G58,_xlpm.fuel, K58,_xlpm.load,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8" s="609" t="str">
        <f t="shared" si="18"/>
        <v/>
      </c>
      <c r="W58" s="482"/>
      <c r="X58" s="397" t="str" cm="1">
        <f t="array" ref="X58">IFERROR(IF($D$3="","", _xlfn.XLOOKUP(1,($AR$36:$AR$53=F58)*($AS$36:$AS$53=G58), INDEX($AT$36:$BJ$53,,_xlfn.XMATCH(E58,$AT$35:$BJ$35)))),"")</f>
        <v/>
      </c>
      <c r="Y58" s="480"/>
      <c r="Z58" s="482"/>
      <c r="AA58" s="607" t="str" cm="1">
        <f t="array" ref="AA58">IFERROR(IF($D$3="", "", _xlfn.LET(_xlpm.dia, E58, _xlpm.thk, Z58, _xlpm.temp, I58,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8" s="397" t="str" cm="1">
        <f t="array" ref="AB58">IFERROR(IF($D$3="", "", _xlfn.XLOOKUP(1,($AR$57:$AR$76=Y58)*($AS$57:$AS$76=Z58), INDEX($AT$57:$BJ$76,,_xlfn.XMATCH(E58,$AT$56:$BJ$56)))),"")</f>
        <v/>
      </c>
      <c r="AC58" s="208" t="str">
        <f t="shared" si="9"/>
        <v/>
      </c>
      <c r="AD58" s="397" t="str">
        <f t="shared" si="10"/>
        <v/>
      </c>
      <c r="AE58" s="610" t="str">
        <f t="shared" si="11"/>
        <v/>
      </c>
      <c r="AF58" s="610" t="str">
        <f t="shared" si="12"/>
        <v/>
      </c>
      <c r="AG58" s="610" t="str">
        <f t="shared" si="13"/>
        <v/>
      </c>
      <c r="AH58" s="608" t="str">
        <f t="shared" si="19"/>
        <v/>
      </c>
      <c r="AI58" s="610" t="str">
        <f t="shared" si="14"/>
        <v/>
      </c>
      <c r="AM58" s="76" t="s">
        <v>178</v>
      </c>
      <c r="AN58" s="76">
        <v>70</v>
      </c>
      <c r="AO58" s="300" t="s">
        <v>200</v>
      </c>
      <c r="AR58" s="627" t="s">
        <v>186</v>
      </c>
      <c r="AS58" s="648">
        <v>1</v>
      </c>
      <c r="AT58" s="649">
        <v>0.09</v>
      </c>
      <c r="AU58" s="649">
        <v>0.1</v>
      </c>
      <c r="AV58" s="649">
        <v>0.12</v>
      </c>
      <c r="AW58" s="649">
        <v>0.14000000000000001</v>
      </c>
      <c r="AX58" s="649">
        <v>0.15</v>
      </c>
      <c r="AY58" s="649">
        <v>0.17</v>
      </c>
      <c r="AZ58" s="649">
        <v>0.2</v>
      </c>
      <c r="BA58" s="649">
        <v>0.23</v>
      </c>
      <c r="BB58" s="649">
        <v>0.26</v>
      </c>
      <c r="BC58" s="649">
        <v>0.28000000000000003</v>
      </c>
      <c r="BD58" s="649">
        <v>0.33</v>
      </c>
      <c r="BE58" s="649">
        <v>0.38</v>
      </c>
      <c r="BF58" s="649">
        <v>0.48</v>
      </c>
      <c r="BG58" s="647" cm="1">
        <f t="array" ref="BG58">EXP(_xlfn.FORECAST.LINEAR(LN(BG$56), LN($AT58:$BF58), LN($AT$56:$BF$56)))</f>
        <v>0.49981915526778192</v>
      </c>
      <c r="BH58" s="647" cm="1">
        <f t="array" ref="BH58">EXP(_xlfn.FORECAST.LINEAR(LN(BH$56), LN($AT58:$BF58), LN($AT$56:$BF$56)))</f>
        <v>0.55908900037232967</v>
      </c>
      <c r="BI58" s="647" cm="1">
        <f t="array" ref="BI58">EXP(_xlfn.FORECAST.LINEAR(LN(BI$56), LN($AT58:$BF58), LN($AT$56:$BF$56)))</f>
        <v>0.6146518589044202</v>
      </c>
      <c r="BJ58" s="647" cm="1">
        <f t="array" ref="BJ58">EXP(_xlfn.FORECAST.LINEAR(LN(BJ$56), LN($AT58:$BF58), LN($AT$56:$BF$56)))</f>
        <v>0.66722672956922857</v>
      </c>
      <c r="BK58" s="632" t="s">
        <v>202</v>
      </c>
    </row>
    <row r="59" spans="2:63" x14ac:dyDescent="0.25">
      <c r="B59" s="209">
        <v>26</v>
      </c>
      <c r="C59" s="480"/>
      <c r="D59" s="480"/>
      <c r="E59" s="481"/>
      <c r="F59" s="480"/>
      <c r="G59" s="480"/>
      <c r="H59" s="607" t="str">
        <f t="shared" si="0"/>
        <v/>
      </c>
      <c r="I59" s="607" t="str">
        <f t="shared" si="1"/>
        <v/>
      </c>
      <c r="J59" s="607" t="str">
        <f t="shared" si="2"/>
        <v/>
      </c>
      <c r="K59" s="208" t="str">
        <f t="shared" si="3"/>
        <v/>
      </c>
      <c r="L59" s="208" t="str">
        <f t="shared" si="4"/>
        <v/>
      </c>
      <c r="M59" s="208" t="str">
        <f t="shared" si="15"/>
        <v/>
      </c>
      <c r="N59" s="608" t="str">
        <f>IF($D$3="", "", IFERROR(VLOOKUP(L59,'PIPE INCENTIVE'!$B$4:$E$19,2,FALSE),""))</f>
        <v/>
      </c>
      <c r="O59" s="608" t="str">
        <f t="shared" si="16"/>
        <v/>
      </c>
      <c r="P59" s="208" t="str">
        <f t="shared" si="17"/>
        <v/>
      </c>
      <c r="Q59" s="208" t="str">
        <f t="shared" si="5"/>
        <v/>
      </c>
      <c r="R59" s="609" t="str">
        <f t="shared" si="6"/>
        <v/>
      </c>
      <c r="S59" s="609" t="str">
        <f t="shared" si="7"/>
        <v/>
      </c>
      <c r="T59" s="609" t="str">
        <f t="shared" si="8"/>
        <v/>
      </c>
      <c r="U59" s="609" t="str" cm="1">
        <f t="array" ref="U59">IFERROR(IF($D$3="","",_xlfn.LET(_xlpm.Mixed,AND(COUNTIF($G$34:$G$533,"Heating_Hot_Water")&gt;0,(COUNTIF($G$34:$G$533,"Steam_Low_Pressure") + COUNTIF($G$34:$G$533,"Steam_Medium_Pressure") + COUNTIF($G$34:$G$533,"Steam_High_Pressure"))&gt;0),_xlpm.fluid, G59,_xlpm.fuel, K59,_xlpm.load,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9" s="609" t="str">
        <f t="shared" si="18"/>
        <v/>
      </c>
      <c r="W59" s="482"/>
      <c r="X59" s="397" t="str" cm="1">
        <f t="array" ref="X59">IFERROR(IF($D$3="","", _xlfn.XLOOKUP(1,($AR$36:$AR$53=F59)*($AS$36:$AS$53=G59), INDEX($AT$36:$BJ$53,,_xlfn.XMATCH(E59,$AT$35:$BJ$35)))),"")</f>
        <v/>
      </c>
      <c r="Y59" s="480"/>
      <c r="Z59" s="482"/>
      <c r="AA59" s="607" t="str" cm="1">
        <f t="array" ref="AA59">IFERROR(IF($D$3="", "", _xlfn.LET(_xlpm.dia, E59, _xlpm.thk, Z59, _xlpm.temp, I59,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9" s="397" t="str" cm="1">
        <f t="array" ref="AB59">IFERROR(IF($D$3="", "", _xlfn.XLOOKUP(1,($AR$57:$AR$76=Y59)*($AS$57:$AS$76=Z59), INDEX($AT$57:$BJ$76,,_xlfn.XMATCH(E59,$AT$56:$BJ$56)))),"")</f>
        <v/>
      </c>
      <c r="AC59" s="208" t="str">
        <f t="shared" si="9"/>
        <v/>
      </c>
      <c r="AD59" s="397" t="str">
        <f t="shared" si="10"/>
        <v/>
      </c>
      <c r="AE59" s="610" t="str">
        <f t="shared" si="11"/>
        <v/>
      </c>
      <c r="AF59" s="610" t="str">
        <f t="shared" si="12"/>
        <v/>
      </c>
      <c r="AG59" s="610" t="str">
        <f t="shared" si="13"/>
        <v/>
      </c>
      <c r="AH59" s="608" t="str">
        <f t="shared" si="19"/>
        <v/>
      </c>
      <c r="AI59" s="610" t="str">
        <f t="shared" si="14"/>
        <v/>
      </c>
      <c r="AM59" s="76" t="s">
        <v>180</v>
      </c>
      <c r="AN59" s="76">
        <v>70</v>
      </c>
      <c r="AO59" s="300" t="s">
        <v>200</v>
      </c>
      <c r="AR59" s="627" t="s">
        <v>186</v>
      </c>
      <c r="AS59" s="648">
        <v>1.5</v>
      </c>
      <c r="AT59" s="649">
        <v>0.08</v>
      </c>
      <c r="AU59" s="649">
        <v>0.09</v>
      </c>
      <c r="AV59" s="649">
        <v>0.1</v>
      </c>
      <c r="AW59" s="649">
        <v>0.11</v>
      </c>
      <c r="AX59" s="649">
        <v>0.12</v>
      </c>
      <c r="AY59" s="649">
        <v>0.14000000000000001</v>
      </c>
      <c r="AZ59" s="649">
        <v>0.16</v>
      </c>
      <c r="BA59" s="649">
        <v>0.18</v>
      </c>
      <c r="BB59" s="649">
        <v>0.2</v>
      </c>
      <c r="BC59" s="649">
        <v>0.22</v>
      </c>
      <c r="BD59" s="649">
        <v>0.26</v>
      </c>
      <c r="BE59" s="649">
        <v>0.28999999999999998</v>
      </c>
      <c r="BF59" s="649">
        <v>0.36</v>
      </c>
      <c r="BG59" s="647" cm="1">
        <f t="array" ref="BG59">EXP(_xlfn.FORECAST.LINEAR(LN(BG$56), LN($AT59:$BF59), LN($AT$56:$BF$56)))</f>
        <v>0.36881300450559462</v>
      </c>
      <c r="BH59" s="647" cm="1">
        <f t="array" ref="BH59">EXP(_xlfn.FORECAST.LINEAR(LN(BH$56), LN($AT59:$BF59), LN($AT$56:$BF$56)))</f>
        <v>0.40824356484641627</v>
      </c>
      <c r="BI59" s="647" cm="1">
        <f t="array" ref="BI59">EXP(_xlfn.FORECAST.LINEAR(LN(BI$56), LN($AT59:$BF59), LN($AT$56:$BF$56)))</f>
        <v>0.444852935305939</v>
      </c>
      <c r="BJ59" s="647" cm="1">
        <f t="array" ref="BJ59">EXP(_xlfn.FORECAST.LINEAR(LN(BJ$56), LN($AT59:$BF59), LN($AT$56:$BF$56)))</f>
        <v>0.47920869476090677</v>
      </c>
      <c r="BK59" s="632" t="s">
        <v>202</v>
      </c>
    </row>
    <row r="60" spans="2:63" x14ac:dyDescent="0.25">
      <c r="B60" s="209">
        <v>27</v>
      </c>
      <c r="C60" s="480"/>
      <c r="D60" s="480"/>
      <c r="E60" s="481"/>
      <c r="F60" s="480"/>
      <c r="G60" s="480"/>
      <c r="H60" s="607" t="str">
        <f t="shared" si="0"/>
        <v/>
      </c>
      <c r="I60" s="607" t="str">
        <f t="shared" si="1"/>
        <v/>
      </c>
      <c r="J60" s="607" t="str">
        <f t="shared" si="2"/>
        <v/>
      </c>
      <c r="K60" s="208" t="str">
        <f t="shared" si="3"/>
        <v/>
      </c>
      <c r="L60" s="208" t="str">
        <f t="shared" si="4"/>
        <v/>
      </c>
      <c r="M60" s="208" t="str">
        <f t="shared" si="15"/>
        <v/>
      </c>
      <c r="N60" s="608" t="str">
        <f>IF($D$3="", "", IFERROR(VLOOKUP(L60,'PIPE INCENTIVE'!$B$4:$E$19,2,FALSE),""))</f>
        <v/>
      </c>
      <c r="O60" s="608" t="str">
        <f t="shared" si="16"/>
        <v/>
      </c>
      <c r="P60" s="208" t="str">
        <f t="shared" si="17"/>
        <v/>
      </c>
      <c r="Q60" s="208" t="str">
        <f t="shared" si="5"/>
        <v/>
      </c>
      <c r="R60" s="609" t="str">
        <f t="shared" si="6"/>
        <v/>
      </c>
      <c r="S60" s="609" t="str">
        <f t="shared" si="7"/>
        <v/>
      </c>
      <c r="T60" s="609" t="str">
        <f t="shared" si="8"/>
        <v/>
      </c>
      <c r="U60" s="609" t="str" cm="1">
        <f t="array" ref="U60">IFERROR(IF($D$3="","",_xlfn.LET(_xlpm.Mixed,AND(COUNTIF($G$34:$G$533,"Heating_Hot_Water")&gt;0,(COUNTIF($G$34:$G$533,"Steam_Low_Pressure") + COUNTIF($G$34:$G$533,"Steam_Medium_Pressure") + COUNTIF($G$34:$G$533,"Steam_High_Pressure"))&gt;0),_xlpm.fluid, G60,_xlpm.fuel, K60,_xlpm.load,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0" s="609" t="str">
        <f t="shared" si="18"/>
        <v/>
      </c>
      <c r="W60" s="482"/>
      <c r="X60" s="397" t="str" cm="1">
        <f t="array" ref="X60">IFERROR(IF($D$3="","", _xlfn.XLOOKUP(1,($AR$36:$AR$53=F60)*($AS$36:$AS$53=G60), INDEX($AT$36:$BJ$53,,_xlfn.XMATCH(E60,$AT$35:$BJ$35)))),"")</f>
        <v/>
      </c>
      <c r="Y60" s="480"/>
      <c r="Z60" s="482"/>
      <c r="AA60" s="607" t="str" cm="1">
        <f t="array" ref="AA60">IFERROR(IF($D$3="", "", _xlfn.LET(_xlpm.dia, E60, _xlpm.thk, Z60, _xlpm.temp, I60,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0" s="397" t="str" cm="1">
        <f t="array" ref="AB60">IFERROR(IF($D$3="", "", _xlfn.XLOOKUP(1,($AR$57:$AR$76=Y60)*($AS$57:$AS$76=Z60), INDEX($AT$57:$BJ$76,,_xlfn.XMATCH(E60,$AT$56:$BJ$56)))),"")</f>
        <v/>
      </c>
      <c r="AC60" s="208" t="str">
        <f t="shared" si="9"/>
        <v/>
      </c>
      <c r="AD60" s="397" t="str">
        <f t="shared" si="10"/>
        <v/>
      </c>
      <c r="AE60" s="610" t="str">
        <f t="shared" si="11"/>
        <v/>
      </c>
      <c r="AF60" s="610" t="str">
        <f t="shared" si="12"/>
        <v/>
      </c>
      <c r="AG60" s="610" t="str">
        <f t="shared" si="13"/>
        <v/>
      </c>
      <c r="AH60" s="608" t="str">
        <f t="shared" si="19"/>
        <v/>
      </c>
      <c r="AI60" s="610" t="str">
        <f t="shared" si="14"/>
        <v/>
      </c>
      <c r="AM60" s="76" t="s">
        <v>181</v>
      </c>
      <c r="AN60" s="76">
        <v>50</v>
      </c>
      <c r="AO60" s="300" t="s">
        <v>200</v>
      </c>
      <c r="AR60" s="627" t="s">
        <v>186</v>
      </c>
      <c r="AS60" s="648">
        <v>2</v>
      </c>
      <c r="AT60" s="649">
        <v>7.0000000000000007E-2</v>
      </c>
      <c r="AU60" s="649">
        <v>0.08</v>
      </c>
      <c r="AV60" s="649">
        <v>0.09</v>
      </c>
      <c r="AW60" s="649">
        <v>0.1</v>
      </c>
      <c r="AX60" s="649">
        <v>0.1</v>
      </c>
      <c r="AY60" s="649">
        <v>0.12</v>
      </c>
      <c r="AZ60" s="649">
        <v>0.13</v>
      </c>
      <c r="BA60" s="649">
        <v>0.15</v>
      </c>
      <c r="BB60" s="649">
        <v>0.17</v>
      </c>
      <c r="BC60" s="649">
        <v>0.18</v>
      </c>
      <c r="BD60" s="649">
        <v>0.21</v>
      </c>
      <c r="BE60" s="649">
        <v>0.24</v>
      </c>
      <c r="BF60" s="649">
        <v>0.3</v>
      </c>
      <c r="BG60" s="647" cm="1">
        <f t="array" ref="BG60">EXP(_xlfn.FORECAST.LINEAR(LN(BG$56), LN($AT60:$BF60), LN($AT$56:$BF$56)))</f>
        <v>0.29720417901520851</v>
      </c>
      <c r="BH60" s="647" cm="1">
        <f t="array" ref="BH60">EXP(_xlfn.FORECAST.LINEAR(LN(BH$56), LN($AT60:$BF60), LN($AT$56:$BF$56)))</f>
        <v>0.32689076014941992</v>
      </c>
      <c r="BI60" s="647" cm="1">
        <f t="array" ref="BI60">EXP(_xlfn.FORECAST.LINEAR(LN(BI$56), LN($AT60:$BF60), LN($AT$56:$BF$56)))</f>
        <v>0.35429225242596157</v>
      </c>
      <c r="BJ60" s="647" cm="1">
        <f t="array" ref="BJ60">EXP(_xlfn.FORECAST.LINEAR(LN(BJ$56), LN($AT60:$BF60), LN($AT$56:$BF$56)))</f>
        <v>0.37987833654293529</v>
      </c>
      <c r="BK60" s="632" t="s">
        <v>202</v>
      </c>
    </row>
    <row r="61" spans="2:63" x14ac:dyDescent="0.25">
      <c r="B61" s="209">
        <v>28</v>
      </c>
      <c r="C61" s="480"/>
      <c r="D61" s="480"/>
      <c r="E61" s="481"/>
      <c r="F61" s="480"/>
      <c r="G61" s="480"/>
      <c r="H61" s="607" t="str">
        <f t="shared" si="0"/>
        <v/>
      </c>
      <c r="I61" s="607" t="str">
        <f t="shared" si="1"/>
        <v/>
      </c>
      <c r="J61" s="607" t="str">
        <f t="shared" si="2"/>
        <v/>
      </c>
      <c r="K61" s="208" t="str">
        <f t="shared" si="3"/>
        <v/>
      </c>
      <c r="L61" s="208" t="str">
        <f t="shared" si="4"/>
        <v/>
      </c>
      <c r="M61" s="208" t="str">
        <f t="shared" si="15"/>
        <v/>
      </c>
      <c r="N61" s="608" t="str">
        <f>IF($D$3="", "", IFERROR(VLOOKUP(L61,'PIPE INCENTIVE'!$B$4:$E$19,2,FALSE),""))</f>
        <v/>
      </c>
      <c r="O61" s="608" t="str">
        <f t="shared" si="16"/>
        <v/>
      </c>
      <c r="P61" s="208" t="str">
        <f t="shared" si="17"/>
        <v/>
      </c>
      <c r="Q61" s="208" t="str">
        <f t="shared" si="5"/>
        <v/>
      </c>
      <c r="R61" s="609" t="str">
        <f t="shared" si="6"/>
        <v/>
      </c>
      <c r="S61" s="609" t="str">
        <f t="shared" si="7"/>
        <v/>
      </c>
      <c r="T61" s="609" t="str">
        <f t="shared" si="8"/>
        <v/>
      </c>
      <c r="U61" s="609" t="str" cm="1">
        <f t="array" ref="U61">IFERROR(IF($D$3="","",_xlfn.LET(_xlpm.Mixed,AND(COUNTIF($G$34:$G$533,"Heating_Hot_Water")&gt;0,(COUNTIF($G$34:$G$533,"Steam_Low_Pressure") + COUNTIF($G$34:$G$533,"Steam_Medium_Pressure") + COUNTIF($G$34:$G$533,"Steam_High_Pressure"))&gt;0),_xlpm.fluid, G61,_xlpm.fuel, K61,_xlpm.load,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1" s="609" t="str">
        <f t="shared" si="18"/>
        <v/>
      </c>
      <c r="W61" s="482"/>
      <c r="X61" s="397" t="str" cm="1">
        <f t="array" ref="X61">IFERROR(IF($D$3="","", _xlfn.XLOOKUP(1,($AR$36:$AR$53=F61)*($AS$36:$AS$53=G61), INDEX($AT$36:$BJ$53,,_xlfn.XMATCH(E61,$AT$35:$BJ$35)))),"")</f>
        <v/>
      </c>
      <c r="Y61" s="480"/>
      <c r="Z61" s="482"/>
      <c r="AA61" s="607" t="str" cm="1">
        <f t="array" ref="AA61">IFERROR(IF($D$3="", "", _xlfn.LET(_xlpm.dia, E61, _xlpm.thk, Z61, _xlpm.temp, I61,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1" s="397" t="str" cm="1">
        <f t="array" ref="AB61">IFERROR(IF($D$3="", "", _xlfn.XLOOKUP(1,($AR$57:$AR$76=Y61)*($AS$57:$AS$76=Z61), INDEX($AT$57:$BJ$76,,_xlfn.XMATCH(E61,$AT$56:$BJ$56)))),"")</f>
        <v/>
      </c>
      <c r="AC61" s="208" t="str">
        <f t="shared" si="9"/>
        <v/>
      </c>
      <c r="AD61" s="397" t="str">
        <f t="shared" si="10"/>
        <v/>
      </c>
      <c r="AE61" s="610" t="str">
        <f t="shared" si="11"/>
        <v/>
      </c>
      <c r="AF61" s="610" t="str">
        <f t="shared" si="12"/>
        <v/>
      </c>
      <c r="AG61" s="610" t="str">
        <f t="shared" si="13"/>
        <v/>
      </c>
      <c r="AH61" s="608" t="str">
        <f t="shared" si="19"/>
        <v/>
      </c>
      <c r="AI61" s="610" t="str">
        <f t="shared" si="14"/>
        <v/>
      </c>
      <c r="AR61" s="627" t="s">
        <v>186</v>
      </c>
      <c r="AS61" s="648">
        <v>2.5</v>
      </c>
      <c r="AT61" s="649">
        <v>0.06</v>
      </c>
      <c r="AU61" s="649">
        <v>7.0000000000000007E-2</v>
      </c>
      <c r="AV61" s="649">
        <v>0.08</v>
      </c>
      <c r="AW61" s="649">
        <v>0.09</v>
      </c>
      <c r="AX61" s="649">
        <v>0.09</v>
      </c>
      <c r="AY61" s="649">
        <v>0.11</v>
      </c>
      <c r="AZ61" s="649">
        <v>0.12</v>
      </c>
      <c r="BA61" s="649">
        <v>0.13</v>
      </c>
      <c r="BB61" s="649">
        <v>0.15</v>
      </c>
      <c r="BC61" s="649">
        <v>0.16</v>
      </c>
      <c r="BD61" s="649">
        <v>0.18</v>
      </c>
      <c r="BE61" s="649">
        <v>0.21</v>
      </c>
      <c r="BF61" s="649">
        <v>0.26</v>
      </c>
      <c r="BG61" s="647" cm="1">
        <f t="array" ref="BG61">EXP(_xlfn.FORECAST.LINEAR(LN(BG$56), LN($AT61:$BF61), LN($AT$56:$BF$56)))</f>
        <v>0.2615133383770431</v>
      </c>
      <c r="BH61" s="647" cm="1">
        <f t="array" ref="BH61">EXP(_xlfn.FORECAST.LINEAR(LN(BH$56), LN($AT61:$BF61), LN($AT$56:$BF$56)))</f>
        <v>0.28746495935594418</v>
      </c>
      <c r="BI61" s="647" cm="1">
        <f t="array" ref="BI61">EXP(_xlfn.FORECAST.LINEAR(LN(BI$56), LN($AT61:$BF61), LN($AT$56:$BF$56)))</f>
        <v>0.31140595806695953</v>
      </c>
      <c r="BJ61" s="647" cm="1">
        <f t="array" ref="BJ61">EXP(_xlfn.FORECAST.LINEAR(LN(BJ$56), LN($AT61:$BF61), LN($AT$56:$BF$56)))</f>
        <v>0.3337504117493702</v>
      </c>
      <c r="BK61" s="632" t="s">
        <v>202</v>
      </c>
    </row>
    <row r="62" spans="2:63" x14ac:dyDescent="0.25">
      <c r="B62" s="209">
        <v>29</v>
      </c>
      <c r="C62" s="480"/>
      <c r="D62" s="480"/>
      <c r="E62" s="481"/>
      <c r="F62" s="480"/>
      <c r="G62" s="480"/>
      <c r="H62" s="607" t="str">
        <f t="shared" si="0"/>
        <v/>
      </c>
      <c r="I62" s="607" t="str">
        <f t="shared" si="1"/>
        <v/>
      </c>
      <c r="J62" s="607" t="str">
        <f t="shared" si="2"/>
        <v/>
      </c>
      <c r="K62" s="208" t="str">
        <f t="shared" si="3"/>
        <v/>
      </c>
      <c r="L62" s="208" t="str">
        <f t="shared" si="4"/>
        <v/>
      </c>
      <c r="M62" s="208" t="str">
        <f t="shared" si="15"/>
        <v/>
      </c>
      <c r="N62" s="608" t="str">
        <f>IF($D$3="", "", IFERROR(VLOOKUP(L62,'PIPE INCENTIVE'!$B$4:$E$19,2,FALSE),""))</f>
        <v/>
      </c>
      <c r="O62" s="608" t="str">
        <f t="shared" si="16"/>
        <v/>
      </c>
      <c r="P62" s="208" t="str">
        <f t="shared" si="17"/>
        <v/>
      </c>
      <c r="Q62" s="208" t="str">
        <f t="shared" si="5"/>
        <v/>
      </c>
      <c r="R62" s="609" t="str">
        <f t="shared" si="6"/>
        <v/>
      </c>
      <c r="S62" s="609" t="str">
        <f t="shared" si="7"/>
        <v/>
      </c>
      <c r="T62" s="609" t="str">
        <f t="shared" si="8"/>
        <v/>
      </c>
      <c r="U62" s="609" t="str" cm="1">
        <f t="array" ref="U62">IFERROR(IF($D$3="","",_xlfn.LET(_xlpm.Mixed,AND(COUNTIF($G$34:$G$533,"Heating_Hot_Water")&gt;0,(COUNTIF($G$34:$G$533,"Steam_Low_Pressure") + COUNTIF($G$34:$G$533,"Steam_Medium_Pressure") + COUNTIF($G$34:$G$533,"Steam_High_Pressure"))&gt;0),_xlpm.fluid, G62,_xlpm.fuel, K62,_xlpm.load,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2" s="609" t="str">
        <f t="shared" si="18"/>
        <v/>
      </c>
      <c r="W62" s="482"/>
      <c r="X62" s="397" t="str" cm="1">
        <f t="array" ref="X62">IFERROR(IF($D$3="","", _xlfn.XLOOKUP(1,($AR$36:$AR$53=F62)*($AS$36:$AS$53=G62), INDEX($AT$36:$BJ$53,,_xlfn.XMATCH(E62,$AT$35:$BJ$35)))),"")</f>
        <v/>
      </c>
      <c r="Y62" s="480"/>
      <c r="Z62" s="482"/>
      <c r="AA62" s="607" t="str" cm="1">
        <f t="array" ref="AA62">IFERROR(IF($D$3="", "", _xlfn.LET(_xlpm.dia, E62, _xlpm.thk, Z62, _xlpm.temp, I62,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2" s="397" t="str" cm="1">
        <f t="array" ref="AB62">IFERROR(IF($D$3="", "", _xlfn.XLOOKUP(1,($AR$57:$AR$76=Y62)*($AS$57:$AS$76=Z62), INDEX($AT$57:$BJ$76,,_xlfn.XMATCH(E62,$AT$56:$BJ$56)))),"")</f>
        <v/>
      </c>
      <c r="AC62" s="208" t="str">
        <f t="shared" si="9"/>
        <v/>
      </c>
      <c r="AD62" s="397" t="str">
        <f t="shared" si="10"/>
        <v/>
      </c>
      <c r="AE62" s="610" t="str">
        <f t="shared" si="11"/>
        <v/>
      </c>
      <c r="AF62" s="610" t="str">
        <f t="shared" si="12"/>
        <v/>
      </c>
      <c r="AG62" s="610" t="str">
        <f t="shared" si="13"/>
        <v/>
      </c>
      <c r="AH62" s="608" t="str">
        <f t="shared" si="19"/>
        <v/>
      </c>
      <c r="AI62" s="610" t="str">
        <f t="shared" si="14"/>
        <v/>
      </c>
      <c r="AM62" s="640" t="s">
        <v>203</v>
      </c>
      <c r="AN62" s="650"/>
      <c r="AO62" s="383"/>
      <c r="AR62" s="627" t="s">
        <v>186</v>
      </c>
      <c r="AS62" s="648">
        <v>3</v>
      </c>
      <c r="AT62" s="649">
        <v>0.06</v>
      </c>
      <c r="AU62" s="649">
        <v>7.0000000000000007E-2</v>
      </c>
      <c r="AV62" s="649">
        <v>7.0000000000000007E-2</v>
      </c>
      <c r="AW62" s="649">
        <v>0.08</v>
      </c>
      <c r="AX62" s="649">
        <v>0.09</v>
      </c>
      <c r="AY62" s="649">
        <v>0.1</v>
      </c>
      <c r="AZ62" s="649">
        <v>0.11</v>
      </c>
      <c r="BA62" s="649">
        <v>0.12</v>
      </c>
      <c r="BB62" s="649">
        <v>0.13</v>
      </c>
      <c r="BC62" s="649">
        <v>0.14000000000000001</v>
      </c>
      <c r="BD62" s="649">
        <v>0.16</v>
      </c>
      <c r="BE62" s="649">
        <v>0.19</v>
      </c>
      <c r="BF62" s="649">
        <v>0.23</v>
      </c>
      <c r="BG62" s="647" cm="1">
        <f t="array" ref="BG62">EXP(_xlfn.FORECAST.LINEAR(LN(BG$56), LN($AT62:$BF62), LN($AT$56:$BF$56)))</f>
        <v>0.22588068017935309</v>
      </c>
      <c r="BH62" s="647" cm="1">
        <f t="array" ref="BH62">EXP(_xlfn.FORECAST.LINEAR(LN(BH$56), LN($AT62:$BF62), LN($AT$56:$BF$56)))</f>
        <v>0.24650332399717545</v>
      </c>
      <c r="BI62" s="647" cm="1">
        <f t="array" ref="BI62">EXP(_xlfn.FORECAST.LINEAR(LN(BI$56), LN($AT62:$BF62), LN($AT$56:$BF$56)))</f>
        <v>0.26540170916028116</v>
      </c>
      <c r="BJ62" s="647" cm="1">
        <f t="array" ref="BJ62">EXP(_xlfn.FORECAST.LINEAR(LN(BJ$56), LN($AT62:$BF62), LN($AT$56:$BF$56)))</f>
        <v>0.28293943740085747</v>
      </c>
      <c r="BK62" s="632" t="s">
        <v>202</v>
      </c>
    </row>
    <row r="63" spans="2:63" x14ac:dyDescent="0.25">
      <c r="B63" s="209">
        <v>30</v>
      </c>
      <c r="C63" s="480"/>
      <c r="D63" s="480"/>
      <c r="E63" s="481"/>
      <c r="F63" s="480"/>
      <c r="G63" s="480"/>
      <c r="H63" s="607" t="str">
        <f t="shared" si="0"/>
        <v/>
      </c>
      <c r="I63" s="607" t="str">
        <f t="shared" si="1"/>
        <v/>
      </c>
      <c r="J63" s="607" t="str">
        <f t="shared" si="2"/>
        <v/>
      </c>
      <c r="K63" s="208" t="str">
        <f t="shared" si="3"/>
        <v/>
      </c>
      <c r="L63" s="208" t="str">
        <f t="shared" si="4"/>
        <v/>
      </c>
      <c r="M63" s="208" t="str">
        <f t="shared" si="15"/>
        <v/>
      </c>
      <c r="N63" s="608" t="str">
        <f>IF($D$3="", "", IFERROR(VLOOKUP(L63,'PIPE INCENTIVE'!$B$4:$E$19,2,FALSE),""))</f>
        <v/>
      </c>
      <c r="O63" s="608" t="str">
        <f t="shared" si="16"/>
        <v/>
      </c>
      <c r="P63" s="208" t="str">
        <f t="shared" si="17"/>
        <v/>
      </c>
      <c r="Q63" s="208" t="str">
        <f t="shared" si="5"/>
        <v/>
      </c>
      <c r="R63" s="609" t="str">
        <f t="shared" si="6"/>
        <v/>
      </c>
      <c r="S63" s="609" t="str">
        <f t="shared" si="7"/>
        <v/>
      </c>
      <c r="T63" s="609" t="str">
        <f t="shared" si="8"/>
        <v/>
      </c>
      <c r="U63" s="609" t="str" cm="1">
        <f t="array" ref="U63">IFERROR(IF($D$3="","",_xlfn.LET(_xlpm.Mixed,AND(COUNTIF($G$34:$G$533,"Heating_Hot_Water")&gt;0,(COUNTIF($G$34:$G$533,"Steam_Low_Pressure") + COUNTIF($G$34:$G$533,"Steam_Medium_Pressure") + COUNTIF($G$34:$G$533,"Steam_High_Pressure"))&gt;0),_xlpm.fluid, G63,_xlpm.fuel, K63,_xlpm.load,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3" s="609" t="str">
        <f t="shared" si="18"/>
        <v/>
      </c>
      <c r="W63" s="482"/>
      <c r="X63" s="397" t="str" cm="1">
        <f t="array" ref="X63">IFERROR(IF($D$3="","", _xlfn.XLOOKUP(1,($AR$36:$AR$53=F63)*($AS$36:$AS$53=G63), INDEX($AT$36:$BJ$53,,_xlfn.XMATCH(E63,$AT$35:$BJ$35)))),"")</f>
        <v/>
      </c>
      <c r="Y63" s="480"/>
      <c r="Z63" s="482"/>
      <c r="AA63" s="607" t="str" cm="1">
        <f t="array" ref="AA63">IFERROR(IF($D$3="", "", _xlfn.LET(_xlpm.dia, E63, _xlpm.thk, Z63, _xlpm.temp, I63,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3" s="397" t="str" cm="1">
        <f t="array" ref="AB63">IFERROR(IF($D$3="", "", _xlfn.XLOOKUP(1,($AR$57:$AR$76=Y63)*($AS$57:$AS$76=Z63), INDEX($AT$57:$BJ$76,,_xlfn.XMATCH(E63,$AT$56:$BJ$56)))),"")</f>
        <v/>
      </c>
      <c r="AC63" s="208" t="str">
        <f t="shared" si="9"/>
        <v/>
      </c>
      <c r="AD63" s="397" t="str">
        <f t="shared" si="10"/>
        <v/>
      </c>
      <c r="AE63" s="610" t="str">
        <f t="shared" si="11"/>
        <v/>
      </c>
      <c r="AF63" s="610" t="str">
        <f t="shared" si="12"/>
        <v/>
      </c>
      <c r="AG63" s="610" t="str">
        <f t="shared" si="13"/>
        <v/>
      </c>
      <c r="AH63" s="608" t="str">
        <f t="shared" si="19"/>
        <v/>
      </c>
      <c r="AI63" s="610" t="str">
        <f t="shared" si="14"/>
        <v/>
      </c>
      <c r="AM63" s="642" t="s">
        <v>204</v>
      </c>
      <c r="AN63" s="642" t="s">
        <v>205</v>
      </c>
      <c r="AO63" s="651" t="s">
        <v>174</v>
      </c>
      <c r="AR63" s="633" t="s">
        <v>186</v>
      </c>
      <c r="AS63" s="652">
        <v>3.5</v>
      </c>
      <c r="AT63" s="647" cm="1">
        <f t="array" ref="AT63">EXP(_xlfn.FORECAST.LINEAR($AS63, LN(AT$57:AT$62), $AS$57:$AS$62))</f>
        <v>4.7919338066342708E-2</v>
      </c>
      <c r="AU63" s="647" cm="1">
        <f t="array" ref="AU63">EXP(_xlfn.FORECAST.LINEAR($AS63, LN(AU$57:AU$62), $AS$57:$AS$62))</f>
        <v>5.5826696632939536E-2</v>
      </c>
      <c r="AV63" s="647" cm="1">
        <f t="array" ref="AV63">EXP(_xlfn.FORECAST.LINEAR($AS63, LN(AV$57:AV$62), $AS$57:$AS$62))</f>
        <v>5.763786198690142E-2</v>
      </c>
      <c r="AW63" s="647" cm="1">
        <f t="array" ref="AW63">EXP(_xlfn.FORECAST.LINEAR($AS63, LN(AW$57:AW$62), $AS$57:$AS$62))</f>
        <v>6.3737897923187958E-2</v>
      </c>
      <c r="AX63" s="647" cm="1">
        <f t="array" ref="AX63">EXP(_xlfn.FORECAST.LINEAR($AS63, LN(AX$57:AX$62), $AS$57:$AS$62))</f>
        <v>6.6456121935873427E-2</v>
      </c>
      <c r="AY63" s="647" cm="1">
        <f t="array" ref="AY63">EXP(_xlfn.FORECAST.LINEAR($AS63, LN(AY$57:AY$62), $AS$57:$AS$62))</f>
        <v>7.7054900146768218E-2</v>
      </c>
      <c r="AZ63" s="647" cm="1">
        <f t="array" ref="AZ63">EXP(_xlfn.FORECAST.LINEAR($AS63, LN(AZ$57:AZ$62), $AS$57:$AS$62))</f>
        <v>8.2086032582487242E-2</v>
      </c>
      <c r="BA63" s="647" cm="1">
        <f t="array" ref="BA63">EXP(_xlfn.FORECAST.LINEAR($AS63, LN(BA$57:BA$62), $AS$57:$AS$62))</f>
        <v>8.8013011381738199E-2</v>
      </c>
      <c r="BB63" s="647" cm="1">
        <f t="array" ref="BB63">EXP(_xlfn.FORECAST.LINEAR($AS63, LN(BB$57:BB$62), $AS$57:$AS$62))</f>
        <v>9.7964536770356811E-2</v>
      </c>
      <c r="BC63" s="647" cm="1">
        <f t="array" ref="BC63">EXP(_xlfn.FORECAST.LINEAR($AS63, LN(BC$57:BC$62), $AS$57:$AS$62))</f>
        <v>0.10380175464269938</v>
      </c>
      <c r="BD63" s="647" cm="1">
        <f t="array" ref="BD63">EXP(_xlfn.FORECAST.LINEAR($AS63, LN(BD$57:BD$62), $AS$57:$AS$62))</f>
        <v>0.11582579112916083</v>
      </c>
      <c r="BE63" s="647" cm="1">
        <f t="array" ref="BE63">EXP(_xlfn.FORECAST.LINEAR($AS63, LN(BE$57:BE$62), $AS$57:$AS$62))</f>
        <v>0.13619644937860889</v>
      </c>
      <c r="BF63" s="647" cm="1">
        <f t="array" ref="BF63">EXP(_xlfn.FORECAST.LINEAR($AS63, LN(BF$57:BF$62), $AS$57:$AS$62))</f>
        <v>0.16466679585499294</v>
      </c>
      <c r="BG63" s="647" cm="1">
        <f t="array" ref="BG63">EXP(_xlfn.FORECAST.LINEAR(LN(BG$56), LN($AT63:$BF63), LN($AT$56:$BF$56)))</f>
        <v>0.15907471452535193</v>
      </c>
      <c r="BH63" s="647" cm="1">
        <f t="array" ref="BH63">EXP(_xlfn.FORECAST.LINEAR(LN(BH$56), LN($AT63:$BF63), LN($AT$56:$BF$56)))</f>
        <v>0.17206494978710107</v>
      </c>
      <c r="BI63" s="647" cm="1">
        <f t="array" ref="BI63">EXP(_xlfn.FORECAST.LINEAR(LN(BI$56), LN($AT63:$BF63), LN($AT$56:$BF$56)))</f>
        <v>0.18387223766814903</v>
      </c>
      <c r="BJ63" s="647" cm="1">
        <f t="array" ref="BJ63">EXP(_xlfn.FORECAST.LINEAR(LN(BJ$56), LN($AT63:$BF63), LN($AT$56:$BF$56)))</f>
        <v>0.19475312211324464</v>
      </c>
      <c r="BK63" s="632" t="s">
        <v>202</v>
      </c>
    </row>
    <row r="64" spans="2:63" x14ac:dyDescent="0.25">
      <c r="B64" s="209">
        <v>31</v>
      </c>
      <c r="C64" s="480"/>
      <c r="D64" s="480"/>
      <c r="E64" s="481"/>
      <c r="F64" s="480"/>
      <c r="G64" s="480"/>
      <c r="H64" s="607" t="str">
        <f t="shared" si="0"/>
        <v/>
      </c>
      <c r="I64" s="607" t="str">
        <f t="shared" si="1"/>
        <v/>
      </c>
      <c r="J64" s="607" t="str">
        <f t="shared" si="2"/>
        <v/>
      </c>
      <c r="K64" s="208" t="str">
        <f t="shared" si="3"/>
        <v/>
      </c>
      <c r="L64" s="208" t="str">
        <f t="shared" si="4"/>
        <v/>
      </c>
      <c r="M64" s="208" t="str">
        <f t="shared" si="15"/>
        <v/>
      </c>
      <c r="N64" s="608" t="str">
        <f>IF($D$3="", "", IFERROR(VLOOKUP(L64,'PIPE INCENTIVE'!$B$4:$E$19,2,FALSE),""))</f>
        <v/>
      </c>
      <c r="O64" s="608" t="str">
        <f t="shared" si="16"/>
        <v/>
      </c>
      <c r="P64" s="208" t="str">
        <f t="shared" si="17"/>
        <v/>
      </c>
      <c r="Q64" s="208" t="str">
        <f t="shared" si="5"/>
        <v/>
      </c>
      <c r="R64" s="609" t="str">
        <f t="shared" si="6"/>
        <v/>
      </c>
      <c r="S64" s="609" t="str">
        <f t="shared" si="7"/>
        <v/>
      </c>
      <c r="T64" s="609" t="str">
        <f t="shared" si="8"/>
        <v/>
      </c>
      <c r="U64" s="609" t="str" cm="1">
        <f t="array" ref="U64">IFERROR(IF($D$3="","",_xlfn.LET(_xlpm.Mixed,AND(COUNTIF($G$34:$G$533,"Heating_Hot_Water")&gt;0,(COUNTIF($G$34:$G$533,"Steam_Low_Pressure") + COUNTIF($G$34:$G$533,"Steam_Medium_Pressure") + COUNTIF($G$34:$G$533,"Steam_High_Pressure"))&gt;0),_xlpm.fluid, G64,_xlpm.fuel, K64,_xlpm.load,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4" s="609" t="str">
        <f t="shared" si="18"/>
        <v/>
      </c>
      <c r="W64" s="482"/>
      <c r="X64" s="397" t="str" cm="1">
        <f t="array" ref="X64">IFERROR(IF($D$3="","", _xlfn.XLOOKUP(1,($AR$36:$AR$53=F64)*($AS$36:$AS$53=G64), INDEX($AT$36:$BJ$53,,_xlfn.XMATCH(E64,$AT$35:$BJ$35)))),"")</f>
        <v/>
      </c>
      <c r="Y64" s="480"/>
      <c r="Z64" s="482"/>
      <c r="AA64" s="607" t="str" cm="1">
        <f t="array" ref="AA64">IFERROR(IF($D$3="", "", _xlfn.LET(_xlpm.dia, E64, _xlpm.thk, Z64, _xlpm.temp, I64,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4" s="397" t="str" cm="1">
        <f t="array" ref="AB64">IFERROR(IF($D$3="", "", _xlfn.XLOOKUP(1,($AR$57:$AR$76=Y64)*($AS$57:$AS$76=Z64), INDEX($AT$57:$BJ$76,,_xlfn.XMATCH(E64,$AT$56:$BJ$56)))),"")</f>
        <v/>
      </c>
      <c r="AC64" s="208" t="str">
        <f t="shared" si="9"/>
        <v/>
      </c>
      <c r="AD64" s="397" t="str">
        <f t="shared" si="10"/>
        <v/>
      </c>
      <c r="AE64" s="610" t="str">
        <f t="shared" si="11"/>
        <v/>
      </c>
      <c r="AF64" s="610" t="str">
        <f t="shared" si="12"/>
        <v/>
      </c>
      <c r="AG64" s="610" t="str">
        <f t="shared" si="13"/>
        <v/>
      </c>
      <c r="AH64" s="608" t="str">
        <f t="shared" si="19"/>
        <v/>
      </c>
      <c r="AI64" s="610" t="str">
        <f t="shared" si="14"/>
        <v/>
      </c>
      <c r="AM64" s="264" t="s">
        <v>171</v>
      </c>
      <c r="AN64" s="76">
        <v>125</v>
      </c>
      <c r="AO64" s="300" t="s">
        <v>198</v>
      </c>
      <c r="AR64" s="633" t="s">
        <v>186</v>
      </c>
      <c r="AS64" s="652">
        <v>4</v>
      </c>
      <c r="AT64" s="647" cm="1">
        <f t="array" ref="AT64">EXP(_xlfn.FORECAST.LINEAR($AS64, LN(AT$57:AT$62), $AS$57:$AS$62))</f>
        <v>4.1759575564643943E-2</v>
      </c>
      <c r="AU64" s="647" cm="1">
        <f t="array" ref="AU64">EXP(_xlfn.FORECAST.LINEAR($AS64, LN(AU$57:AU$62), $AS$57:$AS$62))</f>
        <v>4.8876357644865608E-2</v>
      </c>
      <c r="AV64" s="647" cm="1">
        <f t="array" ref="AV64">EXP(_xlfn.FORECAST.LINEAR($AS64, LN(AV$57:AV$62), $AS$57:$AS$62))</f>
        <v>4.9319438151027462E-2</v>
      </c>
      <c r="AW64" s="647" cm="1">
        <f t="array" ref="AW64">EXP(_xlfn.FORECAST.LINEAR($AS64, LN(AW$57:AW$62), $AS$57:$AS$62))</f>
        <v>5.4088075207828643E-2</v>
      </c>
      <c r="AX64" s="647" cm="1">
        <f t="array" ref="AX64">EXP(_xlfn.FORECAST.LINEAR($AS64, LN(AX$57:AX$62), $AS$57:$AS$62))</f>
        <v>5.6064629140889936E-2</v>
      </c>
      <c r="AY64" s="647" cm="1">
        <f t="array" ref="AY64">EXP(_xlfn.FORECAST.LINEAR($AS64, LN(AY$57:AY$62), $AS$57:$AS$62))</f>
        <v>6.4838670870983328E-2</v>
      </c>
      <c r="AZ64" s="647" cm="1">
        <f t="array" ref="AZ64">EXP(_xlfn.FORECAST.LINEAR($AS64, LN(AZ$57:AZ$62), $AS$57:$AS$62))</f>
        <v>6.8003860421425449E-2</v>
      </c>
      <c r="BA64" s="647" cm="1">
        <f t="array" ref="BA64">EXP(_xlfn.FORECAST.LINEAR($AS64, LN(BA$57:BA$62), $AS$57:$AS$62))</f>
        <v>7.1850854323866273E-2</v>
      </c>
      <c r="BB64" s="647" cm="1">
        <f t="array" ref="BB64">EXP(_xlfn.FORECAST.LINEAR($AS64, LN(BB$57:BB$62), $AS$57:$AS$62))</f>
        <v>7.9804627199454886E-2</v>
      </c>
      <c r="BC64" s="647" cm="1">
        <f t="array" ref="BC64">EXP(_xlfn.FORECAST.LINEAR($AS64, LN(BC$57:BC$62), $AS$57:$AS$62))</f>
        <v>8.4085803355331473E-2</v>
      </c>
      <c r="BD64" s="647" cm="1">
        <f t="array" ref="BD64">EXP(_xlfn.FORECAST.LINEAR($AS64, LN(BD$57:BD$62), $AS$57:$AS$62))</f>
        <v>9.2612615987358177E-2</v>
      </c>
      <c r="BE64" s="647" cm="1">
        <f t="array" ref="BE64">EXP(_xlfn.FORECAST.LINEAR($AS64, LN(BE$57:BE$62), $AS$57:$AS$62))</f>
        <v>0.10950674739064392</v>
      </c>
      <c r="BF64" s="647" cm="1">
        <f t="array" ref="BF64">EXP(_xlfn.FORECAST.LINEAR($AS64, LN(BF$57:BF$62), $AS$57:$AS$62))</f>
        <v>0.13127662560869488</v>
      </c>
      <c r="BG64" s="647" cm="1">
        <f t="array" ref="BG64">EXP(_xlfn.FORECAST.LINEAR(LN(BG$56), LN($AT64:$BF64), LN($AT$56:$BF$56)))</f>
        <v>0.12497735673633266</v>
      </c>
      <c r="BH64" s="647" cm="1">
        <f t="array" ref="BH64">EXP(_xlfn.FORECAST.LINEAR(LN(BH$56), LN($AT64:$BF64), LN($AT$56:$BF$56)))</f>
        <v>0.13426447800682736</v>
      </c>
      <c r="BI64" s="647" cm="1">
        <f t="array" ref="BI64">EXP(_xlfn.FORECAST.LINEAR(LN(BI$56), LN($AT64:$BF64), LN($AT$56:$BF$56)))</f>
        <v>0.14265302727748938</v>
      </c>
      <c r="BJ64" s="647" cm="1">
        <f t="array" ref="BJ64">EXP(_xlfn.FORECAST.LINEAR(LN(BJ$56), LN($AT64:$BF64), LN($AT$56:$BF$56)))</f>
        <v>0.15034199057809036</v>
      </c>
      <c r="BK64" s="632" t="s">
        <v>202</v>
      </c>
    </row>
    <row r="65" spans="2:63" x14ac:dyDescent="0.25">
      <c r="B65" s="209">
        <v>32</v>
      </c>
      <c r="C65" s="480"/>
      <c r="D65" s="480"/>
      <c r="E65" s="481"/>
      <c r="F65" s="480"/>
      <c r="G65" s="480"/>
      <c r="H65" s="607" t="str">
        <f t="shared" si="0"/>
        <v/>
      </c>
      <c r="I65" s="607" t="str">
        <f t="shared" si="1"/>
        <v/>
      </c>
      <c r="J65" s="607" t="str">
        <f t="shared" si="2"/>
        <v/>
      </c>
      <c r="K65" s="208" t="str">
        <f t="shared" si="3"/>
        <v/>
      </c>
      <c r="L65" s="208" t="str">
        <f t="shared" si="4"/>
        <v/>
      </c>
      <c r="M65" s="208" t="str">
        <f t="shared" si="15"/>
        <v/>
      </c>
      <c r="N65" s="608" t="str">
        <f>IF($D$3="", "", IFERROR(VLOOKUP(L65,'PIPE INCENTIVE'!$B$4:$E$19,2,FALSE),""))</f>
        <v/>
      </c>
      <c r="O65" s="608" t="str">
        <f t="shared" si="16"/>
        <v/>
      </c>
      <c r="P65" s="208" t="str">
        <f t="shared" si="17"/>
        <v/>
      </c>
      <c r="Q65" s="208" t="str">
        <f t="shared" si="5"/>
        <v/>
      </c>
      <c r="R65" s="609" t="str">
        <f t="shared" si="6"/>
        <v/>
      </c>
      <c r="S65" s="609" t="str">
        <f t="shared" si="7"/>
        <v/>
      </c>
      <c r="T65" s="609" t="str">
        <f t="shared" si="8"/>
        <v/>
      </c>
      <c r="U65" s="609" t="str" cm="1">
        <f t="array" ref="U65">IFERROR(IF($D$3="","",_xlfn.LET(_xlpm.Mixed,AND(COUNTIF($G$34:$G$533,"Heating_Hot_Water")&gt;0,(COUNTIF($G$34:$G$533,"Steam_Low_Pressure") + COUNTIF($G$34:$G$533,"Steam_Medium_Pressure") + COUNTIF($G$34:$G$533,"Steam_High_Pressure"))&gt;0),_xlpm.fluid, G65,_xlpm.fuel, K65,_xlpm.load,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5" s="609" t="str">
        <f t="shared" si="18"/>
        <v/>
      </c>
      <c r="W65" s="482"/>
      <c r="X65" s="397" t="str" cm="1">
        <f t="array" ref="X65">IFERROR(IF($D$3="","", _xlfn.XLOOKUP(1,($AR$36:$AR$53=F65)*($AS$36:$AS$53=G65), INDEX($AT$36:$BJ$53,,_xlfn.XMATCH(E65,$AT$35:$BJ$35)))),"")</f>
        <v/>
      </c>
      <c r="Y65" s="480"/>
      <c r="Z65" s="482"/>
      <c r="AA65" s="607" t="str" cm="1">
        <f t="array" ref="AA65">IFERROR(IF($D$3="", "", _xlfn.LET(_xlpm.dia, E65, _xlpm.thk, Z65, _xlpm.temp, I65,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5" s="397" t="str" cm="1">
        <f t="array" ref="AB65">IFERROR(IF($D$3="", "", _xlfn.XLOOKUP(1,($AR$57:$AR$76=Y65)*($AS$57:$AS$76=Z65), INDEX($AT$57:$BJ$76,,_xlfn.XMATCH(E65,$AT$56:$BJ$56)))),"")</f>
        <v/>
      </c>
      <c r="AC65" s="208" t="str">
        <f t="shared" si="9"/>
        <v/>
      </c>
      <c r="AD65" s="397" t="str">
        <f t="shared" si="10"/>
        <v/>
      </c>
      <c r="AE65" s="610" t="str">
        <f t="shared" si="11"/>
        <v/>
      </c>
      <c r="AF65" s="610" t="str">
        <f t="shared" si="12"/>
        <v/>
      </c>
      <c r="AG65" s="610" t="str">
        <f t="shared" si="13"/>
        <v/>
      </c>
      <c r="AH65" s="608" t="str">
        <f t="shared" si="19"/>
        <v/>
      </c>
      <c r="AI65" s="610" t="str">
        <f t="shared" si="14"/>
        <v/>
      </c>
      <c r="AM65" s="76" t="s">
        <v>172</v>
      </c>
      <c r="AN65" s="76">
        <v>160</v>
      </c>
      <c r="AO65" s="300" t="s">
        <v>198</v>
      </c>
      <c r="AR65" s="633" t="s">
        <v>186</v>
      </c>
      <c r="AS65" s="652">
        <v>4.5</v>
      </c>
      <c r="AT65" s="647" cm="1">
        <f t="array" ref="AT65">EXP(_xlfn.FORECAST.LINEAR($AS65, LN(AT$57:AT$62), $AS$57:$AS$62))</f>
        <v>3.6391616030356878E-2</v>
      </c>
      <c r="AU65" s="647" cm="1">
        <f t="array" ref="AU65">EXP(_xlfn.FORECAST.LINEAR($AS65, LN(AU$57:AU$62), $AS$57:$AS$62))</f>
        <v>4.2791325310465991E-2</v>
      </c>
      <c r="AV65" s="647" cm="1">
        <f t="array" ref="AV65">EXP(_xlfn.FORECAST.LINEAR($AS65, LN(AV$57:AV$62), $AS$57:$AS$62))</f>
        <v>4.2201547657784451E-2</v>
      </c>
      <c r="AW65" s="647" cm="1">
        <f t="array" ref="AW65">EXP(_xlfn.FORECAST.LINEAR($AS65, LN(AW$57:AW$62), $AS$57:$AS$62))</f>
        <v>4.589922126414242E-2</v>
      </c>
      <c r="AX65" s="647" cm="1">
        <f t="array" ref="AX65">EXP(_xlfn.FORECAST.LINEAR($AS65, LN(AX$57:AX$62), $AS$57:$AS$62))</f>
        <v>4.7298014827566751E-2</v>
      </c>
      <c r="AY65" s="647" cm="1">
        <f t="array" ref="AY65">EXP(_xlfn.FORECAST.LINEAR($AS65, LN(AY$57:AY$62), $AS$57:$AS$62))</f>
        <v>5.4559193929369136E-2</v>
      </c>
      <c r="AZ65" s="647" cm="1">
        <f t="array" ref="AZ65">EXP(_xlfn.FORECAST.LINEAR($AS65, LN(AZ$57:AZ$62), $AS$57:$AS$62))</f>
        <v>5.6337538637521396E-2</v>
      </c>
      <c r="BA65" s="647" cm="1">
        <f t="array" ref="BA65">EXP(_xlfn.FORECAST.LINEAR($AS65, LN(BA$57:BA$62), $AS$57:$AS$62))</f>
        <v>5.8656614357597503E-2</v>
      </c>
      <c r="BB65" s="647" cm="1">
        <f t="array" ref="BB65">EXP(_xlfn.FORECAST.LINEAR($AS65, LN(BB$57:BB$62), $AS$57:$AS$62))</f>
        <v>6.5011061475984094E-2</v>
      </c>
      <c r="BC65" s="647" cm="1">
        <f t="array" ref="BC65">EXP(_xlfn.FORECAST.LINEAR($AS65, LN(BC$57:BC$62), $AS$57:$AS$62))</f>
        <v>6.8114670606955377E-2</v>
      </c>
      <c r="BD65" s="647" cm="1">
        <f t="array" ref="BD65">EXP(_xlfn.FORECAST.LINEAR($AS65, LN(BD$57:BD$62), $AS$57:$AS$62))</f>
        <v>7.4051699163075801E-2</v>
      </c>
      <c r="BE65" s="647" cm="1">
        <f t="array" ref="BE65">EXP(_xlfn.FORECAST.LINEAR($AS65, LN(BE$57:BE$62), $AS$57:$AS$62))</f>
        <v>8.8047285951947316E-2</v>
      </c>
      <c r="BF65" s="647" cm="1">
        <f t="array" ref="BF65">EXP(_xlfn.FORECAST.LINEAR($AS65, LN(BF$57:BF$62), $AS$57:$AS$62))</f>
        <v>0.10465711889105725</v>
      </c>
      <c r="BG65" s="647" cm="1">
        <f t="array" ref="BG65">EXP(_xlfn.FORECAST.LINEAR(LN(BG$56), LN($AT65:$BF65), LN($AT$56:$BF$56)))</f>
        <v>9.8188701726768024E-2</v>
      </c>
      <c r="BH65" s="647" cm="1">
        <f t="array" ref="BH65">EXP(_xlfn.FORECAST.LINEAR(LN(BH$56), LN($AT65:$BF65), LN($AT$56:$BF$56)))</f>
        <v>0.10476828707270641</v>
      </c>
      <c r="BI65" s="647" cm="1">
        <f t="array" ref="BI65">EXP(_xlfn.FORECAST.LINEAR(LN(BI$56), LN($AT65:$BF65), LN($AT$56:$BF$56)))</f>
        <v>0.11067405525438494</v>
      </c>
      <c r="BJ65" s="647" cm="1">
        <f t="array" ref="BJ65">EXP(_xlfn.FORECAST.LINEAR(LN(BJ$56), LN($AT65:$BF65), LN($AT$56:$BF$56)))</f>
        <v>0.11605828900570649</v>
      </c>
      <c r="BK65" s="632" t="s">
        <v>202</v>
      </c>
    </row>
    <row r="66" spans="2:63" x14ac:dyDescent="0.25">
      <c r="B66" s="209">
        <v>33</v>
      </c>
      <c r="C66" s="480"/>
      <c r="D66" s="480"/>
      <c r="E66" s="481"/>
      <c r="F66" s="480"/>
      <c r="G66" s="480"/>
      <c r="H66" s="607" t="str">
        <f t="shared" si="0"/>
        <v/>
      </c>
      <c r="I66" s="607" t="str">
        <f t="shared" si="1"/>
        <v/>
      </c>
      <c r="J66" s="607" t="str">
        <f t="shared" si="2"/>
        <v/>
      </c>
      <c r="K66" s="208" t="str">
        <f t="shared" si="3"/>
        <v/>
      </c>
      <c r="L66" s="208" t="str">
        <f t="shared" si="4"/>
        <v/>
      </c>
      <c r="M66" s="208" t="str">
        <f t="shared" si="15"/>
        <v/>
      </c>
      <c r="N66" s="608" t="str">
        <f>IF($D$3="", "", IFERROR(VLOOKUP(L66,'PIPE INCENTIVE'!$B$4:$E$19,2,FALSE),""))</f>
        <v/>
      </c>
      <c r="O66" s="608" t="str">
        <f t="shared" si="16"/>
        <v/>
      </c>
      <c r="P66" s="208" t="str">
        <f t="shared" si="17"/>
        <v/>
      </c>
      <c r="Q66" s="208" t="str">
        <f t="shared" si="5"/>
        <v/>
      </c>
      <c r="R66" s="609" t="str">
        <f t="shared" si="6"/>
        <v/>
      </c>
      <c r="S66" s="609" t="str">
        <f t="shared" si="7"/>
        <v/>
      </c>
      <c r="T66" s="609" t="str">
        <f t="shared" si="8"/>
        <v/>
      </c>
      <c r="U66" s="609" t="str" cm="1">
        <f t="array" ref="U66">IFERROR(IF($D$3="","",_xlfn.LET(_xlpm.Mixed,AND(COUNTIF($G$34:$G$533,"Heating_Hot_Water")&gt;0,(COUNTIF($G$34:$G$533,"Steam_Low_Pressure") + COUNTIF($G$34:$G$533,"Steam_Medium_Pressure") + COUNTIF($G$34:$G$533,"Steam_High_Pressure"))&gt;0),_xlpm.fluid, G66,_xlpm.fuel, K66,_xlpm.load,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6" s="609" t="str">
        <f t="shared" si="18"/>
        <v/>
      </c>
      <c r="W66" s="482"/>
      <c r="X66" s="397" t="str" cm="1">
        <f t="array" ref="X66">IFERROR(IF($D$3="","", _xlfn.XLOOKUP(1,($AR$36:$AR$53=F66)*($AS$36:$AS$53=G66), INDEX($AT$36:$BJ$53,,_xlfn.XMATCH(E66,$AT$35:$BJ$35)))),"")</f>
        <v/>
      </c>
      <c r="Y66" s="480"/>
      <c r="Z66" s="482"/>
      <c r="AA66" s="607" t="str" cm="1">
        <f t="array" ref="AA66">IFERROR(IF($D$3="", "", _xlfn.LET(_xlpm.dia, E66, _xlpm.thk, Z66, _xlpm.temp, I66,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6" s="397" t="str" cm="1">
        <f t="array" ref="AB66">IFERROR(IF($D$3="", "", _xlfn.XLOOKUP(1,($AR$57:$AR$76=Y66)*($AS$57:$AS$76=Z66), INDEX($AT$57:$BJ$76,,_xlfn.XMATCH(E66,$AT$56:$BJ$56)))),"")</f>
        <v/>
      </c>
      <c r="AC66" s="208" t="str">
        <f t="shared" si="9"/>
        <v/>
      </c>
      <c r="AD66" s="397" t="str">
        <f t="shared" si="10"/>
        <v/>
      </c>
      <c r="AE66" s="610" t="str">
        <f t="shared" si="11"/>
        <v/>
      </c>
      <c r="AF66" s="610" t="str">
        <f t="shared" si="12"/>
        <v/>
      </c>
      <c r="AG66" s="610" t="str">
        <f t="shared" si="13"/>
        <v/>
      </c>
      <c r="AH66" s="608" t="str">
        <f t="shared" si="19"/>
        <v/>
      </c>
      <c r="AI66" s="610" t="str">
        <f t="shared" si="14"/>
        <v/>
      </c>
      <c r="AM66" s="76" t="s">
        <v>175</v>
      </c>
      <c r="AN66" s="76">
        <v>212</v>
      </c>
      <c r="AO66" s="300" t="s">
        <v>198</v>
      </c>
      <c r="AR66" s="635" t="s">
        <v>186</v>
      </c>
      <c r="AS66" s="653">
        <v>5</v>
      </c>
      <c r="AT66" s="654" cm="1">
        <f t="array" ref="AT66">EXP(_xlfn.FORECAST.LINEAR($AS66, LN(AT$57:AT$62), $AS$57:$AS$62))</f>
        <v>3.1713677627082923E-2</v>
      </c>
      <c r="AU66" s="654" cm="1">
        <f t="array" ref="AU66">EXP(_xlfn.FORECAST.LINEAR($AS66, LN(AU$57:AU$62), $AS$57:$AS$62))</f>
        <v>3.7463870264859665E-2</v>
      </c>
      <c r="AV66" s="654" cm="1">
        <f t="array" ref="AV66">EXP(_xlfn.FORECAST.LINEAR($AS66, LN(AV$57:AV$62), $AS$57:$AS$62))</f>
        <v>3.6110926877522646E-2</v>
      </c>
      <c r="AW66" s="654" cm="1">
        <f t="array" ref="AW66">EXP(_xlfn.FORECAST.LINEAR($AS66, LN(AW$57:AW$62), $AS$57:$AS$62))</f>
        <v>3.8950147598333776E-2</v>
      </c>
      <c r="AX66" s="654" cm="1">
        <f t="array" ref="AX66">EXP(_xlfn.FORECAST.LINEAR($AS66, LN(AX$57:AX$62), $AS$57:$AS$62))</f>
        <v>3.9902202884583543E-2</v>
      </c>
      <c r="AY66" s="654" cm="1">
        <f t="array" ref="AY66">EXP(_xlfn.FORECAST.LINEAR($AS66, LN(AY$57:AY$62), $AS$57:$AS$62))</f>
        <v>4.5909417979057461E-2</v>
      </c>
      <c r="AZ66" s="654" cm="1">
        <f t="array" ref="AZ66">EXP(_xlfn.FORECAST.LINEAR($AS66, LN(AZ$57:AZ$62), $AS$57:$AS$62))</f>
        <v>4.6672618878769327E-2</v>
      </c>
      <c r="BA66" s="654" cm="1">
        <f t="array" ref="BA66">EXP(_xlfn.FORECAST.LINEAR($AS66, LN(BA$57:BA$62), $AS$57:$AS$62))</f>
        <v>4.7885281814291088E-2</v>
      </c>
      <c r="BB66" s="654" cm="1">
        <f t="array" ref="BB66">EXP(_xlfn.FORECAST.LINEAR($AS66, LN(BB$57:BB$62), $AS$57:$AS$62))</f>
        <v>5.2959812764629445E-2</v>
      </c>
      <c r="BC66" s="654" cm="1">
        <f t="array" ref="BC66">EXP(_xlfn.FORECAST.LINEAR($AS66, LN(BC$57:BC$62), $AS$57:$AS$62))</f>
        <v>5.5177071119697628E-2</v>
      </c>
      <c r="BD66" s="654" cm="1">
        <f t="array" ref="BD66">EXP(_xlfn.FORECAST.LINEAR($AS66, LN(BD$57:BD$62), $AS$57:$AS$62))</f>
        <v>5.9210660345532309E-2</v>
      </c>
      <c r="BE66" s="654" cm="1">
        <f t="array" ref="BE66">EXP(_xlfn.FORECAST.LINEAR($AS66, LN(BE$57:BE$62), $AS$57:$AS$62))</f>
        <v>7.0793122325595884E-2</v>
      </c>
      <c r="BF66" s="654" cm="1">
        <f t="array" ref="BF66">EXP(_xlfn.FORECAST.LINEAR($AS66, LN(BF$57:BF$62), $AS$57:$AS$62))</f>
        <v>8.3435360132012956E-2</v>
      </c>
      <c r="BG66" s="654" cm="1">
        <f t="array" ref="BG66">EXP(_xlfn.FORECAST.LINEAR(LN(BG$56), LN($AT66:$BF66), LN($AT$56:$BF$56)))</f>
        <v>7.7142143173407687E-2</v>
      </c>
      <c r="BH66" s="654" cm="1">
        <f t="array" ref="BH66">EXP(_xlfn.FORECAST.LINEAR(LN(BH$56), LN($AT66:$BF66), LN($AT$56:$BF$56)))</f>
        <v>8.1752032548704973E-2</v>
      </c>
      <c r="BI66" s="654" cm="1">
        <f t="array" ref="BI66">EXP(_xlfn.FORECAST.LINEAR(LN(BI$56), LN($AT66:$BF66), LN($AT$56:$BF$56)))</f>
        <v>8.5863908675589018E-2</v>
      </c>
      <c r="BJ66" s="654" cm="1">
        <f t="array" ref="BJ66">EXP(_xlfn.FORECAST.LINEAR(LN(BJ$56), LN($AT66:$BF66), LN($AT$56:$BF$56)))</f>
        <v>8.9592577530332673E-2</v>
      </c>
      <c r="BK66" s="639" t="s">
        <v>202</v>
      </c>
    </row>
    <row r="67" spans="2:63" x14ac:dyDescent="0.25">
      <c r="B67" s="209">
        <v>34</v>
      </c>
      <c r="C67" s="480"/>
      <c r="D67" s="480"/>
      <c r="E67" s="481"/>
      <c r="F67" s="480"/>
      <c r="G67" s="480"/>
      <c r="H67" s="607" t="str">
        <f t="shared" si="0"/>
        <v/>
      </c>
      <c r="I67" s="607" t="str">
        <f t="shared" si="1"/>
        <v/>
      </c>
      <c r="J67" s="607" t="str">
        <f t="shared" si="2"/>
        <v/>
      </c>
      <c r="K67" s="208" t="str">
        <f t="shared" si="3"/>
        <v/>
      </c>
      <c r="L67" s="208" t="str">
        <f t="shared" si="4"/>
        <v/>
      </c>
      <c r="M67" s="208" t="str">
        <f t="shared" si="15"/>
        <v/>
      </c>
      <c r="N67" s="608" t="str">
        <f>IF($D$3="", "", IFERROR(VLOOKUP(L67,'PIPE INCENTIVE'!$B$4:$E$19,2,FALSE),""))</f>
        <v/>
      </c>
      <c r="O67" s="608" t="str">
        <f t="shared" si="16"/>
        <v/>
      </c>
      <c r="P67" s="208" t="str">
        <f t="shared" si="17"/>
        <v/>
      </c>
      <c r="Q67" s="208" t="str">
        <f t="shared" si="5"/>
        <v/>
      </c>
      <c r="R67" s="609" t="str">
        <f t="shared" si="6"/>
        <v/>
      </c>
      <c r="S67" s="609" t="str">
        <f t="shared" si="7"/>
        <v/>
      </c>
      <c r="T67" s="609" t="str">
        <f t="shared" si="8"/>
        <v/>
      </c>
      <c r="U67" s="609" t="str" cm="1">
        <f t="array" ref="U67">IFERROR(IF($D$3="","",_xlfn.LET(_xlpm.Mixed,AND(COUNTIF($G$34:$G$533,"Heating_Hot_Water")&gt;0,(COUNTIF($G$34:$G$533,"Steam_Low_Pressure") + COUNTIF($G$34:$G$533,"Steam_Medium_Pressure") + COUNTIF($G$34:$G$533,"Steam_High_Pressure"))&gt;0),_xlpm.fluid, G67,_xlpm.fuel, K67,_xlpm.load,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7" s="609" t="str">
        <f t="shared" si="18"/>
        <v/>
      </c>
      <c r="W67" s="482"/>
      <c r="X67" s="397" t="str" cm="1">
        <f t="array" ref="X67">IFERROR(IF($D$3="","", _xlfn.XLOOKUP(1,($AR$36:$AR$53=F67)*($AS$36:$AS$53=G67), INDEX($AT$36:$BJ$53,,_xlfn.XMATCH(E67,$AT$35:$BJ$35)))),"")</f>
        <v/>
      </c>
      <c r="Y67" s="480"/>
      <c r="Z67" s="482"/>
      <c r="AA67" s="607" t="str" cm="1">
        <f t="array" ref="AA67">IFERROR(IF($D$3="", "", _xlfn.LET(_xlpm.dia, E67, _xlpm.thk, Z67, _xlpm.temp, I67,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7" s="397" t="str" cm="1">
        <f t="array" ref="AB67">IFERROR(IF($D$3="", "", _xlfn.XLOOKUP(1,($AR$57:$AR$76=Y67)*($AS$57:$AS$76=Z67), INDEX($AT$57:$BJ$76,,_xlfn.XMATCH(E67,$AT$56:$BJ$56)))),"")</f>
        <v/>
      </c>
      <c r="AC67" s="208" t="str">
        <f t="shared" si="9"/>
        <v/>
      </c>
      <c r="AD67" s="397" t="str">
        <f t="shared" si="10"/>
        <v/>
      </c>
      <c r="AE67" s="610" t="str">
        <f t="shared" si="11"/>
        <v/>
      </c>
      <c r="AF67" s="610" t="str">
        <f t="shared" si="12"/>
        <v/>
      </c>
      <c r="AG67" s="610" t="str">
        <f t="shared" si="13"/>
        <v/>
      </c>
      <c r="AH67" s="608" t="str">
        <f t="shared" si="19"/>
        <v/>
      </c>
      <c r="AI67" s="610" t="str">
        <f t="shared" si="14"/>
        <v/>
      </c>
      <c r="AM67" s="76" t="s">
        <v>177</v>
      </c>
      <c r="AN67" s="76">
        <v>251</v>
      </c>
      <c r="AO67" s="300" t="s">
        <v>206</v>
      </c>
      <c r="AR67" s="627" t="s">
        <v>188</v>
      </c>
      <c r="AS67" s="648">
        <v>0.5</v>
      </c>
      <c r="AT67" s="649">
        <v>0.16</v>
      </c>
      <c r="AU67" s="649">
        <v>0.18</v>
      </c>
      <c r="AV67" s="649">
        <v>0.21</v>
      </c>
      <c r="AW67" s="649">
        <v>0.24</v>
      </c>
      <c r="AX67" s="649">
        <v>0.27</v>
      </c>
      <c r="AY67" s="649">
        <v>0.32</v>
      </c>
      <c r="AZ67" s="649">
        <v>0.37</v>
      </c>
      <c r="BA67" s="649">
        <v>0.43</v>
      </c>
      <c r="BB67" s="649">
        <v>0.47</v>
      </c>
      <c r="BC67" s="649">
        <v>0.52</v>
      </c>
      <c r="BD67" s="649">
        <v>0.63</v>
      </c>
      <c r="BE67" s="649">
        <v>0.73</v>
      </c>
      <c r="BF67" s="649">
        <v>0.91</v>
      </c>
      <c r="BG67" s="655" cm="1">
        <f t="array" ref="BG67">EXP(_xlfn.FORECAST.LINEAR(LN(BG$56), LN($AT67:$BF67), LN($AT$56:$BF$56)))</f>
        <v>0.96167013233548426</v>
      </c>
      <c r="BH67" s="655" cm="1">
        <f t="array" ref="BH67">EXP(_xlfn.FORECAST.LINEAR(LN(BH$56), LN($AT67:$BF67), LN($AT$56:$BF$56)))</f>
        <v>1.0821199624285895</v>
      </c>
      <c r="BI67" s="655" cm="1">
        <f t="array" ref="BI67">EXP(_xlfn.FORECAST.LINEAR(LN(BI$56), LN($AT67:$BF67), LN($AT$56:$BF$56)))</f>
        <v>1.1956554791025504</v>
      </c>
      <c r="BJ67" s="655" cm="1">
        <f t="array" ref="BJ67">EXP(_xlfn.FORECAST.LINEAR(LN(BJ$56), LN($AT67:$BF67), LN($AT$56:$BF$56)))</f>
        <v>1.3035892616795219</v>
      </c>
      <c r="BK67" s="626" t="s">
        <v>202</v>
      </c>
    </row>
    <row r="68" spans="2:63" x14ac:dyDescent="0.25">
      <c r="B68" s="209">
        <v>35</v>
      </c>
      <c r="C68" s="480"/>
      <c r="D68" s="480"/>
      <c r="E68" s="481"/>
      <c r="F68" s="480"/>
      <c r="G68" s="480"/>
      <c r="H68" s="607" t="str">
        <f t="shared" si="0"/>
        <v/>
      </c>
      <c r="I68" s="607" t="str">
        <f t="shared" si="1"/>
        <v/>
      </c>
      <c r="J68" s="607" t="str">
        <f t="shared" si="2"/>
        <v/>
      </c>
      <c r="K68" s="208" t="str">
        <f t="shared" si="3"/>
        <v/>
      </c>
      <c r="L68" s="208" t="str">
        <f t="shared" si="4"/>
        <v/>
      </c>
      <c r="M68" s="208" t="str">
        <f t="shared" si="15"/>
        <v/>
      </c>
      <c r="N68" s="608" t="str">
        <f>IF($D$3="", "", IFERROR(VLOOKUP(L68,'PIPE INCENTIVE'!$B$4:$E$19,2,FALSE),""))</f>
        <v/>
      </c>
      <c r="O68" s="608" t="str">
        <f t="shared" si="16"/>
        <v/>
      </c>
      <c r="P68" s="208" t="str">
        <f t="shared" si="17"/>
        <v/>
      </c>
      <c r="Q68" s="208" t="str">
        <f t="shared" si="5"/>
        <v/>
      </c>
      <c r="R68" s="609" t="str">
        <f t="shared" si="6"/>
        <v/>
      </c>
      <c r="S68" s="609" t="str">
        <f t="shared" si="7"/>
        <v/>
      </c>
      <c r="T68" s="609" t="str">
        <f t="shared" si="8"/>
        <v/>
      </c>
      <c r="U68" s="609" t="str" cm="1">
        <f t="array" ref="U68">IFERROR(IF($D$3="","",_xlfn.LET(_xlpm.Mixed,AND(COUNTIF($G$34:$G$533,"Heating_Hot_Water")&gt;0,(COUNTIF($G$34:$G$533,"Steam_Low_Pressure") + COUNTIF($G$34:$G$533,"Steam_Medium_Pressure") + COUNTIF($G$34:$G$533,"Steam_High_Pressure"))&gt;0),_xlpm.fluid, G68,_xlpm.fuel, K68,_xlpm.load,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8" s="609" t="str">
        <f t="shared" si="18"/>
        <v/>
      </c>
      <c r="W68" s="482"/>
      <c r="X68" s="397" t="str" cm="1">
        <f t="array" ref="X68">IFERROR(IF($D$3="","", _xlfn.XLOOKUP(1,($AR$36:$AR$53=F68)*($AS$36:$AS$53=G68), INDEX($AT$36:$BJ$53,,_xlfn.XMATCH(E68,$AT$35:$BJ$35)))),"")</f>
        <v/>
      </c>
      <c r="Y68" s="480"/>
      <c r="Z68" s="482"/>
      <c r="AA68" s="607" t="str" cm="1">
        <f t="array" ref="AA68">IFERROR(IF($D$3="", "", _xlfn.LET(_xlpm.dia, E68, _xlpm.thk, Z68, _xlpm.temp, I68,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8" s="397" t="str" cm="1">
        <f t="array" ref="AB68">IFERROR(IF($D$3="", "", _xlfn.XLOOKUP(1,($AR$57:$AR$76=Y68)*($AS$57:$AS$76=Z68), INDEX($AT$57:$BJ$76,,_xlfn.XMATCH(E68,$AT$56:$BJ$56)))),"")</f>
        <v/>
      </c>
      <c r="AC68" s="208" t="str">
        <f t="shared" si="9"/>
        <v/>
      </c>
      <c r="AD68" s="397" t="str">
        <f t="shared" si="10"/>
        <v/>
      </c>
      <c r="AE68" s="610" t="str">
        <f t="shared" si="11"/>
        <v/>
      </c>
      <c r="AF68" s="610" t="str">
        <f t="shared" si="12"/>
        <v/>
      </c>
      <c r="AG68" s="610" t="str">
        <f t="shared" si="13"/>
        <v/>
      </c>
      <c r="AH68" s="608" t="str">
        <f t="shared" si="19"/>
        <v/>
      </c>
      <c r="AI68" s="610" t="str">
        <f t="shared" si="14"/>
        <v/>
      </c>
      <c r="AM68" s="76" t="s">
        <v>179</v>
      </c>
      <c r="AN68" s="76">
        <v>351</v>
      </c>
      <c r="AO68" s="300" t="s">
        <v>206</v>
      </c>
      <c r="AR68" s="627" t="s">
        <v>188</v>
      </c>
      <c r="AS68" s="648">
        <v>1</v>
      </c>
      <c r="AT68" s="649">
        <v>0.12</v>
      </c>
      <c r="AU68" s="649">
        <v>0.14000000000000001</v>
      </c>
      <c r="AV68" s="649">
        <v>0.16</v>
      </c>
      <c r="AW68" s="649">
        <v>0.18</v>
      </c>
      <c r="AX68" s="649">
        <v>0.2</v>
      </c>
      <c r="AY68" s="649">
        <v>0.23</v>
      </c>
      <c r="AZ68" s="649">
        <v>0.26</v>
      </c>
      <c r="BA68" s="649">
        <v>0.3</v>
      </c>
      <c r="BB68" s="649">
        <v>0.33</v>
      </c>
      <c r="BC68" s="649">
        <v>0.36</v>
      </c>
      <c r="BD68" s="649">
        <v>0.43</v>
      </c>
      <c r="BE68" s="649">
        <v>0.5</v>
      </c>
      <c r="BF68" s="649">
        <v>0.62</v>
      </c>
      <c r="BG68" s="647" cm="1">
        <f t="array" ref="BG68">EXP(_xlfn.FORECAST.LINEAR(LN(BG$56), LN($AT68:$BF68), LN($AT$56:$BF$56)))</f>
        <v>0.63946744118187115</v>
      </c>
      <c r="BH68" s="647" cm="1">
        <f t="array" ref="BH68">EXP(_xlfn.FORECAST.LINEAR(LN(BH$56), LN($AT68:$BF68), LN($AT$56:$BF$56)))</f>
        <v>0.71286895129204952</v>
      </c>
      <c r="BI68" s="647" cm="1">
        <f t="array" ref="BI68">EXP(_xlfn.FORECAST.LINEAR(LN(BI$56), LN($AT68:$BF68), LN($AT$56:$BF$56)))</f>
        <v>0.78146466142810345</v>
      </c>
      <c r="BJ68" s="647" cm="1">
        <f t="array" ref="BJ68">EXP(_xlfn.FORECAST.LINEAR(LN(BJ$56), LN($AT68:$BF68), LN($AT$56:$BF$56)))</f>
        <v>0.84619798592242301</v>
      </c>
      <c r="BK68" s="632" t="s">
        <v>202</v>
      </c>
    </row>
    <row r="69" spans="2:63" x14ac:dyDescent="0.25">
      <c r="B69" s="209">
        <v>36</v>
      </c>
      <c r="C69" s="480"/>
      <c r="D69" s="480"/>
      <c r="E69" s="481"/>
      <c r="F69" s="480"/>
      <c r="G69" s="480"/>
      <c r="H69" s="607" t="str">
        <f t="shared" si="0"/>
        <v/>
      </c>
      <c r="I69" s="607" t="str">
        <f t="shared" si="1"/>
        <v/>
      </c>
      <c r="J69" s="607" t="str">
        <f t="shared" si="2"/>
        <v/>
      </c>
      <c r="K69" s="208" t="str">
        <f t="shared" si="3"/>
        <v/>
      </c>
      <c r="L69" s="208" t="str">
        <f t="shared" si="4"/>
        <v/>
      </c>
      <c r="M69" s="208" t="str">
        <f t="shared" si="15"/>
        <v/>
      </c>
      <c r="N69" s="608" t="str">
        <f>IF($D$3="", "", IFERROR(VLOOKUP(L69,'PIPE INCENTIVE'!$B$4:$E$19,2,FALSE),""))</f>
        <v/>
      </c>
      <c r="O69" s="608" t="str">
        <f t="shared" si="16"/>
        <v/>
      </c>
      <c r="P69" s="208" t="str">
        <f t="shared" si="17"/>
        <v/>
      </c>
      <c r="Q69" s="208" t="str">
        <f t="shared" si="5"/>
        <v/>
      </c>
      <c r="R69" s="609" t="str">
        <f t="shared" si="6"/>
        <v/>
      </c>
      <c r="S69" s="609" t="str">
        <f t="shared" si="7"/>
        <v/>
      </c>
      <c r="T69" s="609" t="str">
        <f t="shared" si="8"/>
        <v/>
      </c>
      <c r="U69" s="609" t="str" cm="1">
        <f t="array" ref="U69">IFERROR(IF($D$3="","",_xlfn.LET(_xlpm.Mixed,AND(COUNTIF($G$34:$G$533,"Heating_Hot_Water")&gt;0,(COUNTIF($G$34:$G$533,"Steam_Low_Pressure") + COUNTIF($G$34:$G$533,"Steam_Medium_Pressure") + COUNTIF($G$34:$G$533,"Steam_High_Pressure"))&gt;0),_xlpm.fluid, G69,_xlpm.fuel, K69,_xlpm.load,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69" s="609" t="str">
        <f t="shared" si="18"/>
        <v/>
      </c>
      <c r="W69" s="482"/>
      <c r="X69" s="397" t="str" cm="1">
        <f t="array" ref="X69">IFERROR(IF($D$3="","", _xlfn.XLOOKUP(1,($AR$36:$AR$53=F69)*($AS$36:$AS$53=G69), INDEX($AT$36:$BJ$53,,_xlfn.XMATCH(E69,$AT$35:$BJ$35)))),"")</f>
        <v/>
      </c>
      <c r="Y69" s="480"/>
      <c r="Z69" s="482"/>
      <c r="AA69" s="607" t="str" cm="1">
        <f t="array" ref="AA69">IFERROR(IF($D$3="", "", _xlfn.LET(_xlpm.dia, E69, _xlpm.thk, Z69, _xlpm.temp, I69,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69" s="397" t="str" cm="1">
        <f t="array" ref="AB69">IFERROR(IF($D$3="", "", _xlfn.XLOOKUP(1,($AR$57:$AR$76=Y69)*($AS$57:$AS$76=Z69), INDEX($AT$57:$BJ$76,,_xlfn.XMATCH(E69,$AT$56:$BJ$56)))),"")</f>
        <v/>
      </c>
      <c r="AC69" s="208" t="str">
        <f t="shared" si="9"/>
        <v/>
      </c>
      <c r="AD69" s="397" t="str">
        <f t="shared" si="10"/>
        <v/>
      </c>
      <c r="AE69" s="610" t="str">
        <f t="shared" si="11"/>
        <v/>
      </c>
      <c r="AF69" s="610" t="str">
        <f t="shared" si="12"/>
        <v/>
      </c>
      <c r="AG69" s="610" t="str">
        <f t="shared" si="13"/>
        <v/>
      </c>
      <c r="AH69" s="608" t="str">
        <f t="shared" si="19"/>
        <v/>
      </c>
      <c r="AI69" s="610" t="str">
        <f t="shared" si="14"/>
        <v/>
      </c>
      <c r="AM69" s="76" t="s">
        <v>178</v>
      </c>
      <c r="AN69" s="76">
        <v>45</v>
      </c>
      <c r="AO69" s="300" t="s">
        <v>207</v>
      </c>
      <c r="AR69" s="627" t="s">
        <v>188</v>
      </c>
      <c r="AS69" s="648">
        <v>1.5</v>
      </c>
      <c r="AT69" s="649">
        <v>0.1</v>
      </c>
      <c r="AU69" s="649">
        <v>0.12</v>
      </c>
      <c r="AV69" s="649">
        <v>0.13</v>
      </c>
      <c r="AW69" s="649">
        <v>0.15</v>
      </c>
      <c r="AX69" s="649">
        <v>0.16</v>
      </c>
      <c r="AY69" s="649">
        <v>0.19</v>
      </c>
      <c r="AZ69" s="649">
        <v>0.21</v>
      </c>
      <c r="BA69" s="649">
        <v>0.24</v>
      </c>
      <c r="BB69" s="649">
        <v>0.27</v>
      </c>
      <c r="BC69" s="649">
        <v>0.28999999999999998</v>
      </c>
      <c r="BD69" s="649">
        <v>0.34</v>
      </c>
      <c r="BE69" s="649">
        <v>0.39</v>
      </c>
      <c r="BF69" s="649">
        <v>0.48</v>
      </c>
      <c r="BG69" s="647" cm="1">
        <f t="array" ref="BG69">EXP(_xlfn.FORECAST.LINEAR(LN(BG$56), LN($AT69:$BF69), LN($AT$56:$BF$56)))</f>
        <v>0.49692434334315916</v>
      </c>
      <c r="BH69" s="647" cm="1">
        <f t="array" ref="BH69">EXP(_xlfn.FORECAST.LINEAR(LN(BH$56), LN($AT69:$BF69), LN($AT$56:$BF$56)))</f>
        <v>0.55114181950131447</v>
      </c>
      <c r="BI69" s="647" cm="1">
        <f t="array" ref="BI69">EXP(_xlfn.FORECAST.LINEAR(LN(BI$56), LN($AT69:$BF69), LN($AT$56:$BF$56)))</f>
        <v>0.60157194482093768</v>
      </c>
      <c r="BJ69" s="647" cm="1">
        <f t="array" ref="BJ69">EXP(_xlfn.FORECAST.LINEAR(LN(BJ$56), LN($AT69:$BF69), LN($AT$56:$BF$56)))</f>
        <v>0.64897152507840794</v>
      </c>
      <c r="BK69" s="632" t="s">
        <v>202</v>
      </c>
    </row>
    <row r="70" spans="2:63" x14ac:dyDescent="0.25">
      <c r="B70" s="209">
        <v>37</v>
      </c>
      <c r="C70" s="480"/>
      <c r="D70" s="480"/>
      <c r="E70" s="481"/>
      <c r="F70" s="480"/>
      <c r="G70" s="480"/>
      <c r="H70" s="607" t="str">
        <f t="shared" si="0"/>
        <v/>
      </c>
      <c r="I70" s="607" t="str">
        <f t="shared" si="1"/>
        <v/>
      </c>
      <c r="J70" s="607" t="str">
        <f t="shared" si="2"/>
        <v/>
      </c>
      <c r="K70" s="208" t="str">
        <f t="shared" si="3"/>
        <v/>
      </c>
      <c r="L70" s="208" t="str">
        <f t="shared" si="4"/>
        <v/>
      </c>
      <c r="M70" s="208" t="str">
        <f t="shared" si="15"/>
        <v/>
      </c>
      <c r="N70" s="608" t="str">
        <f>IF($D$3="", "", IFERROR(VLOOKUP(L70,'PIPE INCENTIVE'!$B$4:$E$19,2,FALSE),""))</f>
        <v/>
      </c>
      <c r="O70" s="608" t="str">
        <f t="shared" si="16"/>
        <v/>
      </c>
      <c r="P70" s="208" t="str">
        <f t="shared" si="17"/>
        <v/>
      </c>
      <c r="Q70" s="208" t="str">
        <f t="shared" si="5"/>
        <v/>
      </c>
      <c r="R70" s="609" t="str">
        <f t="shared" si="6"/>
        <v/>
      </c>
      <c r="S70" s="609" t="str">
        <f t="shared" si="7"/>
        <v/>
      </c>
      <c r="T70" s="609" t="str">
        <f t="shared" si="8"/>
        <v/>
      </c>
      <c r="U70" s="609" t="str" cm="1">
        <f t="array" ref="U70">IFERROR(IF($D$3="","",_xlfn.LET(_xlpm.Mixed,AND(COUNTIF($G$34:$G$533,"Heating_Hot_Water")&gt;0,(COUNTIF($G$34:$G$533,"Steam_Low_Pressure") + COUNTIF($G$34:$G$533,"Steam_Medium_Pressure") + COUNTIF($G$34:$G$533,"Steam_High_Pressure"))&gt;0),_xlpm.fluid, G70,_xlpm.fuel, K70,_xlpm.load,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0" s="609" t="str">
        <f t="shared" si="18"/>
        <v/>
      </c>
      <c r="W70" s="482"/>
      <c r="X70" s="397" t="str" cm="1">
        <f t="array" ref="X70">IFERROR(IF($D$3="","", _xlfn.XLOOKUP(1,($AR$36:$AR$53=F70)*($AS$36:$AS$53=G70), INDEX($AT$36:$BJ$53,,_xlfn.XMATCH(E70,$AT$35:$BJ$35)))),"")</f>
        <v/>
      </c>
      <c r="Y70" s="480"/>
      <c r="Z70" s="482"/>
      <c r="AA70" s="607" t="str" cm="1">
        <f t="array" ref="AA70">IFERROR(IF($D$3="", "", _xlfn.LET(_xlpm.dia, E70, _xlpm.thk, Z70, _xlpm.temp, I70,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0" s="397" t="str" cm="1">
        <f t="array" ref="AB70">IFERROR(IF($D$3="", "", _xlfn.XLOOKUP(1,($AR$57:$AR$76=Y70)*($AS$57:$AS$76=Z70), INDEX($AT$57:$BJ$76,,_xlfn.XMATCH(E70,$AT$56:$BJ$56)))),"")</f>
        <v/>
      </c>
      <c r="AC70" s="208" t="str">
        <f t="shared" si="9"/>
        <v/>
      </c>
      <c r="AD70" s="397" t="str">
        <f t="shared" si="10"/>
        <v/>
      </c>
      <c r="AE70" s="610" t="str">
        <f t="shared" si="11"/>
        <v/>
      </c>
      <c r="AF70" s="610" t="str">
        <f t="shared" si="12"/>
        <v/>
      </c>
      <c r="AG70" s="610" t="str">
        <f t="shared" si="13"/>
        <v/>
      </c>
      <c r="AH70" s="608" t="str">
        <f t="shared" si="19"/>
        <v/>
      </c>
      <c r="AI70" s="610" t="str">
        <f t="shared" si="14"/>
        <v/>
      </c>
      <c r="AM70" s="76" t="s">
        <v>180</v>
      </c>
      <c r="AN70" s="76">
        <v>55</v>
      </c>
      <c r="AO70" s="300" t="s">
        <v>207</v>
      </c>
      <c r="AR70" s="627" t="s">
        <v>188</v>
      </c>
      <c r="AS70" s="648">
        <v>2</v>
      </c>
      <c r="AT70" s="649">
        <v>0.09</v>
      </c>
      <c r="AU70" s="649">
        <v>0.11</v>
      </c>
      <c r="AV70" s="649">
        <v>0.12</v>
      </c>
      <c r="AW70" s="649">
        <v>0.13</v>
      </c>
      <c r="AX70" s="649">
        <v>0.14000000000000001</v>
      </c>
      <c r="AY70" s="649">
        <v>0.16</v>
      </c>
      <c r="AZ70" s="649">
        <v>0.18</v>
      </c>
      <c r="BA70" s="649">
        <v>0.21</v>
      </c>
      <c r="BB70" s="649">
        <v>0.23</v>
      </c>
      <c r="BC70" s="649">
        <v>0.25</v>
      </c>
      <c r="BD70" s="649">
        <v>0.28999999999999998</v>
      </c>
      <c r="BE70" s="649">
        <v>0.33</v>
      </c>
      <c r="BF70" s="649">
        <v>0.4</v>
      </c>
      <c r="BG70" s="647" cm="1">
        <f t="array" ref="BG70">EXP(_xlfn.FORECAST.LINEAR(LN(BG$56), LN($AT70:$BF70), LN($AT$56:$BF$56)))</f>
        <v>0.41208428237767625</v>
      </c>
      <c r="BH70" s="647" cm="1">
        <f t="array" ref="BH70">EXP(_xlfn.FORECAST.LINEAR(LN(BH$56), LN($AT70:$BF70), LN($AT$56:$BF$56)))</f>
        <v>0.45444906253967471</v>
      </c>
      <c r="BI70" s="647" cm="1">
        <f t="array" ref="BI70">EXP(_xlfn.FORECAST.LINEAR(LN(BI$56), LN($AT70:$BF70), LN($AT$56:$BF$56)))</f>
        <v>0.49364840847118435</v>
      </c>
      <c r="BJ70" s="647" cm="1">
        <f t="array" ref="BJ70">EXP(_xlfn.FORECAST.LINEAR(LN(BJ$56), LN($AT70:$BF70), LN($AT$56:$BF$56)))</f>
        <v>0.53032721416533879</v>
      </c>
      <c r="BK70" s="632" t="s">
        <v>202</v>
      </c>
    </row>
    <row r="71" spans="2:63" x14ac:dyDescent="0.25">
      <c r="B71" s="209">
        <v>38</v>
      </c>
      <c r="C71" s="480"/>
      <c r="D71" s="480"/>
      <c r="E71" s="481"/>
      <c r="F71" s="480"/>
      <c r="G71" s="480"/>
      <c r="H71" s="607" t="str">
        <f t="shared" si="0"/>
        <v/>
      </c>
      <c r="I71" s="607" t="str">
        <f t="shared" si="1"/>
        <v/>
      </c>
      <c r="J71" s="607" t="str">
        <f t="shared" si="2"/>
        <v/>
      </c>
      <c r="K71" s="208" t="str">
        <f t="shared" si="3"/>
        <v/>
      </c>
      <c r="L71" s="208" t="str">
        <f t="shared" si="4"/>
        <v/>
      </c>
      <c r="M71" s="208" t="str">
        <f t="shared" si="15"/>
        <v/>
      </c>
      <c r="N71" s="608" t="str">
        <f>IF($D$3="", "", IFERROR(VLOOKUP(L71,'PIPE INCENTIVE'!$B$4:$E$19,2,FALSE),""))</f>
        <v/>
      </c>
      <c r="O71" s="608" t="str">
        <f t="shared" si="16"/>
        <v/>
      </c>
      <c r="P71" s="208" t="str">
        <f t="shared" si="17"/>
        <v/>
      </c>
      <c r="Q71" s="208" t="str">
        <f t="shared" si="5"/>
        <v/>
      </c>
      <c r="R71" s="609" t="str">
        <f t="shared" si="6"/>
        <v/>
      </c>
      <c r="S71" s="609" t="str">
        <f t="shared" si="7"/>
        <v/>
      </c>
      <c r="T71" s="609" t="str">
        <f t="shared" si="8"/>
        <v/>
      </c>
      <c r="U71" s="609" t="str" cm="1">
        <f t="array" ref="U71">IFERROR(IF($D$3="","",_xlfn.LET(_xlpm.Mixed,AND(COUNTIF($G$34:$G$533,"Heating_Hot_Water")&gt;0,(COUNTIF($G$34:$G$533,"Steam_Low_Pressure") + COUNTIF($G$34:$G$533,"Steam_Medium_Pressure") + COUNTIF($G$34:$G$533,"Steam_High_Pressure"))&gt;0),_xlpm.fluid, G71,_xlpm.fuel, K71,_xlpm.load,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1" s="609" t="str">
        <f t="shared" si="18"/>
        <v/>
      </c>
      <c r="W71" s="482"/>
      <c r="X71" s="397" t="str" cm="1">
        <f t="array" ref="X71">IFERROR(IF($D$3="","", _xlfn.XLOOKUP(1,($AR$36:$AR$53=F71)*($AS$36:$AS$53=G71), INDEX($AT$36:$BJ$53,,_xlfn.XMATCH(E71,$AT$35:$BJ$35)))),"")</f>
        <v/>
      </c>
      <c r="Y71" s="480"/>
      <c r="Z71" s="482"/>
      <c r="AA71" s="607" t="str" cm="1">
        <f t="array" ref="AA71">IFERROR(IF($D$3="", "", _xlfn.LET(_xlpm.dia, E71, _xlpm.thk, Z71, _xlpm.temp, I71,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1" s="397" t="str" cm="1">
        <f t="array" ref="AB71">IFERROR(IF($D$3="", "", _xlfn.XLOOKUP(1,($AR$57:$AR$76=Y71)*($AS$57:$AS$76=Z71), INDEX($AT$57:$BJ$76,,_xlfn.XMATCH(E71,$AT$56:$BJ$56)))),"")</f>
        <v/>
      </c>
      <c r="AC71" s="208" t="str">
        <f t="shared" si="9"/>
        <v/>
      </c>
      <c r="AD71" s="397" t="str">
        <f t="shared" si="10"/>
        <v/>
      </c>
      <c r="AE71" s="610" t="str">
        <f t="shared" si="11"/>
        <v/>
      </c>
      <c r="AF71" s="610" t="str">
        <f t="shared" si="12"/>
        <v/>
      </c>
      <c r="AG71" s="610" t="str">
        <f t="shared" si="13"/>
        <v/>
      </c>
      <c r="AH71" s="608" t="str">
        <f t="shared" si="19"/>
        <v/>
      </c>
      <c r="AI71" s="610" t="str">
        <f t="shared" si="14"/>
        <v/>
      </c>
      <c r="AM71" s="76" t="s">
        <v>181</v>
      </c>
      <c r="AN71" s="76">
        <v>180</v>
      </c>
      <c r="AO71" s="300" t="s">
        <v>207</v>
      </c>
      <c r="AR71" s="627" t="s">
        <v>188</v>
      </c>
      <c r="AS71" s="648">
        <v>2.5</v>
      </c>
      <c r="AT71" s="649">
        <v>0.09</v>
      </c>
      <c r="AU71" s="649">
        <v>0.1</v>
      </c>
      <c r="AV71" s="649">
        <v>0.11</v>
      </c>
      <c r="AW71" s="649">
        <v>0.12</v>
      </c>
      <c r="AX71" s="649">
        <v>0.13</v>
      </c>
      <c r="AY71" s="649">
        <v>0.15</v>
      </c>
      <c r="AZ71" s="649">
        <v>0.16</v>
      </c>
      <c r="BA71" s="649">
        <v>0.18</v>
      </c>
      <c r="BB71" s="649">
        <v>0.2</v>
      </c>
      <c r="BC71" s="649">
        <v>0.22</v>
      </c>
      <c r="BD71" s="649">
        <v>0.25</v>
      </c>
      <c r="BE71" s="649">
        <v>0.28000000000000003</v>
      </c>
      <c r="BF71" s="649">
        <v>0.35</v>
      </c>
      <c r="BG71" s="647" cm="1">
        <f t="array" ref="BG71">EXP(_xlfn.FORECAST.LINEAR(LN(BG$56), LN($AT71:$BF71), LN($AT$56:$BF$56)))</f>
        <v>0.34585384177033707</v>
      </c>
      <c r="BH71" s="647" cm="1">
        <f t="array" ref="BH71">EXP(_xlfn.FORECAST.LINEAR(LN(BH$56), LN($AT71:$BF71), LN($AT$56:$BF$56)))</f>
        <v>0.37823888332254485</v>
      </c>
      <c r="BI71" s="647" cm="1">
        <f t="array" ref="BI71">EXP(_xlfn.FORECAST.LINEAR(LN(BI$56), LN($AT71:$BF71), LN($AT$56:$BF$56)))</f>
        <v>0.40797477026049672</v>
      </c>
      <c r="BJ71" s="647" cm="1">
        <f t="array" ref="BJ71">EXP(_xlfn.FORECAST.LINEAR(LN(BJ$56), LN($AT71:$BF71), LN($AT$56:$BF$56)))</f>
        <v>0.43561629091840248</v>
      </c>
      <c r="BK71" s="632" t="s">
        <v>202</v>
      </c>
    </row>
    <row r="72" spans="2:63" x14ac:dyDescent="0.25">
      <c r="B72" s="209">
        <v>39</v>
      </c>
      <c r="C72" s="480"/>
      <c r="D72" s="480"/>
      <c r="E72" s="481"/>
      <c r="F72" s="480"/>
      <c r="G72" s="480"/>
      <c r="H72" s="607" t="str">
        <f t="shared" si="0"/>
        <v/>
      </c>
      <c r="I72" s="607" t="str">
        <f t="shared" si="1"/>
        <v/>
      </c>
      <c r="J72" s="607" t="str">
        <f t="shared" si="2"/>
        <v/>
      </c>
      <c r="K72" s="208" t="str">
        <f t="shared" si="3"/>
        <v/>
      </c>
      <c r="L72" s="208" t="str">
        <f t="shared" si="4"/>
        <v/>
      </c>
      <c r="M72" s="208" t="str">
        <f t="shared" si="15"/>
        <v/>
      </c>
      <c r="N72" s="608" t="str">
        <f>IF($D$3="", "", IFERROR(VLOOKUP(L72,'PIPE INCENTIVE'!$B$4:$E$19,2,FALSE),""))</f>
        <v/>
      </c>
      <c r="O72" s="608" t="str">
        <f t="shared" si="16"/>
        <v/>
      </c>
      <c r="P72" s="208" t="str">
        <f t="shared" si="17"/>
        <v/>
      </c>
      <c r="Q72" s="208" t="str">
        <f t="shared" si="5"/>
        <v/>
      </c>
      <c r="R72" s="609" t="str">
        <f t="shared" si="6"/>
        <v/>
      </c>
      <c r="S72" s="609" t="str">
        <f t="shared" si="7"/>
        <v/>
      </c>
      <c r="T72" s="609" t="str">
        <f t="shared" si="8"/>
        <v/>
      </c>
      <c r="U72" s="609" t="str" cm="1">
        <f t="array" ref="U72">IFERROR(IF($D$3="","",_xlfn.LET(_xlpm.Mixed,AND(COUNTIF($G$34:$G$533,"Heating_Hot_Water")&gt;0,(COUNTIF($G$34:$G$533,"Steam_Low_Pressure") + COUNTIF($G$34:$G$533,"Steam_Medium_Pressure") + COUNTIF($G$34:$G$533,"Steam_High_Pressure"))&gt;0),_xlpm.fluid, G72,_xlpm.fuel, K72,_xlpm.load,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2" s="609" t="str">
        <f t="shared" si="18"/>
        <v/>
      </c>
      <c r="W72" s="482"/>
      <c r="X72" s="397" t="str" cm="1">
        <f t="array" ref="X72">IFERROR(IF($D$3="","", _xlfn.XLOOKUP(1,($AR$36:$AR$53=F72)*($AS$36:$AS$53=G72), INDEX($AT$36:$BJ$53,,_xlfn.XMATCH(E72,$AT$35:$BJ$35)))),"")</f>
        <v/>
      </c>
      <c r="Y72" s="480"/>
      <c r="Z72" s="482"/>
      <c r="AA72" s="607" t="str" cm="1">
        <f t="array" ref="AA72">IFERROR(IF($D$3="", "", _xlfn.LET(_xlpm.dia, E72, _xlpm.thk, Z72, _xlpm.temp, I72,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2" s="397" t="str" cm="1">
        <f t="array" ref="AB72">IFERROR(IF($D$3="", "", _xlfn.XLOOKUP(1,($AR$57:$AR$76=Y72)*($AS$57:$AS$76=Z72), INDEX($AT$57:$BJ$76,,_xlfn.XMATCH(E72,$AT$56:$BJ$56)))),"")</f>
        <v/>
      </c>
      <c r="AC72" s="208" t="str">
        <f t="shared" si="9"/>
        <v/>
      </c>
      <c r="AD72" s="397" t="str">
        <f t="shared" si="10"/>
        <v/>
      </c>
      <c r="AE72" s="610" t="str">
        <f t="shared" si="11"/>
        <v/>
      </c>
      <c r="AF72" s="610" t="str">
        <f t="shared" si="12"/>
        <v/>
      </c>
      <c r="AG72" s="610" t="str">
        <f t="shared" si="13"/>
        <v/>
      </c>
      <c r="AH72" s="608" t="str">
        <f t="shared" si="19"/>
        <v/>
      </c>
      <c r="AI72" s="610" t="str">
        <f t="shared" si="14"/>
        <v/>
      </c>
      <c r="AR72" s="627" t="s">
        <v>188</v>
      </c>
      <c r="AS72" s="648">
        <v>3</v>
      </c>
      <c r="AT72" s="649">
        <v>0.08</v>
      </c>
      <c r="AU72" s="649">
        <v>0.09</v>
      </c>
      <c r="AV72" s="649">
        <v>0.1</v>
      </c>
      <c r="AW72" s="649">
        <v>0.11</v>
      </c>
      <c r="AX72" s="649">
        <v>0.12</v>
      </c>
      <c r="AY72" s="649">
        <v>0.13</v>
      </c>
      <c r="AZ72" s="649">
        <v>0.15</v>
      </c>
      <c r="BA72" s="649">
        <v>0.17</v>
      </c>
      <c r="BB72" s="649">
        <v>0.18</v>
      </c>
      <c r="BC72" s="649">
        <v>0.2</v>
      </c>
      <c r="BD72" s="649">
        <v>0.23</v>
      </c>
      <c r="BE72" s="649">
        <v>0.25</v>
      </c>
      <c r="BF72" s="649">
        <v>0.31</v>
      </c>
      <c r="BG72" s="647" cm="1">
        <f t="array" ref="BG72">EXP(_xlfn.FORECAST.LINEAR(LN(BG$56), LN($AT72:$BF72), LN($AT$56:$BF$56)))</f>
        <v>0.31412151601554961</v>
      </c>
      <c r="BH72" s="647" cm="1">
        <f t="array" ref="BH72">EXP(_xlfn.FORECAST.LINEAR(LN(BH$56), LN($AT72:$BF72), LN($AT$56:$BF$56)))</f>
        <v>0.3435930720632277</v>
      </c>
      <c r="BI72" s="647" cm="1">
        <f t="array" ref="BI72">EXP(_xlfn.FORECAST.LINEAR(LN(BI$56), LN($AT72:$BF72), LN($AT$56:$BF$56)))</f>
        <v>0.37065799801836047</v>
      </c>
      <c r="BJ72" s="647" cm="1">
        <f t="array" ref="BJ72">EXP(_xlfn.FORECAST.LINEAR(LN(BJ$56), LN($AT72:$BF72), LN($AT$56:$BF$56)))</f>
        <v>0.39582001712302284</v>
      </c>
      <c r="BK72" s="632" t="s">
        <v>202</v>
      </c>
    </row>
    <row r="73" spans="2:63" x14ac:dyDescent="0.25">
      <c r="B73" s="209">
        <v>40</v>
      </c>
      <c r="C73" s="480"/>
      <c r="D73" s="480"/>
      <c r="E73" s="481"/>
      <c r="F73" s="480"/>
      <c r="G73" s="480"/>
      <c r="H73" s="607" t="str">
        <f t="shared" si="0"/>
        <v/>
      </c>
      <c r="I73" s="607" t="str">
        <f t="shared" si="1"/>
        <v/>
      </c>
      <c r="J73" s="607" t="str">
        <f t="shared" si="2"/>
        <v/>
      </c>
      <c r="K73" s="208" t="str">
        <f t="shared" si="3"/>
        <v/>
      </c>
      <c r="L73" s="208" t="str">
        <f t="shared" si="4"/>
        <v/>
      </c>
      <c r="M73" s="208" t="str">
        <f t="shared" si="15"/>
        <v/>
      </c>
      <c r="N73" s="608" t="str">
        <f>IF($D$3="", "", IFERROR(VLOOKUP(L73,'PIPE INCENTIVE'!$B$4:$E$19,2,FALSE),""))</f>
        <v/>
      </c>
      <c r="O73" s="608" t="str">
        <f t="shared" si="16"/>
        <v/>
      </c>
      <c r="P73" s="208" t="str">
        <f t="shared" si="17"/>
        <v/>
      </c>
      <c r="Q73" s="208" t="str">
        <f t="shared" si="5"/>
        <v/>
      </c>
      <c r="R73" s="609" t="str">
        <f t="shared" si="6"/>
        <v/>
      </c>
      <c r="S73" s="609" t="str">
        <f t="shared" si="7"/>
        <v/>
      </c>
      <c r="T73" s="609" t="str">
        <f t="shared" si="8"/>
        <v/>
      </c>
      <c r="U73" s="609" t="str" cm="1">
        <f t="array" ref="U73">IFERROR(IF($D$3="","",_xlfn.LET(_xlpm.Mixed,AND(COUNTIF($G$34:$G$533,"Heating_Hot_Water")&gt;0,(COUNTIF($G$34:$G$533,"Steam_Low_Pressure") + COUNTIF($G$34:$G$533,"Steam_Medium_Pressure") + COUNTIF($G$34:$G$533,"Steam_High_Pressure"))&gt;0),_xlpm.fluid, G73,_xlpm.fuel, K73,_xlpm.load,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3" s="609" t="str">
        <f t="shared" si="18"/>
        <v/>
      </c>
      <c r="W73" s="482"/>
      <c r="X73" s="397" t="str" cm="1">
        <f t="array" ref="X73">IFERROR(IF($D$3="","", _xlfn.XLOOKUP(1,($AR$36:$AR$53=F73)*($AS$36:$AS$53=G73), INDEX($AT$36:$BJ$53,,_xlfn.XMATCH(E73,$AT$35:$BJ$35)))),"")</f>
        <v/>
      </c>
      <c r="Y73" s="480"/>
      <c r="Z73" s="482"/>
      <c r="AA73" s="607" t="str" cm="1">
        <f t="array" ref="AA73">IFERROR(IF($D$3="", "", _xlfn.LET(_xlpm.dia, E73, _xlpm.thk, Z73, _xlpm.temp, I73,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3" s="397" t="str" cm="1">
        <f t="array" ref="AB73">IFERROR(IF($D$3="", "", _xlfn.XLOOKUP(1,($AR$57:$AR$76=Y73)*($AS$57:$AS$76=Z73), INDEX($AT$57:$BJ$76,,_xlfn.XMATCH(E73,$AT$56:$BJ$56)))),"")</f>
        <v/>
      </c>
      <c r="AC73" s="208" t="str">
        <f t="shared" si="9"/>
        <v/>
      </c>
      <c r="AD73" s="397" t="str">
        <f t="shared" si="10"/>
        <v/>
      </c>
      <c r="AE73" s="610" t="str">
        <f t="shared" si="11"/>
        <v/>
      </c>
      <c r="AF73" s="610" t="str">
        <f t="shared" si="12"/>
        <v/>
      </c>
      <c r="AG73" s="610" t="str">
        <f t="shared" si="13"/>
        <v/>
      </c>
      <c r="AH73" s="608" t="str">
        <f t="shared" si="19"/>
        <v/>
      </c>
      <c r="AI73" s="610" t="str">
        <f t="shared" si="14"/>
        <v/>
      </c>
      <c r="AM73" s="656" t="s">
        <v>208</v>
      </c>
      <c r="AN73" s="657"/>
      <c r="AO73" s="658"/>
      <c r="AR73" s="633" t="s">
        <v>188</v>
      </c>
      <c r="AS73" s="652">
        <v>3.5</v>
      </c>
      <c r="AT73" s="647" cm="1">
        <f t="array" ref="AT73">EXP(_xlfn.FORECAST.LINEAR($AS73, LN(AT$67:AT$72), $AS$67:$AS$72))</f>
        <v>6.6564141922188153E-2</v>
      </c>
      <c r="AU73" s="647" cm="1">
        <f t="array" ref="AU73">EXP(_xlfn.FORECAST.LINEAR($AS73, LN(AU$67:AU$72), $AS$67:$AS$72))</f>
        <v>7.6074171673312804E-2</v>
      </c>
      <c r="AV73" s="647" cm="1">
        <f t="array" ref="AV73">EXP(_xlfn.FORECAST.LINEAR($AS73, LN(AV$67:AV$72), $AS$67:$AS$72))</f>
        <v>8.1922911699289752E-2</v>
      </c>
      <c r="AW73" s="647" cm="1">
        <f t="array" ref="AW73">EXP(_xlfn.FORECAST.LINEAR($AS73, LN(AW$67:AW$72), $AS$67:$AS$72))</f>
        <v>8.828710337695507E-2</v>
      </c>
      <c r="AX73" s="647" cm="1">
        <f t="array" ref="AX73">EXP(_xlfn.FORECAST.LINEAR($AS73, LN(AX$67:AX$72), $AS$67:$AS$72))</f>
        <v>9.4321626814929629E-2</v>
      </c>
      <c r="AY73" s="647" cm="1">
        <f t="array" ref="AY73">EXP(_xlfn.FORECAST.LINEAR($AS73, LN(AY$67:AY$72), $AS$67:$AS$72))</f>
        <v>0.10340463841017161</v>
      </c>
      <c r="AZ73" s="647" cm="1">
        <f t="array" ref="AZ73">EXP(_xlfn.FORECAST.LINEAR($AS73, LN(AZ$67:AZ$72), $AS$67:$AS$72))</f>
        <v>0.11414943455570888</v>
      </c>
      <c r="BA73" s="647" cm="1">
        <f t="array" ref="BA73">EXP(_xlfn.FORECAST.LINEAR($AS73, LN(BA$67:BA$72), $AS$67:$AS$72))</f>
        <v>0.12860564311875336</v>
      </c>
      <c r="BB73" s="647" cm="1">
        <f t="array" ref="BB73">EXP(_xlfn.FORECAST.LINEAR($AS73, LN(BB$67:BB$72), $AS$67:$AS$72))</f>
        <v>0.13890339605931856</v>
      </c>
      <c r="BC73" s="647" cm="1">
        <f t="array" ref="BC73">EXP(_xlfn.FORECAST.LINEAR($AS73, LN(BC$67:BC$72), $AS$67:$AS$72))</f>
        <v>0.1529629799350968</v>
      </c>
      <c r="BD73" s="647" cm="1">
        <f t="array" ref="BD73">EXP(_xlfn.FORECAST.LINEAR($AS73, LN(BD$67:BD$72), $AS$67:$AS$72))</f>
        <v>0.17166666814943704</v>
      </c>
      <c r="BE73" s="647" cm="1">
        <f t="array" ref="BE73">EXP(_xlfn.FORECAST.LINEAR($AS73, LN(BE$67:BE$72), $AS$67:$AS$72))</f>
        <v>0.18649684573922348</v>
      </c>
      <c r="BF73" s="647" cm="1">
        <f t="array" ref="BF73">EXP(_xlfn.FORECAST.LINEAR($AS73, LN(BF$67:BF$72), $AS$67:$AS$72))</f>
        <v>0.23020015270798594</v>
      </c>
      <c r="BG73" s="647" cm="1">
        <f t="array" ref="BG73">EXP(_xlfn.FORECAST.LINEAR(LN(BG$56), LN($AT73:$BF73), LN($AT$56:$BF$56)))</f>
        <v>0.22812846018890195</v>
      </c>
      <c r="BH73" s="647" cm="1">
        <f t="array" ref="BH73">EXP(_xlfn.FORECAST.LINEAR(LN(BH$56), LN($AT73:$BF73), LN($AT$56:$BF$56)))</f>
        <v>0.24730961284939851</v>
      </c>
      <c r="BI73" s="647" cm="1">
        <f t="array" ref="BI73">EXP(_xlfn.FORECAST.LINEAR(LN(BI$56), LN($AT73:$BF73), LN($AT$56:$BF$56)))</f>
        <v>0.26477995103675034</v>
      </c>
      <c r="BJ73" s="647" cm="1">
        <f t="array" ref="BJ73">EXP(_xlfn.FORECAST.LINEAR(LN(BJ$56), LN($AT73:$BF73), LN($AT$56:$BF$56)))</f>
        <v>0.28090792058651431</v>
      </c>
      <c r="BK73" s="632" t="s">
        <v>202</v>
      </c>
    </row>
    <row r="74" spans="2:63" x14ac:dyDescent="0.25">
      <c r="B74" s="209">
        <v>41</v>
      </c>
      <c r="C74" s="480"/>
      <c r="D74" s="480"/>
      <c r="E74" s="481"/>
      <c r="F74" s="480"/>
      <c r="G74" s="480"/>
      <c r="H74" s="607" t="str">
        <f t="shared" si="0"/>
        <v/>
      </c>
      <c r="I74" s="607" t="str">
        <f t="shared" si="1"/>
        <v/>
      </c>
      <c r="J74" s="607" t="str">
        <f t="shared" si="2"/>
        <v/>
      </c>
      <c r="K74" s="208" t="str">
        <f t="shared" si="3"/>
        <v/>
      </c>
      <c r="L74" s="208" t="str">
        <f t="shared" si="4"/>
        <v/>
      </c>
      <c r="M74" s="208" t="str">
        <f t="shared" si="15"/>
        <v/>
      </c>
      <c r="N74" s="608" t="str">
        <f>IF($D$3="", "", IFERROR(VLOOKUP(L74,'PIPE INCENTIVE'!$B$4:$E$19,2,FALSE),""))</f>
        <v/>
      </c>
      <c r="O74" s="608" t="str">
        <f t="shared" si="16"/>
        <v/>
      </c>
      <c r="P74" s="208" t="str">
        <f t="shared" si="17"/>
        <v/>
      </c>
      <c r="Q74" s="208" t="str">
        <f t="shared" si="5"/>
        <v/>
      </c>
      <c r="R74" s="609" t="str">
        <f t="shared" si="6"/>
        <v/>
      </c>
      <c r="S74" s="609" t="str">
        <f t="shared" si="7"/>
        <v/>
      </c>
      <c r="T74" s="609" t="str">
        <f t="shared" si="8"/>
        <v/>
      </c>
      <c r="U74" s="609" t="str" cm="1">
        <f t="array" ref="U74">IFERROR(IF($D$3="","",_xlfn.LET(_xlpm.Mixed,AND(COUNTIF($G$34:$G$533,"Heating_Hot_Water")&gt;0,(COUNTIF($G$34:$G$533,"Steam_Low_Pressure") + COUNTIF($G$34:$G$533,"Steam_Medium_Pressure") + COUNTIF($G$34:$G$533,"Steam_High_Pressure"))&gt;0),_xlpm.fluid, G74,_xlpm.fuel, K74,_xlpm.load,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4" s="609" t="str">
        <f t="shared" si="18"/>
        <v/>
      </c>
      <c r="W74" s="482"/>
      <c r="X74" s="397" t="str" cm="1">
        <f t="array" ref="X74">IFERROR(IF($D$3="","", _xlfn.XLOOKUP(1,($AR$36:$AR$53=F74)*($AS$36:$AS$53=G74), INDEX($AT$36:$BJ$53,,_xlfn.XMATCH(E74,$AT$35:$BJ$35)))),"")</f>
        <v/>
      </c>
      <c r="Y74" s="480"/>
      <c r="Z74" s="482"/>
      <c r="AA74" s="607" t="str" cm="1">
        <f t="array" ref="AA74">IFERROR(IF($D$3="", "", _xlfn.LET(_xlpm.dia, E74, _xlpm.thk, Z74, _xlpm.temp, I74,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4" s="397" t="str" cm="1">
        <f t="array" ref="AB74">IFERROR(IF($D$3="", "", _xlfn.XLOOKUP(1,($AR$57:$AR$76=Y74)*($AS$57:$AS$76=Z74), INDEX($AT$57:$BJ$76,,_xlfn.XMATCH(E74,$AT$56:$BJ$56)))),"")</f>
        <v/>
      </c>
      <c r="AC74" s="208" t="str">
        <f t="shared" si="9"/>
        <v/>
      </c>
      <c r="AD74" s="397" t="str">
        <f t="shared" si="10"/>
        <v/>
      </c>
      <c r="AE74" s="610" t="str">
        <f t="shared" si="11"/>
        <v/>
      </c>
      <c r="AF74" s="610" t="str">
        <f t="shared" si="12"/>
        <v/>
      </c>
      <c r="AG74" s="610" t="str">
        <f t="shared" si="13"/>
        <v/>
      </c>
      <c r="AH74" s="608" t="str">
        <f t="shared" si="19"/>
        <v/>
      </c>
      <c r="AI74" s="610" t="str">
        <f t="shared" si="14"/>
        <v/>
      </c>
      <c r="AM74" s="659" t="s">
        <v>209</v>
      </c>
      <c r="AN74" s="659" t="s">
        <v>210</v>
      </c>
      <c r="AO74" s="660" t="s">
        <v>174</v>
      </c>
      <c r="AR74" s="633" t="s">
        <v>188</v>
      </c>
      <c r="AS74" s="652">
        <v>4</v>
      </c>
      <c r="AT74" s="647" cm="1">
        <f t="array" ref="AT74">EXP(_xlfn.FORECAST.LINEAR($AS74, LN(AT$67:AT$72), $AS$67:$AS$72))</f>
        <v>5.8643470171706659E-2</v>
      </c>
      <c r="AU74" s="647" cm="1">
        <f t="array" ref="AU74">EXP(_xlfn.FORECAST.LINEAR($AS74, LN(AU$67:AU$72), $AS$67:$AS$72))</f>
        <v>6.6777170615140838E-2</v>
      </c>
      <c r="AV74" s="647" cm="1">
        <f t="array" ref="AV74">EXP(_xlfn.FORECAST.LINEAR($AS74, LN(AV$67:AV$72), $AS$67:$AS$72))</f>
        <v>7.1192262426761632E-2</v>
      </c>
      <c r="AW74" s="647" cm="1">
        <f t="array" ref="AW74">EXP(_xlfn.FORECAST.LINEAR($AS74, LN(AW$67:AW$72), $AS$67:$AS$72))</f>
        <v>7.5967078754666795E-2</v>
      </c>
      <c r="AX74" s="647" cm="1">
        <f t="array" ref="AX74">EXP(_xlfn.FORECAST.LINEAR($AS74, LN(AX$67:AX$72), $AS$67:$AS$72))</f>
        <v>8.0650410750896823E-2</v>
      </c>
      <c r="AY74" s="647" cm="1">
        <f t="array" ref="AY74">EXP(_xlfn.FORECAST.LINEAR($AS74, LN(AY$67:AY$72), $AS$67:$AS$72))</f>
        <v>8.7218630622477145E-2</v>
      </c>
      <c r="AZ74" s="647" cm="1">
        <f t="array" ref="AZ74">EXP(_xlfn.FORECAST.LINEAR($AS74, LN(AZ$67:AZ$72), $AS$67:$AS$72))</f>
        <v>9.5823509525762907E-2</v>
      </c>
      <c r="BA74" s="647" cm="1">
        <f t="array" ref="BA74">EXP(_xlfn.FORECAST.LINEAR($AS74, LN(BA$67:BA$72), $AS$67:$AS$72))</f>
        <v>0.10740222696432872</v>
      </c>
      <c r="BB74" s="647" cm="1">
        <f t="array" ref="BB74">EXP(_xlfn.FORECAST.LINEAR($AS74, LN(BB$67:BB$72), $AS$67:$AS$72))</f>
        <v>0.1154875866878082</v>
      </c>
      <c r="BC74" s="647" cm="1">
        <f t="array" ref="BC74">EXP(_xlfn.FORECAST.LINEAR($AS74, LN(BC$67:BC$72), $AS$67:$AS$72))</f>
        <v>0.12738849770558447</v>
      </c>
      <c r="BD74" s="647" cm="1">
        <f t="array" ref="BD74">EXP(_xlfn.FORECAST.LINEAR($AS74, LN(BD$67:BD$72), $AS$67:$AS$72))</f>
        <v>0.141256350951873</v>
      </c>
      <c r="BE74" s="647" cm="1">
        <f t="array" ref="BE74">EXP(_xlfn.FORECAST.LINEAR($AS74, LN(BE$67:BE$72), $AS$67:$AS$72))</f>
        <v>0.15154145990472404</v>
      </c>
      <c r="BF74" s="647" cm="1">
        <f t="array" ref="BF74">EXP(_xlfn.FORECAST.LINEAR($AS74, LN(BF$67:BF$72), $AS$67:$AS$72))</f>
        <v>0.18695927562411574</v>
      </c>
      <c r="BG74" s="647" cm="1">
        <f t="array" ref="BG74">EXP(_xlfn.FORECAST.LINEAR(LN(BG$56), LN($AT74:$BF74), LN($AT$56:$BF$56)))</f>
        <v>0.18346734879503709</v>
      </c>
      <c r="BH74" s="647" cm="1">
        <f t="array" ref="BH74">EXP(_xlfn.FORECAST.LINEAR(LN(BH$56), LN($AT74:$BF74), LN($AT$56:$BF$56)))</f>
        <v>0.19773300892994816</v>
      </c>
      <c r="BI74" s="647" cm="1">
        <f t="array" ref="BI74">EXP(_xlfn.FORECAST.LINEAR(LN(BI$56), LN($AT74:$BF74), LN($AT$56:$BF$56)))</f>
        <v>0.21065645576439362</v>
      </c>
      <c r="BJ74" s="647" cm="1">
        <f t="array" ref="BJ74">EXP(_xlfn.FORECAST.LINEAR(LN(BJ$56), LN($AT74:$BF74), LN($AT$56:$BF$56)))</f>
        <v>0.22253203696402007</v>
      </c>
      <c r="BK74" s="632" t="s">
        <v>202</v>
      </c>
    </row>
    <row r="75" spans="2:63" x14ac:dyDescent="0.25">
      <c r="B75" s="209">
        <v>42</v>
      </c>
      <c r="C75" s="480"/>
      <c r="D75" s="480"/>
      <c r="E75" s="481"/>
      <c r="F75" s="480"/>
      <c r="G75" s="480"/>
      <c r="H75" s="607" t="str">
        <f t="shared" si="0"/>
        <v/>
      </c>
      <c r="I75" s="607" t="str">
        <f t="shared" si="1"/>
        <v/>
      </c>
      <c r="J75" s="607" t="str">
        <f t="shared" si="2"/>
        <v/>
      </c>
      <c r="K75" s="208" t="str">
        <f t="shared" si="3"/>
        <v/>
      </c>
      <c r="L75" s="208" t="str">
        <f t="shared" si="4"/>
        <v/>
      </c>
      <c r="M75" s="208" t="str">
        <f t="shared" si="15"/>
        <v/>
      </c>
      <c r="N75" s="608" t="str">
        <f>IF($D$3="", "", IFERROR(VLOOKUP(L75,'PIPE INCENTIVE'!$B$4:$E$19,2,FALSE),""))</f>
        <v/>
      </c>
      <c r="O75" s="608" t="str">
        <f t="shared" si="16"/>
        <v/>
      </c>
      <c r="P75" s="208" t="str">
        <f t="shared" si="17"/>
        <v/>
      </c>
      <c r="Q75" s="208" t="str">
        <f t="shared" si="5"/>
        <v/>
      </c>
      <c r="R75" s="609" t="str">
        <f t="shared" si="6"/>
        <v/>
      </c>
      <c r="S75" s="609" t="str">
        <f t="shared" si="7"/>
        <v/>
      </c>
      <c r="T75" s="609" t="str">
        <f t="shared" si="8"/>
        <v/>
      </c>
      <c r="U75" s="609" t="str" cm="1">
        <f t="array" ref="U75">IFERROR(IF($D$3="","",_xlfn.LET(_xlpm.Mixed,AND(COUNTIF($G$34:$G$533,"Heating_Hot_Water")&gt;0,(COUNTIF($G$34:$G$533,"Steam_Low_Pressure") + COUNTIF($G$34:$G$533,"Steam_Medium_Pressure") + COUNTIF($G$34:$G$533,"Steam_High_Pressure"))&gt;0),_xlpm.fluid, G75,_xlpm.fuel, K75,_xlpm.load,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5" s="609" t="str">
        <f t="shared" si="18"/>
        <v/>
      </c>
      <c r="W75" s="482"/>
      <c r="X75" s="397" t="str" cm="1">
        <f t="array" ref="X75">IFERROR(IF($D$3="","", _xlfn.XLOOKUP(1,($AR$36:$AR$53=F75)*($AS$36:$AS$53=G75), INDEX($AT$36:$BJ$53,,_xlfn.XMATCH(E75,$AT$35:$BJ$35)))),"")</f>
        <v/>
      </c>
      <c r="Y75" s="480"/>
      <c r="Z75" s="482"/>
      <c r="AA75" s="607" t="str" cm="1">
        <f t="array" ref="AA75">IFERROR(IF($D$3="", "", _xlfn.LET(_xlpm.dia, E75, _xlpm.thk, Z75, _xlpm.temp, I75,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5" s="397" t="str" cm="1">
        <f t="array" ref="AB75">IFERROR(IF($D$3="", "", _xlfn.XLOOKUP(1,($AR$57:$AR$76=Y75)*($AS$57:$AS$76=Z75), INDEX($AT$57:$BJ$76,,_xlfn.XMATCH(E75,$AT$56:$BJ$56)))),"")</f>
        <v/>
      </c>
      <c r="AC75" s="208" t="str">
        <f t="shared" si="9"/>
        <v/>
      </c>
      <c r="AD75" s="397" t="str">
        <f t="shared" si="10"/>
        <v/>
      </c>
      <c r="AE75" s="610" t="str">
        <f t="shared" si="11"/>
        <v/>
      </c>
      <c r="AF75" s="610" t="str">
        <f t="shared" si="12"/>
        <v/>
      </c>
      <c r="AG75" s="610" t="str">
        <f t="shared" si="13"/>
        <v/>
      </c>
      <c r="AH75" s="608" t="str">
        <f t="shared" si="19"/>
        <v/>
      </c>
      <c r="AI75" s="610" t="str">
        <f t="shared" si="14"/>
        <v/>
      </c>
      <c r="AM75" s="661" t="s">
        <v>211</v>
      </c>
      <c r="AN75" s="662">
        <v>6587</v>
      </c>
      <c r="AO75" s="300" t="s">
        <v>198</v>
      </c>
      <c r="AR75" s="633" t="s">
        <v>188</v>
      </c>
      <c r="AS75" s="652">
        <v>4.5</v>
      </c>
      <c r="AT75" s="647" cm="1">
        <f t="array" ref="AT75">EXP(_xlfn.FORECAST.LINEAR($AS75, LN(AT$67:AT$72), $AS$67:$AS$72))</f>
        <v>5.1665303487274293E-2</v>
      </c>
      <c r="AU75" s="647" cm="1">
        <f t="array" ref="AU75">EXP(_xlfn.FORECAST.LINEAR($AS75, LN(AU$67:AU$72), $AS$67:$AS$72))</f>
        <v>5.8616353189001394E-2</v>
      </c>
      <c r="AV75" s="647" cm="1">
        <f t="array" ref="AV75">EXP(_xlfn.FORECAST.LINEAR($AS75, LN(AV$67:AV$72), $AS$67:$AS$72))</f>
        <v>6.1867164195103165E-2</v>
      </c>
      <c r="AW75" s="647" cm="1">
        <f t="array" ref="AW75">EXP(_xlfn.FORECAST.LINEAR($AS75, LN(AW$67:AW$72), $AS$67:$AS$72))</f>
        <v>6.5366252077357231E-2</v>
      </c>
      <c r="AX75" s="647" cm="1">
        <f t="array" ref="AX75">EXP(_xlfn.FORECAST.LINEAR($AS75, LN(AX$67:AX$72), $AS$67:$AS$72))</f>
        <v>6.8960735453078653E-2</v>
      </c>
      <c r="AY75" s="647" cm="1">
        <f t="array" ref="AY75">EXP(_xlfn.FORECAST.LINEAR($AS75, LN(AY$67:AY$72), $AS$67:$AS$72))</f>
        <v>7.3566231115139422E-2</v>
      </c>
      <c r="AZ75" s="647" cm="1">
        <f t="array" ref="AZ75">EXP(_xlfn.FORECAST.LINEAR($AS75, LN(AZ$67:AZ$72), $AS$67:$AS$72))</f>
        <v>8.0439688672770154E-2</v>
      </c>
      <c r="BA75" s="647" cm="1">
        <f t="array" ref="BA75">EXP(_xlfn.FORECAST.LINEAR($AS75, LN(BA$67:BA$72), $AS$67:$AS$72))</f>
        <v>8.9694651627733296E-2</v>
      </c>
      <c r="BB75" s="647" cm="1">
        <f t="array" ref="BB75">EXP(_xlfn.FORECAST.LINEAR($AS75, LN(BB$67:BB$72), $AS$67:$AS$72))</f>
        <v>9.6019125934676916E-2</v>
      </c>
      <c r="BC75" s="647" cm="1">
        <f t="array" ref="BC75">EXP(_xlfn.FORECAST.LINEAR($AS75, LN(BC$67:BC$72), $AS$67:$AS$72))</f>
        <v>0.10608991374626249</v>
      </c>
      <c r="BD75" s="647" cm="1">
        <f t="array" ref="BD75">EXP(_xlfn.FORECAST.LINEAR($AS75, LN(BD$67:BD$72), $AS$67:$AS$72))</f>
        <v>0.11623314472946587</v>
      </c>
      <c r="BE75" s="647" cm="1">
        <f t="array" ref="BE75">EXP(_xlfn.FORECAST.LINEAR($AS75, LN(BE$67:BE$72), $AS$67:$AS$72))</f>
        <v>0.12313781489991814</v>
      </c>
      <c r="BF75" s="647" cm="1">
        <f t="array" ref="BF75">EXP(_xlfn.FORECAST.LINEAR($AS75, LN(BF$67:BF$72), $AS$67:$AS$72))</f>
        <v>0.15184077999389392</v>
      </c>
      <c r="BG75" s="647" cm="1">
        <f t="array" ref="BG75">EXP(_xlfn.FORECAST.LINEAR(LN(BG$56), LN($AT75:$BF75), LN($AT$56:$BF$56)))</f>
        <v>0.14754962202439537</v>
      </c>
      <c r="BH75" s="647" cm="1">
        <f t="array" ref="BH75">EXP(_xlfn.FORECAST.LINEAR(LN(BH$56), LN($AT75:$BF75), LN($AT$56:$BF$56)))</f>
        <v>0.15809471524384397</v>
      </c>
      <c r="BI75" s="647" cm="1">
        <f t="array" ref="BI75">EXP(_xlfn.FORECAST.LINEAR(LN(BI$56), LN($AT75:$BF75), LN($AT$56:$BF$56)))</f>
        <v>0.16759630848733223</v>
      </c>
      <c r="BJ75" s="647" cm="1">
        <f t="array" ref="BJ75">EXP(_xlfn.FORECAST.LINEAR(LN(BJ$56), LN($AT75:$BF75), LN($AT$56:$BF$56)))</f>
        <v>0.17628733063831364</v>
      </c>
      <c r="BK75" s="632" t="s">
        <v>202</v>
      </c>
    </row>
    <row r="76" spans="2:63" x14ac:dyDescent="0.25">
      <c r="B76" s="209">
        <v>43</v>
      </c>
      <c r="C76" s="480"/>
      <c r="D76" s="480"/>
      <c r="E76" s="481"/>
      <c r="F76" s="480"/>
      <c r="G76" s="480"/>
      <c r="H76" s="607" t="str">
        <f t="shared" si="0"/>
        <v/>
      </c>
      <c r="I76" s="607" t="str">
        <f t="shared" si="1"/>
        <v/>
      </c>
      <c r="J76" s="607" t="str">
        <f t="shared" si="2"/>
        <v/>
      </c>
      <c r="K76" s="208" t="str">
        <f t="shared" si="3"/>
        <v/>
      </c>
      <c r="L76" s="208" t="str">
        <f t="shared" si="4"/>
        <v/>
      </c>
      <c r="M76" s="208" t="str">
        <f t="shared" si="15"/>
        <v/>
      </c>
      <c r="N76" s="608" t="str">
        <f>IF($D$3="", "", IFERROR(VLOOKUP(L76,'PIPE INCENTIVE'!$B$4:$E$19,2,FALSE),""))</f>
        <v/>
      </c>
      <c r="O76" s="608" t="str">
        <f t="shared" si="16"/>
        <v/>
      </c>
      <c r="P76" s="208" t="str">
        <f t="shared" si="17"/>
        <v/>
      </c>
      <c r="Q76" s="208" t="str">
        <f t="shared" si="5"/>
        <v/>
      </c>
      <c r="R76" s="609" t="str">
        <f t="shared" si="6"/>
        <v/>
      </c>
      <c r="S76" s="609" t="str">
        <f t="shared" si="7"/>
        <v/>
      </c>
      <c r="T76" s="609" t="str">
        <f t="shared" si="8"/>
        <v/>
      </c>
      <c r="U76" s="609" t="str" cm="1">
        <f t="array" ref="U76">IFERROR(IF($D$3="","",_xlfn.LET(_xlpm.Mixed,AND(COUNTIF($G$34:$G$533,"Heating_Hot_Water")&gt;0,(COUNTIF($G$34:$G$533,"Steam_Low_Pressure") + COUNTIF($G$34:$G$533,"Steam_Medium_Pressure") + COUNTIF($G$34:$G$533,"Steam_High_Pressure"))&gt;0),_xlpm.fluid, G76,_xlpm.fuel, K76,_xlpm.load,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6" s="609" t="str">
        <f t="shared" si="18"/>
        <v/>
      </c>
      <c r="W76" s="482"/>
      <c r="X76" s="397" t="str" cm="1">
        <f t="array" ref="X76">IFERROR(IF($D$3="","", _xlfn.XLOOKUP(1,($AR$36:$AR$53=F76)*($AS$36:$AS$53=G76), INDEX($AT$36:$BJ$53,,_xlfn.XMATCH(E76,$AT$35:$BJ$35)))),"")</f>
        <v/>
      </c>
      <c r="Y76" s="480"/>
      <c r="Z76" s="482"/>
      <c r="AA76" s="607" t="str" cm="1">
        <f t="array" ref="AA76">IFERROR(IF($D$3="", "", _xlfn.LET(_xlpm.dia, E76, _xlpm.thk, Z76, _xlpm.temp, I76,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6" s="397" t="str" cm="1">
        <f t="array" ref="AB76">IFERROR(IF($D$3="", "", _xlfn.XLOOKUP(1,($AR$57:$AR$76=Y76)*($AS$57:$AS$76=Z76), INDEX($AT$57:$BJ$76,,_xlfn.XMATCH(E76,$AT$56:$BJ$56)))),"")</f>
        <v/>
      </c>
      <c r="AC76" s="208" t="str">
        <f t="shared" si="9"/>
        <v/>
      </c>
      <c r="AD76" s="397" t="str">
        <f t="shared" si="10"/>
        <v/>
      </c>
      <c r="AE76" s="610" t="str">
        <f t="shared" si="11"/>
        <v/>
      </c>
      <c r="AF76" s="610" t="str">
        <f t="shared" si="12"/>
        <v/>
      </c>
      <c r="AG76" s="610" t="str">
        <f t="shared" si="13"/>
        <v/>
      </c>
      <c r="AH76" s="608" t="str">
        <f t="shared" si="19"/>
        <v/>
      </c>
      <c r="AI76" s="610" t="str">
        <f t="shared" si="14"/>
        <v/>
      </c>
      <c r="AM76" s="661" t="s">
        <v>212</v>
      </c>
      <c r="AN76" s="662">
        <v>7214</v>
      </c>
      <c r="AO76" s="300" t="s">
        <v>198</v>
      </c>
      <c r="AR76" s="635" t="s">
        <v>188</v>
      </c>
      <c r="AS76" s="653">
        <v>5</v>
      </c>
      <c r="AT76" s="654" cm="1">
        <f t="array" ref="AT76">EXP(_xlfn.FORECAST.LINEAR($AS76, LN(AT$67:AT$72), $AS$67:$AS$72))</f>
        <v>4.5517490295449776E-2</v>
      </c>
      <c r="AU76" s="654" cm="1">
        <f t="array" ref="AU76">EXP(_xlfn.FORECAST.LINEAR($AS76, LN(AU$67:AU$72), $AS$67:$AS$72))</f>
        <v>5.1452866743633981E-2</v>
      </c>
      <c r="AV76" s="654" cm="1">
        <f t="array" ref="AV76">EXP(_xlfn.FORECAST.LINEAR($AS76, LN(AV$67:AV$72), $AS$67:$AS$72))</f>
        <v>5.376351130126545E-2</v>
      </c>
      <c r="AW76" s="654" cm="1">
        <f t="array" ref="AW76">EXP(_xlfn.FORECAST.LINEAR($AS76, LN(AW$67:AW$72), $AS$67:$AS$72))</f>
        <v>5.6244717852575433E-2</v>
      </c>
      <c r="AX76" s="654" cm="1">
        <f t="array" ref="AX76">EXP(_xlfn.FORECAST.LINEAR($AS76, LN(AX$67:AX$72), $AS$67:$AS$72))</f>
        <v>5.8965391371879887E-2</v>
      </c>
      <c r="AY76" s="654" cm="1">
        <f t="array" ref="AY76">EXP(_xlfn.FORECAST.LINEAR($AS76, LN(AY$67:AY$72), $AS$67:$AS$72))</f>
        <v>6.2050852230319031E-2</v>
      </c>
      <c r="AZ76" s="654" cm="1">
        <f t="array" ref="AZ76">EXP(_xlfn.FORECAST.LINEAR($AS76, LN(AZ$67:AZ$72), $AS$67:$AS$72))</f>
        <v>6.7525636931848459E-2</v>
      </c>
      <c r="BA76" s="654" cm="1">
        <f t="array" ref="BA76">EXP(_xlfn.FORECAST.LINEAR($AS76, LN(BA$67:BA$72), $AS$67:$AS$72))</f>
        <v>7.4906552294231779E-2</v>
      </c>
      <c r="BB76" s="654" cm="1">
        <f t="array" ref="BB76">EXP(_xlfn.FORECAST.LINEAR($AS76, LN(BB$67:BB$72), $AS$67:$AS$72))</f>
        <v>7.9832584693127429E-2</v>
      </c>
      <c r="BC76" s="654" cm="1">
        <f t="array" ref="BC76">EXP(_xlfn.FORECAST.LINEAR($AS76, LN(BC$67:BC$72), $AS$67:$AS$72))</f>
        <v>8.8352323807928929E-2</v>
      </c>
      <c r="BD76" s="654" cm="1">
        <f t="array" ref="BD76">EXP(_xlfn.FORECAST.LINEAR($AS76, LN(BD$67:BD$72), $AS$67:$AS$72))</f>
        <v>9.5642736363081945E-2</v>
      </c>
      <c r="BE76" s="654" cm="1">
        <f t="array" ref="BE76">EXP(_xlfn.FORECAST.LINEAR($AS76, LN(BE$67:BE$72), $AS$67:$AS$72))</f>
        <v>0.10005790803295424</v>
      </c>
      <c r="BF76" s="654" cm="1">
        <f t="array" ref="BF76">EXP(_xlfn.FORECAST.LINEAR($AS76, LN(BF$67:BF$72), $AS$67:$AS$72))</f>
        <v>0.12331895484826197</v>
      </c>
      <c r="BG76" s="654" cm="1">
        <f t="array" ref="BG76">EXP(_xlfn.FORECAST.LINEAR(LN(BG$56), LN($AT76:$BF76), LN($AT$56:$BF$56)))</f>
        <v>0.118663572033537</v>
      </c>
      <c r="BH76" s="654" cm="1">
        <f t="array" ref="BH76">EXP(_xlfn.FORECAST.LINEAR(LN(BH$56), LN($AT76:$BF76), LN($AT$56:$BF$56)))</f>
        <v>0.12640246119395701</v>
      </c>
      <c r="BI76" s="654" cm="1">
        <f t="array" ref="BI76">EXP(_xlfn.FORECAST.LINEAR(LN(BI$56), LN($AT76:$BF76), LN($AT$56:$BF$56)))</f>
        <v>0.13333805753380917</v>
      </c>
      <c r="BJ76" s="654" cm="1">
        <f t="array" ref="BJ76">EXP(_xlfn.FORECAST.LINEAR(LN(BJ$56), LN($AT76:$BF76), LN($AT$56:$BF$56)))</f>
        <v>0.1396528040077521</v>
      </c>
      <c r="BK76" s="639" t="s">
        <v>202</v>
      </c>
    </row>
    <row r="77" spans="2:63" x14ac:dyDescent="0.25">
      <c r="B77" s="209">
        <v>44</v>
      </c>
      <c r="C77" s="480"/>
      <c r="D77" s="480"/>
      <c r="E77" s="481"/>
      <c r="F77" s="480"/>
      <c r="G77" s="480"/>
      <c r="H77" s="607" t="str">
        <f t="shared" si="0"/>
        <v/>
      </c>
      <c r="I77" s="607" t="str">
        <f t="shared" si="1"/>
        <v/>
      </c>
      <c r="J77" s="607" t="str">
        <f t="shared" si="2"/>
        <v/>
      </c>
      <c r="K77" s="208" t="str">
        <f t="shared" si="3"/>
        <v/>
      </c>
      <c r="L77" s="208" t="str">
        <f t="shared" si="4"/>
        <v/>
      </c>
      <c r="M77" s="208" t="str">
        <f t="shared" si="15"/>
        <v/>
      </c>
      <c r="N77" s="608" t="str">
        <f>IF($D$3="", "", IFERROR(VLOOKUP(L77,'PIPE INCENTIVE'!$B$4:$E$19,2,FALSE),""))</f>
        <v/>
      </c>
      <c r="O77" s="608" t="str">
        <f t="shared" si="16"/>
        <v/>
      </c>
      <c r="P77" s="208" t="str">
        <f t="shared" si="17"/>
        <v/>
      </c>
      <c r="Q77" s="208" t="str">
        <f t="shared" si="5"/>
        <v/>
      </c>
      <c r="R77" s="609" t="str">
        <f t="shared" si="6"/>
        <v/>
      </c>
      <c r="S77" s="609" t="str">
        <f t="shared" si="7"/>
        <v/>
      </c>
      <c r="T77" s="609" t="str">
        <f t="shared" si="8"/>
        <v/>
      </c>
      <c r="U77" s="609" t="str" cm="1">
        <f t="array" ref="U77">IFERROR(IF($D$3="","",_xlfn.LET(_xlpm.Mixed,AND(COUNTIF($G$34:$G$533,"Heating_Hot_Water")&gt;0,(COUNTIF($G$34:$G$533,"Steam_Low_Pressure") + COUNTIF($G$34:$G$533,"Steam_Medium_Pressure") + COUNTIF($G$34:$G$533,"Steam_High_Pressure"))&gt;0),_xlpm.fluid, G77,_xlpm.fuel, K77,_xlpm.load,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7" s="609" t="str">
        <f t="shared" si="18"/>
        <v/>
      </c>
      <c r="W77" s="482"/>
      <c r="X77" s="397" t="str" cm="1">
        <f t="array" ref="X77">IFERROR(IF($D$3="","", _xlfn.XLOOKUP(1,($AR$36:$AR$53=F77)*($AS$36:$AS$53=G77), INDEX($AT$36:$BJ$53,,_xlfn.XMATCH(E77,$AT$35:$BJ$35)))),"")</f>
        <v/>
      </c>
      <c r="Y77" s="480"/>
      <c r="Z77" s="482"/>
      <c r="AA77" s="607" t="str" cm="1">
        <f t="array" ref="AA77">IFERROR(IF($D$3="", "", _xlfn.LET(_xlpm.dia, E77, _xlpm.thk, Z77, _xlpm.temp, I77,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7" s="397" t="str" cm="1">
        <f t="array" ref="AB77">IFERROR(IF($D$3="", "", _xlfn.XLOOKUP(1,($AR$57:$AR$76=Y77)*($AS$57:$AS$76=Z77), INDEX($AT$57:$BJ$76,,_xlfn.XMATCH(E77,$AT$56:$BJ$56)))),"")</f>
        <v/>
      </c>
      <c r="AC77" s="208" t="str">
        <f t="shared" si="9"/>
        <v/>
      </c>
      <c r="AD77" s="397" t="str">
        <f t="shared" si="10"/>
        <v/>
      </c>
      <c r="AE77" s="610" t="str">
        <f t="shared" si="11"/>
        <v/>
      </c>
      <c r="AF77" s="610" t="str">
        <f t="shared" si="12"/>
        <v/>
      </c>
      <c r="AG77" s="610" t="str">
        <f t="shared" si="13"/>
        <v/>
      </c>
      <c r="AH77" s="608" t="str">
        <f t="shared" si="19"/>
        <v/>
      </c>
      <c r="AI77" s="610" t="str">
        <f t="shared" si="14"/>
        <v/>
      </c>
      <c r="AM77" s="661" t="s">
        <v>213</v>
      </c>
      <c r="AN77" s="662">
        <v>6727</v>
      </c>
      <c r="AO77" s="300" t="s">
        <v>198</v>
      </c>
    </row>
    <row r="78" spans="2:63" x14ac:dyDescent="0.25">
      <c r="B78" s="209">
        <v>45</v>
      </c>
      <c r="C78" s="480"/>
      <c r="D78" s="480"/>
      <c r="E78" s="481"/>
      <c r="F78" s="480"/>
      <c r="G78" s="480"/>
      <c r="H78" s="607" t="str">
        <f t="shared" si="0"/>
        <v/>
      </c>
      <c r="I78" s="607" t="str">
        <f t="shared" si="1"/>
        <v/>
      </c>
      <c r="J78" s="607" t="str">
        <f t="shared" si="2"/>
        <v/>
      </c>
      <c r="K78" s="208" t="str">
        <f t="shared" si="3"/>
        <v/>
      </c>
      <c r="L78" s="208" t="str">
        <f t="shared" si="4"/>
        <v/>
      </c>
      <c r="M78" s="208" t="str">
        <f t="shared" si="15"/>
        <v/>
      </c>
      <c r="N78" s="608" t="str">
        <f>IF($D$3="", "", IFERROR(VLOOKUP(L78,'PIPE INCENTIVE'!$B$4:$E$19,2,FALSE),""))</f>
        <v/>
      </c>
      <c r="O78" s="608" t="str">
        <f t="shared" si="16"/>
        <v/>
      </c>
      <c r="P78" s="208" t="str">
        <f t="shared" si="17"/>
        <v/>
      </c>
      <c r="Q78" s="208" t="str">
        <f t="shared" si="5"/>
        <v/>
      </c>
      <c r="R78" s="609" t="str">
        <f t="shared" si="6"/>
        <v/>
      </c>
      <c r="S78" s="609" t="str">
        <f t="shared" si="7"/>
        <v/>
      </c>
      <c r="T78" s="609" t="str">
        <f t="shared" si="8"/>
        <v/>
      </c>
      <c r="U78" s="609" t="str" cm="1">
        <f t="array" ref="U78">IFERROR(IF($D$3="","",_xlfn.LET(_xlpm.Mixed,AND(COUNTIF($G$34:$G$533,"Heating_Hot_Water")&gt;0,(COUNTIF($G$34:$G$533,"Steam_Low_Pressure") + COUNTIF($G$34:$G$533,"Steam_Medium_Pressure") + COUNTIF($G$34:$G$533,"Steam_High_Pressure"))&gt;0),_xlpm.fluid, G78,_xlpm.fuel, K78,_xlpm.load,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8" s="609" t="str">
        <f t="shared" si="18"/>
        <v/>
      </c>
      <c r="W78" s="482"/>
      <c r="X78" s="397" t="str" cm="1">
        <f t="array" ref="X78">IFERROR(IF($D$3="","", _xlfn.XLOOKUP(1,($AR$36:$AR$53=F78)*($AS$36:$AS$53=G78), INDEX($AT$36:$BJ$53,,_xlfn.XMATCH(E78,$AT$35:$BJ$35)))),"")</f>
        <v/>
      </c>
      <c r="Y78" s="480"/>
      <c r="Z78" s="482"/>
      <c r="AA78" s="607" t="str" cm="1">
        <f t="array" ref="AA78">IFERROR(IF($D$3="", "", _xlfn.LET(_xlpm.dia, E78, _xlpm.thk, Z78, _xlpm.temp, I78,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8" s="397" t="str" cm="1">
        <f t="array" ref="AB78">IFERROR(IF($D$3="", "", _xlfn.XLOOKUP(1,($AR$57:$AR$76=Y78)*($AS$57:$AS$76=Z78), INDEX($AT$57:$BJ$76,,_xlfn.XMATCH(E78,$AT$56:$BJ$56)))),"")</f>
        <v/>
      </c>
      <c r="AC78" s="208" t="str">
        <f t="shared" si="9"/>
        <v/>
      </c>
      <c r="AD78" s="397" t="str">
        <f t="shared" si="10"/>
        <v/>
      </c>
      <c r="AE78" s="610" t="str">
        <f t="shared" si="11"/>
        <v/>
      </c>
      <c r="AF78" s="610" t="str">
        <f t="shared" si="12"/>
        <v/>
      </c>
      <c r="AG78" s="610" t="str">
        <f t="shared" si="13"/>
        <v/>
      </c>
      <c r="AH78" s="608" t="str">
        <f t="shared" si="19"/>
        <v/>
      </c>
      <c r="AI78" s="610" t="str">
        <f t="shared" si="14"/>
        <v/>
      </c>
      <c r="AM78" s="661" t="s">
        <v>214</v>
      </c>
      <c r="AN78" s="662">
        <v>7138</v>
      </c>
      <c r="AO78" s="300" t="s">
        <v>198</v>
      </c>
      <c r="AR78" s="656" t="s">
        <v>215</v>
      </c>
      <c r="AS78" s="657"/>
      <c r="AT78" s="658"/>
    </row>
    <row r="79" spans="2:63" x14ac:dyDescent="0.25">
      <c r="B79" s="209">
        <v>46</v>
      </c>
      <c r="C79" s="480"/>
      <c r="D79" s="480"/>
      <c r="E79" s="481"/>
      <c r="F79" s="480"/>
      <c r="G79" s="480"/>
      <c r="H79" s="607" t="str">
        <f t="shared" si="0"/>
        <v/>
      </c>
      <c r="I79" s="607" t="str">
        <f t="shared" si="1"/>
        <v/>
      </c>
      <c r="J79" s="607" t="str">
        <f t="shared" si="2"/>
        <v/>
      </c>
      <c r="K79" s="208" t="str">
        <f t="shared" si="3"/>
        <v/>
      </c>
      <c r="L79" s="208" t="str">
        <f t="shared" si="4"/>
        <v/>
      </c>
      <c r="M79" s="208" t="str">
        <f t="shared" si="15"/>
        <v/>
      </c>
      <c r="N79" s="608" t="str">
        <f>IF($D$3="", "", IFERROR(VLOOKUP(L79,'PIPE INCENTIVE'!$B$4:$E$19,2,FALSE),""))</f>
        <v/>
      </c>
      <c r="O79" s="608" t="str">
        <f t="shared" si="16"/>
        <v/>
      </c>
      <c r="P79" s="208" t="str">
        <f t="shared" si="17"/>
        <v/>
      </c>
      <c r="Q79" s="208" t="str">
        <f t="shared" si="5"/>
        <v/>
      </c>
      <c r="R79" s="609" t="str">
        <f t="shared" si="6"/>
        <v/>
      </c>
      <c r="S79" s="609" t="str">
        <f t="shared" si="7"/>
        <v/>
      </c>
      <c r="T79" s="609" t="str">
        <f t="shared" si="8"/>
        <v/>
      </c>
      <c r="U79" s="609" t="str" cm="1">
        <f t="array" ref="U79">IFERROR(IF($D$3="","",_xlfn.LET(_xlpm.Mixed,AND(COUNTIF($G$34:$G$533,"Heating_Hot_Water")&gt;0,(COUNTIF($G$34:$G$533,"Steam_Low_Pressure") + COUNTIF($G$34:$G$533,"Steam_Medium_Pressure") + COUNTIF($G$34:$G$533,"Steam_High_Pressure"))&gt;0),_xlpm.fluid, G79,_xlpm.fuel, K79,_xlpm.load,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79" s="609" t="str">
        <f t="shared" si="18"/>
        <v/>
      </c>
      <c r="W79" s="482"/>
      <c r="X79" s="397" t="str" cm="1">
        <f t="array" ref="X79">IFERROR(IF($D$3="","", _xlfn.XLOOKUP(1,($AR$36:$AR$53=F79)*($AS$36:$AS$53=G79), INDEX($AT$36:$BJ$53,,_xlfn.XMATCH(E79,$AT$35:$BJ$35)))),"")</f>
        <v/>
      </c>
      <c r="Y79" s="480"/>
      <c r="Z79" s="482"/>
      <c r="AA79" s="607" t="str" cm="1">
        <f t="array" ref="AA79">IFERROR(IF($D$3="", "", _xlfn.LET(_xlpm.dia, E79, _xlpm.thk, Z79, _xlpm.temp, I79,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79" s="397" t="str" cm="1">
        <f t="array" ref="AB79">IFERROR(IF($D$3="", "", _xlfn.XLOOKUP(1,($AR$57:$AR$76=Y79)*($AS$57:$AS$76=Z79), INDEX($AT$57:$BJ$76,,_xlfn.XMATCH(E79,$AT$56:$BJ$56)))),"")</f>
        <v/>
      </c>
      <c r="AC79" s="208" t="str">
        <f t="shared" si="9"/>
        <v/>
      </c>
      <c r="AD79" s="397" t="str">
        <f t="shared" si="10"/>
        <v/>
      </c>
      <c r="AE79" s="610" t="str">
        <f t="shared" si="11"/>
        <v/>
      </c>
      <c r="AF79" s="610" t="str">
        <f t="shared" si="12"/>
        <v/>
      </c>
      <c r="AG79" s="610" t="str">
        <f t="shared" si="13"/>
        <v/>
      </c>
      <c r="AH79" s="608" t="str">
        <f t="shared" si="19"/>
        <v/>
      </c>
      <c r="AI79" s="610" t="str">
        <f t="shared" si="14"/>
        <v/>
      </c>
      <c r="AM79" s="661" t="s">
        <v>216</v>
      </c>
      <c r="AN79" s="662">
        <v>5920</v>
      </c>
      <c r="AO79" s="300" t="s">
        <v>198</v>
      </c>
      <c r="AR79" s="663" t="s">
        <v>217</v>
      </c>
      <c r="AS79" s="664"/>
      <c r="AT79" s="665"/>
    </row>
    <row r="80" spans="2:63" x14ac:dyDescent="0.25">
      <c r="B80" s="209">
        <v>47</v>
      </c>
      <c r="C80" s="480"/>
      <c r="D80" s="480"/>
      <c r="E80" s="481"/>
      <c r="F80" s="480"/>
      <c r="G80" s="480"/>
      <c r="H80" s="607" t="str">
        <f t="shared" si="0"/>
        <v/>
      </c>
      <c r="I80" s="607" t="str">
        <f t="shared" si="1"/>
        <v/>
      </c>
      <c r="J80" s="607" t="str">
        <f t="shared" si="2"/>
        <v/>
      </c>
      <c r="K80" s="208" t="str">
        <f t="shared" si="3"/>
        <v/>
      </c>
      <c r="L80" s="208" t="str">
        <f t="shared" si="4"/>
        <v/>
      </c>
      <c r="M80" s="208" t="str">
        <f t="shared" si="15"/>
        <v/>
      </c>
      <c r="N80" s="608" t="str">
        <f>IF($D$3="", "", IFERROR(VLOOKUP(L80,'PIPE INCENTIVE'!$B$4:$E$19,2,FALSE),""))</f>
        <v/>
      </c>
      <c r="O80" s="608" t="str">
        <f t="shared" si="16"/>
        <v/>
      </c>
      <c r="P80" s="208" t="str">
        <f t="shared" si="17"/>
        <v/>
      </c>
      <c r="Q80" s="208" t="str">
        <f t="shared" si="5"/>
        <v/>
      </c>
      <c r="R80" s="609" t="str">
        <f t="shared" si="6"/>
        <v/>
      </c>
      <c r="S80" s="609" t="str">
        <f t="shared" si="7"/>
        <v/>
      </c>
      <c r="T80" s="609" t="str">
        <f t="shared" si="8"/>
        <v/>
      </c>
      <c r="U80" s="609" t="str" cm="1">
        <f t="array" ref="U80">IFERROR(IF($D$3="","",_xlfn.LET(_xlpm.Mixed,AND(COUNTIF($G$34:$G$533,"Heating_Hot_Water")&gt;0,(COUNTIF($G$34:$G$533,"Steam_Low_Pressure") + COUNTIF($G$34:$G$533,"Steam_Medium_Pressure") + COUNTIF($G$34:$G$533,"Steam_High_Pressure"))&gt;0),_xlpm.fluid, G80,_xlpm.fuel, K80,_xlpm.load,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0" s="609" t="str">
        <f t="shared" si="18"/>
        <v/>
      </c>
      <c r="W80" s="482"/>
      <c r="X80" s="397" t="str" cm="1">
        <f t="array" ref="X80">IFERROR(IF($D$3="","", _xlfn.XLOOKUP(1,($AR$36:$AR$53=F80)*($AS$36:$AS$53=G80), INDEX($AT$36:$BJ$53,,_xlfn.XMATCH(E80,$AT$35:$BJ$35)))),"")</f>
        <v/>
      </c>
      <c r="Y80" s="480"/>
      <c r="Z80" s="482"/>
      <c r="AA80" s="607" t="str" cm="1">
        <f t="array" ref="AA80">IFERROR(IF($D$3="", "", _xlfn.LET(_xlpm.dia, E80, _xlpm.thk, Z80, _xlpm.temp, I80,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0" s="397" t="str" cm="1">
        <f t="array" ref="AB80">IFERROR(IF($D$3="", "", _xlfn.XLOOKUP(1,($AR$57:$AR$76=Y80)*($AS$57:$AS$76=Z80), INDEX($AT$57:$BJ$76,,_xlfn.XMATCH(E80,$AT$56:$BJ$56)))),"")</f>
        <v/>
      </c>
      <c r="AC80" s="208" t="str">
        <f t="shared" si="9"/>
        <v/>
      </c>
      <c r="AD80" s="397" t="str">
        <f t="shared" si="10"/>
        <v/>
      </c>
      <c r="AE80" s="610" t="str">
        <f t="shared" si="11"/>
        <v/>
      </c>
      <c r="AF80" s="610" t="str">
        <f t="shared" si="12"/>
        <v/>
      </c>
      <c r="AG80" s="610" t="str">
        <f t="shared" si="13"/>
        <v/>
      </c>
      <c r="AH80" s="608" t="str">
        <f t="shared" si="19"/>
        <v/>
      </c>
      <c r="AI80" s="610" t="str">
        <f t="shared" si="14"/>
        <v/>
      </c>
      <c r="AM80" s="661" t="s">
        <v>218</v>
      </c>
      <c r="AN80" s="662">
        <v>6481</v>
      </c>
      <c r="AO80" s="300" t="s">
        <v>198</v>
      </c>
      <c r="AR80" s="666" t="s">
        <v>149</v>
      </c>
      <c r="AS80" s="666" t="s">
        <v>192</v>
      </c>
      <c r="AT80" s="646">
        <v>1</v>
      </c>
      <c r="AV80" s="629"/>
    </row>
    <row r="81" spans="2:48" x14ac:dyDescent="0.25">
      <c r="B81" s="209">
        <v>48</v>
      </c>
      <c r="C81" s="480"/>
      <c r="D81" s="480"/>
      <c r="E81" s="481"/>
      <c r="F81" s="480"/>
      <c r="G81" s="480"/>
      <c r="H81" s="607" t="str">
        <f t="shared" si="0"/>
        <v/>
      </c>
      <c r="I81" s="607" t="str">
        <f t="shared" si="1"/>
        <v/>
      </c>
      <c r="J81" s="607" t="str">
        <f t="shared" si="2"/>
        <v/>
      </c>
      <c r="K81" s="208" t="str">
        <f t="shared" si="3"/>
        <v/>
      </c>
      <c r="L81" s="208" t="str">
        <f t="shared" si="4"/>
        <v/>
      </c>
      <c r="M81" s="208" t="str">
        <f t="shared" si="15"/>
        <v/>
      </c>
      <c r="N81" s="608" t="str">
        <f>IF($D$3="", "", IFERROR(VLOOKUP(L81,'PIPE INCENTIVE'!$B$4:$E$19,2,FALSE),""))</f>
        <v/>
      </c>
      <c r="O81" s="608" t="str">
        <f t="shared" si="16"/>
        <v/>
      </c>
      <c r="P81" s="208" t="str">
        <f t="shared" si="17"/>
        <v/>
      </c>
      <c r="Q81" s="208" t="str">
        <f t="shared" si="5"/>
        <v/>
      </c>
      <c r="R81" s="609" t="str">
        <f t="shared" si="6"/>
        <v/>
      </c>
      <c r="S81" s="609" t="str">
        <f t="shared" si="7"/>
        <v/>
      </c>
      <c r="T81" s="609" t="str">
        <f t="shared" si="8"/>
        <v/>
      </c>
      <c r="U81" s="609" t="str" cm="1">
        <f t="array" ref="U81">IFERROR(IF($D$3="","",_xlfn.LET(_xlpm.Mixed,AND(COUNTIF($G$34:$G$533,"Heating_Hot_Water")&gt;0,(COUNTIF($G$34:$G$533,"Steam_Low_Pressure") + COUNTIF($G$34:$G$533,"Steam_Medium_Pressure") + COUNTIF($G$34:$G$533,"Steam_High_Pressure"))&gt;0),_xlpm.fluid, G81,_xlpm.fuel, K81,_xlpm.load,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1" s="609" t="str">
        <f t="shared" si="18"/>
        <v/>
      </c>
      <c r="W81" s="482"/>
      <c r="X81" s="397" t="str" cm="1">
        <f t="array" ref="X81">IFERROR(IF($D$3="","", _xlfn.XLOOKUP(1,($AR$36:$AR$53=F81)*($AS$36:$AS$53=G81), INDEX($AT$36:$BJ$53,,_xlfn.XMATCH(E81,$AT$35:$BJ$35)))),"")</f>
        <v/>
      </c>
      <c r="Y81" s="480"/>
      <c r="Z81" s="482"/>
      <c r="AA81" s="607" t="str" cm="1">
        <f t="array" ref="AA81">IFERROR(IF($D$3="", "", _xlfn.LET(_xlpm.dia, E81, _xlpm.thk, Z81, _xlpm.temp, I81,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1" s="397" t="str" cm="1">
        <f t="array" ref="AB81">IFERROR(IF($D$3="", "", _xlfn.XLOOKUP(1,($AR$57:$AR$76=Y81)*($AS$57:$AS$76=Z81), INDEX($AT$57:$BJ$76,,_xlfn.XMATCH(E81,$AT$56:$BJ$56)))),"")</f>
        <v/>
      </c>
      <c r="AC81" s="208" t="str">
        <f t="shared" si="9"/>
        <v/>
      </c>
      <c r="AD81" s="397" t="str">
        <f t="shared" si="10"/>
        <v/>
      </c>
      <c r="AE81" s="610" t="str">
        <f t="shared" si="11"/>
        <v/>
      </c>
      <c r="AF81" s="610" t="str">
        <f t="shared" si="12"/>
        <v/>
      </c>
      <c r="AG81" s="610" t="str">
        <f t="shared" si="13"/>
        <v/>
      </c>
      <c r="AH81" s="608" t="str">
        <f t="shared" si="19"/>
        <v/>
      </c>
      <c r="AI81" s="610" t="str">
        <f t="shared" si="14"/>
        <v/>
      </c>
      <c r="AM81" s="661" t="s">
        <v>219</v>
      </c>
      <c r="AN81" s="662">
        <v>6671</v>
      </c>
      <c r="AO81" s="300" t="s">
        <v>198</v>
      </c>
      <c r="AR81" s="667" t="s">
        <v>149</v>
      </c>
      <c r="AS81" s="667" t="s">
        <v>194</v>
      </c>
      <c r="AT81" s="649">
        <v>0</v>
      </c>
    </row>
    <row r="82" spans="2:48" x14ac:dyDescent="0.25">
      <c r="B82" s="209">
        <v>49</v>
      </c>
      <c r="C82" s="480"/>
      <c r="D82" s="480"/>
      <c r="E82" s="481"/>
      <c r="F82" s="480"/>
      <c r="G82" s="480"/>
      <c r="H82" s="607" t="str">
        <f t="shared" si="0"/>
        <v/>
      </c>
      <c r="I82" s="607" t="str">
        <f t="shared" si="1"/>
        <v/>
      </c>
      <c r="J82" s="607" t="str">
        <f t="shared" si="2"/>
        <v/>
      </c>
      <c r="K82" s="208" t="str">
        <f t="shared" si="3"/>
        <v/>
      </c>
      <c r="L82" s="208" t="str">
        <f t="shared" si="4"/>
        <v/>
      </c>
      <c r="M82" s="208" t="str">
        <f t="shared" si="15"/>
        <v/>
      </c>
      <c r="N82" s="608" t="str">
        <f>IF($D$3="", "", IFERROR(VLOOKUP(L82,'PIPE INCENTIVE'!$B$4:$E$19,2,FALSE),""))</f>
        <v/>
      </c>
      <c r="O82" s="608" t="str">
        <f t="shared" si="16"/>
        <v/>
      </c>
      <c r="P82" s="208" t="str">
        <f t="shared" si="17"/>
        <v/>
      </c>
      <c r="Q82" s="208" t="str">
        <f t="shared" si="5"/>
        <v/>
      </c>
      <c r="R82" s="609" t="str">
        <f t="shared" si="6"/>
        <v/>
      </c>
      <c r="S82" s="609" t="str">
        <f t="shared" si="7"/>
        <v/>
      </c>
      <c r="T82" s="609" t="str">
        <f t="shared" si="8"/>
        <v/>
      </c>
      <c r="U82" s="609" t="str" cm="1">
        <f t="array" ref="U82">IFERROR(IF($D$3="","",_xlfn.LET(_xlpm.Mixed,AND(COUNTIF($G$34:$G$533,"Heating_Hot_Water")&gt;0,(COUNTIF($G$34:$G$533,"Steam_Low_Pressure") + COUNTIF($G$34:$G$533,"Steam_Medium_Pressure") + COUNTIF($G$34:$G$533,"Steam_High_Pressure"))&gt;0),_xlpm.fluid, G82,_xlpm.fuel, K82,_xlpm.load,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2" s="609" t="str">
        <f t="shared" si="18"/>
        <v/>
      </c>
      <c r="W82" s="482"/>
      <c r="X82" s="397" t="str" cm="1">
        <f t="array" ref="X82">IFERROR(IF($D$3="","", _xlfn.XLOOKUP(1,($AR$36:$AR$53=F82)*($AS$36:$AS$53=G82), INDEX($AT$36:$BJ$53,,_xlfn.XMATCH(E82,$AT$35:$BJ$35)))),"")</f>
        <v/>
      </c>
      <c r="Y82" s="480"/>
      <c r="Z82" s="482"/>
      <c r="AA82" s="607" t="str" cm="1">
        <f t="array" ref="AA82">IFERROR(IF($D$3="", "", _xlfn.LET(_xlpm.dia, E82, _xlpm.thk, Z82, _xlpm.temp, I82,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2" s="397" t="str" cm="1">
        <f t="array" ref="AB82">IFERROR(IF($D$3="", "", _xlfn.XLOOKUP(1,($AR$57:$AR$76=Y82)*($AS$57:$AS$76=Z82), INDEX($AT$57:$BJ$76,,_xlfn.XMATCH(E82,$AT$56:$BJ$56)))),"")</f>
        <v/>
      </c>
      <c r="AC82" s="208" t="str">
        <f t="shared" si="9"/>
        <v/>
      </c>
      <c r="AD82" s="397" t="str">
        <f t="shared" si="10"/>
        <v/>
      </c>
      <c r="AE82" s="610" t="str">
        <f t="shared" si="11"/>
        <v/>
      </c>
      <c r="AF82" s="610" t="str">
        <f t="shared" si="12"/>
        <v/>
      </c>
      <c r="AG82" s="610" t="str">
        <f t="shared" si="13"/>
        <v/>
      </c>
      <c r="AH82" s="608" t="str">
        <f t="shared" si="19"/>
        <v/>
      </c>
      <c r="AI82" s="610" t="str">
        <f t="shared" si="14"/>
        <v/>
      </c>
      <c r="AR82" s="667" t="s">
        <v>149</v>
      </c>
      <c r="AS82" s="667" t="s">
        <v>195</v>
      </c>
      <c r="AT82" s="649">
        <v>0.46</v>
      </c>
    </row>
    <row r="83" spans="2:48" x14ac:dyDescent="0.25">
      <c r="B83" s="209">
        <v>50</v>
      </c>
      <c r="C83" s="480"/>
      <c r="D83" s="480"/>
      <c r="E83" s="481"/>
      <c r="F83" s="480"/>
      <c r="G83" s="480"/>
      <c r="H83" s="607" t="str">
        <f t="shared" si="0"/>
        <v/>
      </c>
      <c r="I83" s="607" t="str">
        <f t="shared" si="1"/>
        <v/>
      </c>
      <c r="J83" s="607" t="str">
        <f t="shared" si="2"/>
        <v/>
      </c>
      <c r="K83" s="208" t="str">
        <f t="shared" si="3"/>
        <v/>
      </c>
      <c r="L83" s="208" t="str">
        <f t="shared" si="4"/>
        <v/>
      </c>
      <c r="M83" s="208" t="str">
        <f t="shared" si="15"/>
        <v/>
      </c>
      <c r="N83" s="608" t="str">
        <f>IF($D$3="", "", IFERROR(VLOOKUP(L83,'PIPE INCENTIVE'!$B$4:$E$19,2,FALSE),""))</f>
        <v/>
      </c>
      <c r="O83" s="608" t="str">
        <f t="shared" si="16"/>
        <v/>
      </c>
      <c r="P83" s="208" t="str">
        <f t="shared" si="17"/>
        <v/>
      </c>
      <c r="Q83" s="208" t="str">
        <f t="shared" si="5"/>
        <v/>
      </c>
      <c r="R83" s="609" t="str">
        <f t="shared" si="6"/>
        <v/>
      </c>
      <c r="S83" s="609" t="str">
        <f t="shared" si="7"/>
        <v/>
      </c>
      <c r="T83" s="609" t="str">
        <f t="shared" si="8"/>
        <v/>
      </c>
      <c r="U83" s="609" t="str" cm="1">
        <f t="array" ref="U83">IFERROR(IF($D$3="","",_xlfn.LET(_xlpm.Mixed,AND(COUNTIF($G$34:$G$533,"Heating_Hot_Water")&gt;0,(COUNTIF($G$34:$G$533,"Steam_Low_Pressure") + COUNTIF($G$34:$G$533,"Steam_Medium_Pressure") + COUNTIF($G$34:$G$533,"Steam_High_Pressure"))&gt;0),_xlpm.fluid, G83,_xlpm.fuel, K83,_xlpm.load,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3" s="609" t="str">
        <f t="shared" si="18"/>
        <v/>
      </c>
      <c r="W83" s="482"/>
      <c r="X83" s="397" t="str" cm="1">
        <f t="array" ref="X83">IFERROR(IF($D$3="","", _xlfn.XLOOKUP(1,($AR$36:$AR$53=F83)*($AS$36:$AS$53=G83), INDEX($AT$36:$BJ$53,,_xlfn.XMATCH(E83,$AT$35:$BJ$35)))),"")</f>
        <v/>
      </c>
      <c r="Y83" s="480"/>
      <c r="Z83" s="482"/>
      <c r="AA83" s="607" t="str" cm="1">
        <f t="array" ref="AA83">IFERROR(IF($D$3="", "", _xlfn.LET(_xlpm.dia, E83, _xlpm.thk, Z83, _xlpm.temp, I83,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3" s="397" t="str" cm="1">
        <f t="array" ref="AB83">IFERROR(IF($D$3="", "", _xlfn.XLOOKUP(1,($AR$57:$AR$76=Y83)*($AS$57:$AS$76=Z83), INDEX($AT$57:$BJ$76,,_xlfn.XMATCH(E83,$AT$56:$BJ$56)))),"")</f>
        <v/>
      </c>
      <c r="AC83" s="208" t="str">
        <f t="shared" si="9"/>
        <v/>
      </c>
      <c r="AD83" s="397" t="str">
        <f t="shared" si="10"/>
        <v/>
      </c>
      <c r="AE83" s="610" t="str">
        <f t="shared" si="11"/>
        <v/>
      </c>
      <c r="AF83" s="610" t="str">
        <f t="shared" si="12"/>
        <v/>
      </c>
      <c r="AG83" s="610" t="str">
        <f t="shared" si="13"/>
        <v/>
      </c>
      <c r="AH83" s="608" t="str">
        <f t="shared" si="19"/>
        <v/>
      </c>
      <c r="AI83" s="610" t="str">
        <f t="shared" si="14"/>
        <v/>
      </c>
      <c r="AO83" s="204"/>
      <c r="AR83" s="666" t="s">
        <v>150</v>
      </c>
      <c r="AS83" s="666" t="s">
        <v>192</v>
      </c>
      <c r="AT83" s="646">
        <v>0</v>
      </c>
      <c r="AV83" s="629"/>
    </row>
    <row r="84" spans="2:48" x14ac:dyDescent="0.25">
      <c r="B84" s="209">
        <v>51</v>
      </c>
      <c r="C84" s="480"/>
      <c r="D84" s="480"/>
      <c r="E84" s="481"/>
      <c r="F84" s="480"/>
      <c r="G84" s="480"/>
      <c r="H84" s="607" t="str">
        <f t="shared" si="0"/>
        <v/>
      </c>
      <c r="I84" s="607" t="str">
        <f t="shared" si="1"/>
        <v/>
      </c>
      <c r="J84" s="607" t="str">
        <f t="shared" si="2"/>
        <v/>
      </c>
      <c r="K84" s="208" t="str">
        <f t="shared" si="3"/>
        <v/>
      </c>
      <c r="L84" s="208" t="str">
        <f t="shared" si="4"/>
        <v/>
      </c>
      <c r="M84" s="208" t="str">
        <f t="shared" si="15"/>
        <v/>
      </c>
      <c r="N84" s="608" t="str">
        <f>IF($D$3="", "", IFERROR(VLOOKUP(L84,'PIPE INCENTIVE'!$B$4:$E$19,2,FALSE),""))</f>
        <v/>
      </c>
      <c r="O84" s="608" t="str">
        <f t="shared" si="16"/>
        <v/>
      </c>
      <c r="P84" s="208" t="str">
        <f t="shared" si="17"/>
        <v/>
      </c>
      <c r="Q84" s="208" t="str">
        <f t="shared" si="5"/>
        <v/>
      </c>
      <c r="R84" s="609" t="str">
        <f t="shared" si="6"/>
        <v/>
      </c>
      <c r="S84" s="609" t="str">
        <f t="shared" si="7"/>
        <v/>
      </c>
      <c r="T84" s="609" t="str">
        <f t="shared" si="8"/>
        <v/>
      </c>
      <c r="U84" s="609" t="str" cm="1">
        <f t="array" ref="U84">IFERROR(IF($D$3="","",_xlfn.LET(_xlpm.Mixed,AND(COUNTIF($G$34:$G$533,"Heating_Hot_Water")&gt;0,(COUNTIF($G$34:$G$533,"Steam_Low_Pressure") + COUNTIF($G$34:$G$533,"Steam_Medium_Pressure") + COUNTIF($G$34:$G$533,"Steam_High_Pressure"))&gt;0),_xlpm.fluid, G84,_xlpm.fuel, K84,_xlpm.load,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4" s="609" t="str">
        <f t="shared" si="18"/>
        <v/>
      </c>
      <c r="W84" s="482"/>
      <c r="X84" s="397" t="str" cm="1">
        <f t="array" ref="X84">IFERROR(IF($D$3="","", _xlfn.XLOOKUP(1,($AR$36:$AR$53=F84)*($AS$36:$AS$53=G84), INDEX($AT$36:$BJ$53,,_xlfn.XMATCH(E84,$AT$35:$BJ$35)))),"")</f>
        <v/>
      </c>
      <c r="Y84" s="480"/>
      <c r="Z84" s="482"/>
      <c r="AA84" s="607" t="str" cm="1">
        <f t="array" ref="AA84">IFERROR(IF($D$3="", "", _xlfn.LET(_xlpm.dia, E84, _xlpm.thk, Z84, _xlpm.temp, I84,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4" s="397" t="str" cm="1">
        <f t="array" ref="AB84">IFERROR(IF($D$3="", "", _xlfn.XLOOKUP(1,($AR$57:$AR$76=Y84)*($AS$57:$AS$76=Z84), INDEX($AT$57:$BJ$76,,_xlfn.XMATCH(E84,$AT$56:$BJ$56)))),"")</f>
        <v/>
      </c>
      <c r="AC84" s="208" t="str">
        <f t="shared" si="9"/>
        <v/>
      </c>
      <c r="AD84" s="397" t="str">
        <f t="shared" si="10"/>
        <v/>
      </c>
      <c r="AE84" s="610" t="str">
        <f t="shared" si="11"/>
        <v/>
      </c>
      <c r="AF84" s="610" t="str">
        <f t="shared" si="12"/>
        <v/>
      </c>
      <c r="AG84" s="610" t="str">
        <f t="shared" si="13"/>
        <v/>
      </c>
      <c r="AH84" s="608" t="str">
        <f t="shared" si="19"/>
        <v/>
      </c>
      <c r="AI84" s="610" t="str">
        <f t="shared" si="14"/>
        <v/>
      </c>
      <c r="AM84" s="668" t="s">
        <v>220</v>
      </c>
      <c r="AN84" s="650"/>
      <c r="AO84" s="383"/>
      <c r="AR84" s="667" t="s">
        <v>150</v>
      </c>
      <c r="AS84" s="667" t="s">
        <v>194</v>
      </c>
      <c r="AT84" s="649">
        <v>1</v>
      </c>
    </row>
    <row r="85" spans="2:48" x14ac:dyDescent="0.25">
      <c r="B85" s="209">
        <v>52</v>
      </c>
      <c r="C85" s="480"/>
      <c r="D85" s="480"/>
      <c r="E85" s="481"/>
      <c r="F85" s="480"/>
      <c r="G85" s="480"/>
      <c r="H85" s="607" t="str">
        <f t="shared" si="0"/>
        <v/>
      </c>
      <c r="I85" s="607" t="str">
        <f t="shared" si="1"/>
        <v/>
      </c>
      <c r="J85" s="607" t="str">
        <f t="shared" si="2"/>
        <v/>
      </c>
      <c r="K85" s="208" t="str">
        <f t="shared" si="3"/>
        <v/>
      </c>
      <c r="L85" s="208" t="str">
        <f t="shared" si="4"/>
        <v/>
      </c>
      <c r="M85" s="208" t="str">
        <f t="shared" si="15"/>
        <v/>
      </c>
      <c r="N85" s="608" t="str">
        <f>IF($D$3="", "", IFERROR(VLOOKUP(L85,'PIPE INCENTIVE'!$B$4:$E$19,2,FALSE),""))</f>
        <v/>
      </c>
      <c r="O85" s="608" t="str">
        <f t="shared" si="16"/>
        <v/>
      </c>
      <c r="P85" s="208" t="str">
        <f t="shared" si="17"/>
        <v/>
      </c>
      <c r="Q85" s="208" t="str">
        <f t="shared" si="5"/>
        <v/>
      </c>
      <c r="R85" s="609" t="str">
        <f t="shared" si="6"/>
        <v/>
      </c>
      <c r="S85" s="609" t="str">
        <f t="shared" si="7"/>
        <v/>
      </c>
      <c r="T85" s="609" t="str">
        <f t="shared" si="8"/>
        <v/>
      </c>
      <c r="U85" s="609" t="str" cm="1">
        <f t="array" ref="U85">IFERROR(IF($D$3="","",_xlfn.LET(_xlpm.Mixed,AND(COUNTIF($G$34:$G$533,"Heating_Hot_Water")&gt;0,(COUNTIF($G$34:$G$533,"Steam_Low_Pressure") + COUNTIF($G$34:$G$533,"Steam_Medium_Pressure") + COUNTIF($G$34:$G$533,"Steam_High_Pressure"))&gt;0),_xlpm.fluid, G85,_xlpm.fuel, K85,_xlpm.load,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5" s="609" t="str">
        <f t="shared" si="18"/>
        <v/>
      </c>
      <c r="W85" s="482"/>
      <c r="X85" s="397" t="str" cm="1">
        <f t="array" ref="X85">IFERROR(IF($D$3="","", _xlfn.XLOOKUP(1,($AR$36:$AR$53=F85)*($AS$36:$AS$53=G85), INDEX($AT$36:$BJ$53,,_xlfn.XMATCH(E85,$AT$35:$BJ$35)))),"")</f>
        <v/>
      </c>
      <c r="Y85" s="480"/>
      <c r="Z85" s="482"/>
      <c r="AA85" s="607" t="str" cm="1">
        <f t="array" ref="AA85">IFERROR(IF($D$3="", "", _xlfn.LET(_xlpm.dia, E85, _xlpm.thk, Z85, _xlpm.temp, I85,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5" s="397" t="str" cm="1">
        <f t="array" ref="AB85">IFERROR(IF($D$3="", "", _xlfn.XLOOKUP(1,($AR$57:$AR$76=Y85)*($AS$57:$AS$76=Z85), INDEX($AT$57:$BJ$76,,_xlfn.XMATCH(E85,$AT$56:$BJ$56)))),"")</f>
        <v/>
      </c>
      <c r="AC85" s="208" t="str">
        <f t="shared" si="9"/>
        <v/>
      </c>
      <c r="AD85" s="397" t="str">
        <f t="shared" si="10"/>
        <v/>
      </c>
      <c r="AE85" s="610" t="str">
        <f t="shared" si="11"/>
        <v/>
      </c>
      <c r="AF85" s="610" t="str">
        <f t="shared" si="12"/>
        <v/>
      </c>
      <c r="AG85" s="610" t="str">
        <f t="shared" si="13"/>
        <v/>
      </c>
      <c r="AH85" s="608" t="str">
        <f t="shared" si="19"/>
        <v/>
      </c>
      <c r="AI85" s="610" t="str">
        <f t="shared" si="14"/>
        <v/>
      </c>
      <c r="AM85" s="669" t="s">
        <v>221</v>
      </c>
      <c r="AN85" s="642" t="s">
        <v>149</v>
      </c>
      <c r="AO85" s="651" t="s">
        <v>174</v>
      </c>
      <c r="AR85" s="142" t="s">
        <v>150</v>
      </c>
      <c r="AS85" s="142" t="s">
        <v>195</v>
      </c>
      <c r="AT85" s="670">
        <v>0.52</v>
      </c>
    </row>
    <row r="86" spans="2:48" x14ac:dyDescent="0.25">
      <c r="B86" s="209">
        <v>53</v>
      </c>
      <c r="C86" s="480"/>
      <c r="D86" s="480"/>
      <c r="E86" s="481"/>
      <c r="F86" s="480"/>
      <c r="G86" s="480"/>
      <c r="H86" s="607" t="str">
        <f t="shared" si="0"/>
        <v/>
      </c>
      <c r="I86" s="607" t="str">
        <f t="shared" si="1"/>
        <v/>
      </c>
      <c r="J86" s="607" t="str">
        <f t="shared" si="2"/>
        <v/>
      </c>
      <c r="K86" s="208" t="str">
        <f t="shared" si="3"/>
        <v/>
      </c>
      <c r="L86" s="208" t="str">
        <f t="shared" si="4"/>
        <v/>
      </c>
      <c r="M86" s="208" t="str">
        <f t="shared" si="15"/>
        <v/>
      </c>
      <c r="N86" s="608" t="str">
        <f>IF($D$3="", "", IFERROR(VLOOKUP(L86,'PIPE INCENTIVE'!$B$4:$E$19,2,FALSE),""))</f>
        <v/>
      </c>
      <c r="O86" s="608" t="str">
        <f t="shared" si="16"/>
        <v/>
      </c>
      <c r="P86" s="208" t="str">
        <f t="shared" si="17"/>
        <v/>
      </c>
      <c r="Q86" s="208" t="str">
        <f t="shared" si="5"/>
        <v/>
      </c>
      <c r="R86" s="609" t="str">
        <f t="shared" si="6"/>
        <v/>
      </c>
      <c r="S86" s="609" t="str">
        <f t="shared" si="7"/>
        <v/>
      </c>
      <c r="T86" s="609" t="str">
        <f t="shared" si="8"/>
        <v/>
      </c>
      <c r="U86" s="609" t="str" cm="1">
        <f t="array" ref="U86">IFERROR(IF($D$3="","",_xlfn.LET(_xlpm.Mixed,AND(COUNTIF($G$34:$G$533,"Heating_Hot_Water")&gt;0,(COUNTIF($G$34:$G$533,"Steam_Low_Pressure") + COUNTIF($G$34:$G$533,"Steam_Medium_Pressure") + COUNTIF($G$34:$G$533,"Steam_High_Pressure"))&gt;0),_xlpm.fluid, G86,_xlpm.fuel, K86,_xlpm.load,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6" s="609" t="str">
        <f t="shared" si="18"/>
        <v/>
      </c>
      <c r="W86" s="482"/>
      <c r="X86" s="397" t="str" cm="1">
        <f t="array" ref="X86">IFERROR(IF($D$3="","", _xlfn.XLOOKUP(1,($AR$36:$AR$53=F86)*($AS$36:$AS$53=G86), INDEX($AT$36:$BJ$53,,_xlfn.XMATCH(E86,$AT$35:$BJ$35)))),"")</f>
        <v/>
      </c>
      <c r="Y86" s="480"/>
      <c r="Z86" s="482"/>
      <c r="AA86" s="607" t="str" cm="1">
        <f t="array" ref="AA86">IFERROR(IF($D$3="", "", _xlfn.LET(_xlpm.dia, E86, _xlpm.thk, Z86, _xlpm.temp, I86,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6" s="397" t="str" cm="1">
        <f t="array" ref="AB86">IFERROR(IF($D$3="", "", _xlfn.XLOOKUP(1,($AR$57:$AR$76=Y86)*($AS$57:$AS$76=Z86), INDEX($AT$57:$BJ$76,,_xlfn.XMATCH(E86,$AT$56:$BJ$56)))),"")</f>
        <v/>
      </c>
      <c r="AC86" s="208" t="str">
        <f t="shared" si="9"/>
        <v/>
      </c>
      <c r="AD86" s="397" t="str">
        <f t="shared" si="10"/>
        <v/>
      </c>
      <c r="AE86" s="610" t="str">
        <f t="shared" si="11"/>
        <v/>
      </c>
      <c r="AF86" s="610" t="str">
        <f t="shared" si="12"/>
        <v/>
      </c>
      <c r="AG86" s="610" t="str">
        <f t="shared" si="13"/>
        <v/>
      </c>
      <c r="AH86" s="608" t="str">
        <f t="shared" si="19"/>
        <v/>
      </c>
      <c r="AI86" s="610" t="str">
        <f t="shared" si="14"/>
        <v/>
      </c>
      <c r="AM86" s="76" t="s">
        <v>222</v>
      </c>
      <c r="AN86" s="69">
        <v>1</v>
      </c>
      <c r="AO86" s="300" t="s">
        <v>198</v>
      </c>
      <c r="AR86" s="663" t="s">
        <v>223</v>
      </c>
      <c r="AS86" s="664"/>
      <c r="AT86" s="665"/>
    </row>
    <row r="87" spans="2:48" x14ac:dyDescent="0.25">
      <c r="B87" s="209">
        <v>54</v>
      </c>
      <c r="C87" s="480"/>
      <c r="D87" s="480"/>
      <c r="E87" s="481"/>
      <c r="F87" s="480"/>
      <c r="G87" s="480"/>
      <c r="H87" s="607" t="str">
        <f t="shared" si="0"/>
        <v/>
      </c>
      <c r="I87" s="607" t="str">
        <f t="shared" si="1"/>
        <v/>
      </c>
      <c r="J87" s="607" t="str">
        <f t="shared" si="2"/>
        <v/>
      </c>
      <c r="K87" s="208" t="str">
        <f t="shared" si="3"/>
        <v/>
      </c>
      <c r="L87" s="208" t="str">
        <f t="shared" si="4"/>
        <v/>
      </c>
      <c r="M87" s="208" t="str">
        <f t="shared" si="15"/>
        <v/>
      </c>
      <c r="N87" s="608" t="str">
        <f>IF($D$3="", "", IFERROR(VLOOKUP(L87,'PIPE INCENTIVE'!$B$4:$E$19,2,FALSE),""))</f>
        <v/>
      </c>
      <c r="O87" s="608" t="str">
        <f t="shared" si="16"/>
        <v/>
      </c>
      <c r="P87" s="208" t="str">
        <f t="shared" si="17"/>
        <v/>
      </c>
      <c r="Q87" s="208" t="str">
        <f t="shared" si="5"/>
        <v/>
      </c>
      <c r="R87" s="609" t="str">
        <f t="shared" si="6"/>
        <v/>
      </c>
      <c r="S87" s="609" t="str">
        <f t="shared" si="7"/>
        <v/>
      </c>
      <c r="T87" s="609" t="str">
        <f t="shared" si="8"/>
        <v/>
      </c>
      <c r="U87" s="609" t="str" cm="1">
        <f t="array" ref="U87">IFERROR(IF($D$3="","",_xlfn.LET(_xlpm.Mixed,AND(COUNTIF($G$34:$G$533,"Heating_Hot_Water")&gt;0,(COUNTIF($G$34:$G$533,"Steam_Low_Pressure") + COUNTIF($G$34:$G$533,"Steam_Medium_Pressure") + COUNTIF($G$34:$G$533,"Steam_High_Pressure"))&gt;0),_xlpm.fluid, G87,_xlpm.fuel, K87,_xlpm.load,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7" s="609" t="str">
        <f t="shared" si="18"/>
        <v/>
      </c>
      <c r="W87" s="482"/>
      <c r="X87" s="397" t="str" cm="1">
        <f t="array" ref="X87">IFERROR(IF($D$3="","", _xlfn.XLOOKUP(1,($AR$36:$AR$53=F87)*($AS$36:$AS$53=G87), INDEX($AT$36:$BJ$53,,_xlfn.XMATCH(E87,$AT$35:$BJ$35)))),"")</f>
        <v/>
      </c>
      <c r="Y87" s="480"/>
      <c r="Z87" s="482"/>
      <c r="AA87" s="607" t="str" cm="1">
        <f t="array" ref="AA87">IFERROR(IF($D$3="", "", _xlfn.LET(_xlpm.dia, E87, _xlpm.thk, Z87, _xlpm.temp, I87,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7" s="397" t="str" cm="1">
        <f t="array" ref="AB87">IFERROR(IF($D$3="", "", _xlfn.XLOOKUP(1,($AR$57:$AR$76=Y87)*($AS$57:$AS$76=Z87), INDEX($AT$57:$BJ$76,,_xlfn.XMATCH(E87,$AT$56:$BJ$56)))),"")</f>
        <v/>
      </c>
      <c r="AC87" s="208" t="str">
        <f t="shared" si="9"/>
        <v/>
      </c>
      <c r="AD87" s="397" t="str">
        <f t="shared" si="10"/>
        <v/>
      </c>
      <c r="AE87" s="610" t="str">
        <f t="shared" si="11"/>
        <v/>
      </c>
      <c r="AF87" s="610" t="str">
        <f t="shared" si="12"/>
        <v/>
      </c>
      <c r="AG87" s="610" t="str">
        <f t="shared" si="13"/>
        <v/>
      </c>
      <c r="AH87" s="608" t="str">
        <f t="shared" si="19"/>
        <v/>
      </c>
      <c r="AI87" s="610" t="str">
        <f t="shared" si="14"/>
        <v/>
      </c>
      <c r="AM87" s="76" t="s">
        <v>224</v>
      </c>
      <c r="AN87" s="69">
        <v>0</v>
      </c>
      <c r="AO87" s="300" t="s">
        <v>198</v>
      </c>
      <c r="AR87" s="76" t="s">
        <v>149</v>
      </c>
      <c r="AS87" s="76" t="s">
        <v>225</v>
      </c>
      <c r="AT87" s="69">
        <v>0</v>
      </c>
    </row>
    <row r="88" spans="2:48" x14ac:dyDescent="0.25">
      <c r="B88" s="209">
        <v>55</v>
      </c>
      <c r="C88" s="480"/>
      <c r="D88" s="480"/>
      <c r="E88" s="481"/>
      <c r="F88" s="480"/>
      <c r="G88" s="480"/>
      <c r="H88" s="607" t="str">
        <f t="shared" si="0"/>
        <v/>
      </c>
      <c r="I88" s="607" t="str">
        <f t="shared" si="1"/>
        <v/>
      </c>
      <c r="J88" s="607" t="str">
        <f t="shared" si="2"/>
        <v/>
      </c>
      <c r="K88" s="208" t="str">
        <f t="shared" si="3"/>
        <v/>
      </c>
      <c r="L88" s="208" t="str">
        <f t="shared" si="4"/>
        <v/>
      </c>
      <c r="M88" s="208" t="str">
        <f t="shared" si="15"/>
        <v/>
      </c>
      <c r="N88" s="608" t="str">
        <f>IF($D$3="", "", IFERROR(VLOOKUP(L88,'PIPE INCENTIVE'!$B$4:$E$19,2,FALSE),""))</f>
        <v/>
      </c>
      <c r="O88" s="608" t="str">
        <f t="shared" si="16"/>
        <v/>
      </c>
      <c r="P88" s="208" t="str">
        <f t="shared" si="17"/>
        <v/>
      </c>
      <c r="Q88" s="208" t="str">
        <f t="shared" si="5"/>
        <v/>
      </c>
      <c r="R88" s="609" t="str">
        <f t="shared" si="6"/>
        <v/>
      </c>
      <c r="S88" s="609" t="str">
        <f t="shared" si="7"/>
        <v/>
      </c>
      <c r="T88" s="609" t="str">
        <f t="shared" si="8"/>
        <v/>
      </c>
      <c r="U88" s="609" t="str" cm="1">
        <f t="array" ref="U88">IFERROR(IF($D$3="","",_xlfn.LET(_xlpm.Mixed,AND(COUNTIF($G$34:$G$533,"Heating_Hot_Water")&gt;0,(COUNTIF($G$34:$G$533,"Steam_Low_Pressure") + COUNTIF($G$34:$G$533,"Steam_Medium_Pressure") + COUNTIF($G$34:$G$533,"Steam_High_Pressure"))&gt;0),_xlpm.fluid, G88,_xlpm.fuel, K88,_xlpm.load,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8" s="609" t="str">
        <f t="shared" si="18"/>
        <v/>
      </c>
      <c r="W88" s="482"/>
      <c r="X88" s="397" t="str" cm="1">
        <f t="array" ref="X88">IFERROR(IF($D$3="","", _xlfn.XLOOKUP(1,($AR$36:$AR$53=F88)*($AS$36:$AS$53=G88), INDEX($AT$36:$BJ$53,,_xlfn.XMATCH(E88,$AT$35:$BJ$35)))),"")</f>
        <v/>
      </c>
      <c r="Y88" s="480"/>
      <c r="Z88" s="482"/>
      <c r="AA88" s="607" t="str" cm="1">
        <f t="array" ref="AA88">IFERROR(IF($D$3="", "", _xlfn.LET(_xlpm.dia, E88, _xlpm.thk, Z88, _xlpm.temp, I88,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8" s="397" t="str" cm="1">
        <f t="array" ref="AB88">IFERROR(IF($D$3="", "", _xlfn.XLOOKUP(1,($AR$57:$AR$76=Y88)*($AS$57:$AS$76=Z88), INDEX($AT$57:$BJ$76,,_xlfn.XMATCH(E88,$AT$56:$BJ$56)))),"")</f>
        <v/>
      </c>
      <c r="AC88" s="208" t="str">
        <f t="shared" si="9"/>
        <v/>
      </c>
      <c r="AD88" s="397" t="str">
        <f t="shared" si="10"/>
        <v/>
      </c>
      <c r="AE88" s="610" t="str">
        <f t="shared" si="11"/>
        <v/>
      </c>
      <c r="AF88" s="610" t="str">
        <f t="shared" si="12"/>
        <v/>
      </c>
      <c r="AG88" s="610" t="str">
        <f t="shared" si="13"/>
        <v/>
      </c>
      <c r="AH88" s="608" t="str">
        <f t="shared" si="19"/>
        <v/>
      </c>
      <c r="AI88" s="610" t="str">
        <f t="shared" si="14"/>
        <v/>
      </c>
      <c r="AM88" s="76" t="s">
        <v>226</v>
      </c>
      <c r="AN88" s="69">
        <v>1</v>
      </c>
      <c r="AO88" s="300" t="s">
        <v>198</v>
      </c>
      <c r="AR88" s="76" t="s">
        <v>150</v>
      </c>
      <c r="AS88" s="76" t="s">
        <v>225</v>
      </c>
      <c r="AT88" s="69">
        <v>1</v>
      </c>
    </row>
    <row r="89" spans="2:48" x14ac:dyDescent="0.25">
      <c r="B89" s="209">
        <v>56</v>
      </c>
      <c r="C89" s="480"/>
      <c r="D89" s="480"/>
      <c r="E89" s="481"/>
      <c r="F89" s="480"/>
      <c r="G89" s="480"/>
      <c r="H89" s="607" t="str">
        <f t="shared" si="0"/>
        <v/>
      </c>
      <c r="I89" s="607" t="str">
        <f t="shared" si="1"/>
        <v/>
      </c>
      <c r="J89" s="607" t="str">
        <f t="shared" si="2"/>
        <v/>
      </c>
      <c r="K89" s="208" t="str">
        <f t="shared" si="3"/>
        <v/>
      </c>
      <c r="L89" s="208" t="str">
        <f t="shared" si="4"/>
        <v/>
      </c>
      <c r="M89" s="208" t="str">
        <f t="shared" si="15"/>
        <v/>
      </c>
      <c r="N89" s="608" t="str">
        <f>IF($D$3="", "", IFERROR(VLOOKUP(L89,'PIPE INCENTIVE'!$B$4:$E$19,2,FALSE),""))</f>
        <v/>
      </c>
      <c r="O89" s="608" t="str">
        <f t="shared" si="16"/>
        <v/>
      </c>
      <c r="P89" s="208" t="str">
        <f t="shared" si="17"/>
        <v/>
      </c>
      <c r="Q89" s="208" t="str">
        <f t="shared" si="5"/>
        <v/>
      </c>
      <c r="R89" s="609" t="str">
        <f t="shared" si="6"/>
        <v/>
      </c>
      <c r="S89" s="609" t="str">
        <f t="shared" si="7"/>
        <v/>
      </c>
      <c r="T89" s="609" t="str">
        <f t="shared" si="8"/>
        <v/>
      </c>
      <c r="U89" s="609" t="str" cm="1">
        <f t="array" ref="U89">IFERROR(IF($D$3="","",_xlfn.LET(_xlpm.Mixed,AND(COUNTIF($G$34:$G$533,"Heating_Hot_Water")&gt;0,(COUNTIF($G$34:$G$533,"Steam_Low_Pressure") + COUNTIF($G$34:$G$533,"Steam_Medium_Pressure") + COUNTIF($G$34:$G$533,"Steam_High_Pressure"))&gt;0),_xlpm.fluid, G89,_xlpm.fuel, K89,_xlpm.load,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89" s="609" t="str">
        <f t="shared" si="18"/>
        <v/>
      </c>
      <c r="W89" s="482"/>
      <c r="X89" s="397" t="str" cm="1">
        <f t="array" ref="X89">IFERROR(IF($D$3="","", _xlfn.XLOOKUP(1,($AR$36:$AR$53=F89)*($AS$36:$AS$53=G89), INDEX($AT$36:$BJ$53,,_xlfn.XMATCH(E89,$AT$35:$BJ$35)))),"")</f>
        <v/>
      </c>
      <c r="Y89" s="480"/>
      <c r="Z89" s="482"/>
      <c r="AA89" s="607" t="str" cm="1">
        <f t="array" ref="AA89">IFERROR(IF($D$3="", "", _xlfn.LET(_xlpm.dia, E89, _xlpm.thk, Z89, _xlpm.temp, I89,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89" s="397" t="str" cm="1">
        <f t="array" ref="AB89">IFERROR(IF($D$3="", "", _xlfn.XLOOKUP(1,($AR$57:$AR$76=Y89)*($AS$57:$AS$76=Z89), INDEX($AT$57:$BJ$76,,_xlfn.XMATCH(E89,$AT$56:$BJ$56)))),"")</f>
        <v/>
      </c>
      <c r="AC89" s="208" t="str">
        <f t="shared" si="9"/>
        <v/>
      </c>
      <c r="AD89" s="397" t="str">
        <f t="shared" si="10"/>
        <v/>
      </c>
      <c r="AE89" s="610" t="str">
        <f t="shared" si="11"/>
        <v/>
      </c>
      <c r="AF89" s="610" t="str">
        <f t="shared" si="12"/>
        <v/>
      </c>
      <c r="AG89" s="610" t="str">
        <f t="shared" si="13"/>
        <v/>
      </c>
      <c r="AH89" s="608" t="str">
        <f t="shared" si="19"/>
        <v/>
      </c>
      <c r="AI89" s="610" t="str">
        <f t="shared" si="14"/>
        <v/>
      </c>
      <c r="AM89" s="76" t="s">
        <v>227</v>
      </c>
      <c r="AN89" s="69">
        <v>0</v>
      </c>
      <c r="AO89" s="300" t="s">
        <v>198</v>
      </c>
    </row>
    <row r="90" spans="2:48" x14ac:dyDescent="0.25">
      <c r="B90" s="209">
        <v>57</v>
      </c>
      <c r="C90" s="480"/>
      <c r="D90" s="480"/>
      <c r="E90" s="481"/>
      <c r="F90" s="480"/>
      <c r="G90" s="480"/>
      <c r="H90" s="607" t="str">
        <f t="shared" si="0"/>
        <v/>
      </c>
      <c r="I90" s="607" t="str">
        <f t="shared" si="1"/>
        <v/>
      </c>
      <c r="J90" s="607" t="str">
        <f t="shared" si="2"/>
        <v/>
      </c>
      <c r="K90" s="208" t="str">
        <f t="shared" si="3"/>
        <v/>
      </c>
      <c r="L90" s="208" t="str">
        <f t="shared" si="4"/>
        <v/>
      </c>
      <c r="M90" s="208" t="str">
        <f t="shared" si="15"/>
        <v/>
      </c>
      <c r="N90" s="608" t="str">
        <f>IF($D$3="", "", IFERROR(VLOOKUP(L90,'PIPE INCENTIVE'!$B$4:$E$19,2,FALSE),""))</f>
        <v/>
      </c>
      <c r="O90" s="608" t="str">
        <f t="shared" si="16"/>
        <v/>
      </c>
      <c r="P90" s="208" t="str">
        <f t="shared" si="17"/>
        <v/>
      </c>
      <c r="Q90" s="208" t="str">
        <f t="shared" si="5"/>
        <v/>
      </c>
      <c r="R90" s="609" t="str">
        <f t="shared" si="6"/>
        <v/>
      </c>
      <c r="S90" s="609" t="str">
        <f t="shared" si="7"/>
        <v/>
      </c>
      <c r="T90" s="609" t="str">
        <f t="shared" si="8"/>
        <v/>
      </c>
      <c r="U90" s="609" t="str" cm="1">
        <f t="array" ref="U90">IFERROR(IF($D$3="","",_xlfn.LET(_xlpm.Mixed,AND(COUNTIF($G$34:$G$533,"Heating_Hot_Water")&gt;0,(COUNTIF($G$34:$G$533,"Steam_Low_Pressure") + COUNTIF($G$34:$G$533,"Steam_Medium_Pressure") + COUNTIF($G$34:$G$533,"Steam_High_Pressure"))&gt;0),_xlpm.fluid, G90,_xlpm.fuel, K90,_xlpm.load,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0" s="609" t="str">
        <f t="shared" si="18"/>
        <v/>
      </c>
      <c r="W90" s="482"/>
      <c r="X90" s="397" t="str" cm="1">
        <f t="array" ref="X90">IFERROR(IF($D$3="","", _xlfn.XLOOKUP(1,($AR$36:$AR$53=F90)*($AS$36:$AS$53=G90), INDEX($AT$36:$BJ$53,,_xlfn.XMATCH(E90,$AT$35:$BJ$35)))),"")</f>
        <v/>
      </c>
      <c r="Y90" s="480"/>
      <c r="Z90" s="482"/>
      <c r="AA90" s="607" t="str" cm="1">
        <f t="array" ref="AA90">IFERROR(IF($D$3="", "", _xlfn.LET(_xlpm.dia, E90, _xlpm.thk, Z90, _xlpm.temp, I90,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0" s="397" t="str" cm="1">
        <f t="array" ref="AB90">IFERROR(IF($D$3="", "", _xlfn.XLOOKUP(1,($AR$57:$AR$76=Y90)*($AS$57:$AS$76=Z90), INDEX($AT$57:$BJ$76,,_xlfn.XMATCH(E90,$AT$56:$BJ$56)))),"")</f>
        <v/>
      </c>
      <c r="AC90" s="208" t="str">
        <f t="shared" si="9"/>
        <v/>
      </c>
      <c r="AD90" s="397" t="str">
        <f t="shared" si="10"/>
        <v/>
      </c>
      <c r="AE90" s="610" t="str">
        <f t="shared" si="11"/>
        <v/>
      </c>
      <c r="AF90" s="610" t="str">
        <f t="shared" si="12"/>
        <v/>
      </c>
      <c r="AG90" s="610" t="str">
        <f t="shared" si="13"/>
        <v/>
      </c>
      <c r="AH90" s="608" t="str">
        <f t="shared" si="19"/>
        <v/>
      </c>
      <c r="AI90" s="610" t="str">
        <f t="shared" si="14"/>
        <v/>
      </c>
      <c r="AM90" s="76" t="s">
        <v>228</v>
      </c>
      <c r="AN90" s="76">
        <v>0.46</v>
      </c>
      <c r="AO90" s="300" t="s">
        <v>198</v>
      </c>
    </row>
    <row r="91" spans="2:48" x14ac:dyDescent="0.25">
      <c r="B91" s="209">
        <v>58</v>
      </c>
      <c r="C91" s="480"/>
      <c r="D91" s="480"/>
      <c r="E91" s="481"/>
      <c r="F91" s="480"/>
      <c r="G91" s="480"/>
      <c r="H91" s="607" t="str">
        <f t="shared" si="0"/>
        <v/>
      </c>
      <c r="I91" s="607" t="str">
        <f t="shared" si="1"/>
        <v/>
      </c>
      <c r="J91" s="607" t="str">
        <f t="shared" si="2"/>
        <v/>
      </c>
      <c r="K91" s="208" t="str">
        <f t="shared" si="3"/>
        <v/>
      </c>
      <c r="L91" s="208" t="str">
        <f t="shared" si="4"/>
        <v/>
      </c>
      <c r="M91" s="208" t="str">
        <f t="shared" si="15"/>
        <v/>
      </c>
      <c r="N91" s="608" t="str">
        <f>IF($D$3="", "", IFERROR(VLOOKUP(L91,'PIPE INCENTIVE'!$B$4:$E$19,2,FALSE),""))</f>
        <v/>
      </c>
      <c r="O91" s="608" t="str">
        <f t="shared" si="16"/>
        <v/>
      </c>
      <c r="P91" s="208" t="str">
        <f t="shared" si="17"/>
        <v/>
      </c>
      <c r="Q91" s="208" t="str">
        <f t="shared" si="5"/>
        <v/>
      </c>
      <c r="R91" s="609" t="str">
        <f t="shared" si="6"/>
        <v/>
      </c>
      <c r="S91" s="609" t="str">
        <f t="shared" si="7"/>
        <v/>
      </c>
      <c r="T91" s="609" t="str">
        <f t="shared" si="8"/>
        <v/>
      </c>
      <c r="U91" s="609" t="str" cm="1">
        <f t="array" ref="U91">IFERROR(IF($D$3="","",_xlfn.LET(_xlpm.Mixed,AND(COUNTIF($G$34:$G$533,"Heating_Hot_Water")&gt;0,(COUNTIF($G$34:$G$533,"Steam_Low_Pressure") + COUNTIF($G$34:$G$533,"Steam_Medium_Pressure") + COUNTIF($G$34:$G$533,"Steam_High_Pressure"))&gt;0),_xlpm.fluid, G91,_xlpm.fuel, K91,_xlpm.load,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1" s="609" t="str">
        <f t="shared" si="18"/>
        <v/>
      </c>
      <c r="W91" s="482"/>
      <c r="X91" s="397" t="str" cm="1">
        <f t="array" ref="X91">IFERROR(IF($D$3="","", _xlfn.XLOOKUP(1,($AR$36:$AR$53=F91)*($AS$36:$AS$53=G91), INDEX($AT$36:$BJ$53,,_xlfn.XMATCH(E91,$AT$35:$BJ$35)))),"")</f>
        <v/>
      </c>
      <c r="Y91" s="480"/>
      <c r="Z91" s="482"/>
      <c r="AA91" s="607" t="str" cm="1">
        <f t="array" ref="AA91">IFERROR(IF($D$3="", "", _xlfn.LET(_xlpm.dia, E91, _xlpm.thk, Z91, _xlpm.temp, I91,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1" s="397" t="str" cm="1">
        <f t="array" ref="AB91">IFERROR(IF($D$3="", "", _xlfn.XLOOKUP(1,($AR$57:$AR$76=Y91)*($AS$57:$AS$76=Z91), INDEX($AT$57:$BJ$76,,_xlfn.XMATCH(E91,$AT$56:$BJ$56)))),"")</f>
        <v/>
      </c>
      <c r="AC91" s="208" t="str">
        <f t="shared" si="9"/>
        <v/>
      </c>
      <c r="AD91" s="397" t="str">
        <f t="shared" si="10"/>
        <v/>
      </c>
      <c r="AE91" s="610" t="str">
        <f t="shared" si="11"/>
        <v/>
      </c>
      <c r="AF91" s="610" t="str">
        <f t="shared" si="12"/>
        <v/>
      </c>
      <c r="AG91" s="610" t="str">
        <f t="shared" si="13"/>
        <v/>
      </c>
      <c r="AH91" s="608" t="str">
        <f t="shared" si="19"/>
        <v/>
      </c>
      <c r="AI91" s="610" t="str">
        <f t="shared" si="14"/>
        <v/>
      </c>
      <c r="AM91" s="76" t="s">
        <v>229</v>
      </c>
      <c r="AN91" s="69">
        <v>1</v>
      </c>
      <c r="AO91" s="300" t="s">
        <v>200</v>
      </c>
      <c r="AR91" s="656" t="s">
        <v>230</v>
      </c>
      <c r="AS91" s="657"/>
      <c r="AT91" s="657"/>
      <c r="AU91" s="657"/>
      <c r="AV91" s="658"/>
    </row>
    <row r="92" spans="2:48" x14ac:dyDescent="0.25">
      <c r="B92" s="209">
        <v>59</v>
      </c>
      <c r="C92" s="480"/>
      <c r="D92" s="480"/>
      <c r="E92" s="481"/>
      <c r="F92" s="480"/>
      <c r="G92" s="480"/>
      <c r="H92" s="607" t="str">
        <f t="shared" si="0"/>
        <v/>
      </c>
      <c r="I92" s="607" t="str">
        <f t="shared" si="1"/>
        <v/>
      </c>
      <c r="J92" s="607" t="str">
        <f t="shared" si="2"/>
        <v/>
      </c>
      <c r="K92" s="208" t="str">
        <f t="shared" si="3"/>
        <v/>
      </c>
      <c r="L92" s="208" t="str">
        <f t="shared" si="4"/>
        <v/>
      </c>
      <c r="M92" s="208" t="str">
        <f t="shared" si="15"/>
        <v/>
      </c>
      <c r="N92" s="608" t="str">
        <f>IF($D$3="", "", IFERROR(VLOOKUP(L92,'PIPE INCENTIVE'!$B$4:$E$19,2,FALSE),""))</f>
        <v/>
      </c>
      <c r="O92" s="608" t="str">
        <f t="shared" si="16"/>
        <v/>
      </c>
      <c r="P92" s="208" t="str">
        <f t="shared" si="17"/>
        <v/>
      </c>
      <c r="Q92" s="208" t="str">
        <f t="shared" si="5"/>
        <v/>
      </c>
      <c r="R92" s="609" t="str">
        <f t="shared" si="6"/>
        <v/>
      </c>
      <c r="S92" s="609" t="str">
        <f t="shared" si="7"/>
        <v/>
      </c>
      <c r="T92" s="609" t="str">
        <f t="shared" si="8"/>
        <v/>
      </c>
      <c r="U92" s="609" t="str" cm="1">
        <f t="array" ref="U92">IFERROR(IF($D$3="","",_xlfn.LET(_xlpm.Mixed,AND(COUNTIF($G$34:$G$533,"Heating_Hot_Water")&gt;0,(COUNTIF($G$34:$G$533,"Steam_Low_Pressure") + COUNTIF($G$34:$G$533,"Steam_Medium_Pressure") + COUNTIF($G$34:$G$533,"Steam_High_Pressure"))&gt;0),_xlpm.fluid, G92,_xlpm.fuel, K92,_xlpm.load,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2" s="609" t="str">
        <f t="shared" si="18"/>
        <v/>
      </c>
      <c r="W92" s="482"/>
      <c r="X92" s="397" t="str" cm="1">
        <f t="array" ref="X92">IFERROR(IF($D$3="","", _xlfn.XLOOKUP(1,($AR$36:$AR$53=F92)*($AS$36:$AS$53=G92), INDEX($AT$36:$BJ$53,,_xlfn.XMATCH(E92,$AT$35:$BJ$35)))),"")</f>
        <v/>
      </c>
      <c r="Y92" s="480"/>
      <c r="Z92" s="482"/>
      <c r="AA92" s="607" t="str" cm="1">
        <f t="array" ref="AA92">IFERROR(IF($D$3="", "", _xlfn.LET(_xlpm.dia, E92, _xlpm.thk, Z92, _xlpm.temp, I92,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2" s="397" t="str" cm="1">
        <f t="array" ref="AB92">IFERROR(IF($D$3="", "", _xlfn.XLOOKUP(1,($AR$57:$AR$76=Y92)*($AS$57:$AS$76=Z92), INDEX($AT$57:$BJ$76,,_xlfn.XMATCH(E92,$AT$56:$BJ$56)))),"")</f>
        <v/>
      </c>
      <c r="AC92" s="208" t="str">
        <f t="shared" si="9"/>
        <v/>
      </c>
      <c r="AD92" s="397" t="str">
        <f t="shared" si="10"/>
        <v/>
      </c>
      <c r="AE92" s="610" t="str">
        <f t="shared" si="11"/>
        <v/>
      </c>
      <c r="AF92" s="610" t="str">
        <f t="shared" si="12"/>
        <v/>
      </c>
      <c r="AG92" s="610" t="str">
        <f t="shared" si="13"/>
        <v/>
      </c>
      <c r="AH92" s="608" t="str">
        <f t="shared" si="19"/>
        <v/>
      </c>
      <c r="AI92" s="610" t="str">
        <f t="shared" si="14"/>
        <v/>
      </c>
      <c r="AM92" s="76" t="s">
        <v>231</v>
      </c>
      <c r="AN92" s="69">
        <v>0</v>
      </c>
      <c r="AO92" s="300" t="s">
        <v>200</v>
      </c>
      <c r="AR92" s="671" t="s">
        <v>204</v>
      </c>
      <c r="AS92" s="292" t="s">
        <v>232</v>
      </c>
      <c r="AT92" s="292" t="s">
        <v>233</v>
      </c>
      <c r="AU92" s="292" t="s">
        <v>234</v>
      </c>
      <c r="AV92" s="292" t="s">
        <v>174</v>
      </c>
    </row>
    <row r="93" spans="2:48" x14ac:dyDescent="0.25">
      <c r="B93" s="209">
        <v>60</v>
      </c>
      <c r="C93" s="480"/>
      <c r="D93" s="480"/>
      <c r="E93" s="481"/>
      <c r="F93" s="480"/>
      <c r="G93" s="480"/>
      <c r="H93" s="607" t="str">
        <f t="shared" si="0"/>
        <v/>
      </c>
      <c r="I93" s="607" t="str">
        <f t="shared" si="1"/>
        <v/>
      </c>
      <c r="J93" s="607" t="str">
        <f t="shared" si="2"/>
        <v/>
      </c>
      <c r="K93" s="208" t="str">
        <f t="shared" si="3"/>
        <v/>
      </c>
      <c r="L93" s="208" t="str">
        <f t="shared" si="4"/>
        <v/>
      </c>
      <c r="M93" s="208" t="str">
        <f t="shared" si="15"/>
        <v/>
      </c>
      <c r="N93" s="608" t="str">
        <f>IF($D$3="", "", IFERROR(VLOOKUP(L93,'PIPE INCENTIVE'!$B$4:$E$19,2,FALSE),""))</f>
        <v/>
      </c>
      <c r="O93" s="608" t="str">
        <f t="shared" si="16"/>
        <v/>
      </c>
      <c r="P93" s="208" t="str">
        <f t="shared" si="17"/>
        <v/>
      </c>
      <c r="Q93" s="208" t="str">
        <f t="shared" si="5"/>
        <v/>
      </c>
      <c r="R93" s="609" t="str">
        <f t="shared" si="6"/>
        <v/>
      </c>
      <c r="S93" s="609" t="str">
        <f t="shared" si="7"/>
        <v/>
      </c>
      <c r="T93" s="609" t="str">
        <f t="shared" si="8"/>
        <v/>
      </c>
      <c r="U93" s="609" t="str" cm="1">
        <f t="array" ref="U93">IFERROR(IF($D$3="","",_xlfn.LET(_xlpm.Mixed,AND(COUNTIF($G$34:$G$533,"Heating_Hot_Water")&gt;0,(COUNTIF($G$34:$G$533,"Steam_Low_Pressure") + COUNTIF($G$34:$G$533,"Steam_Medium_Pressure") + COUNTIF($G$34:$G$533,"Steam_High_Pressure"))&gt;0),_xlpm.fluid, G93,_xlpm.fuel, K93,_xlpm.load,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3" s="609" t="str">
        <f t="shared" si="18"/>
        <v/>
      </c>
      <c r="W93" s="482"/>
      <c r="X93" s="397" t="str" cm="1">
        <f t="array" ref="X93">IFERROR(IF($D$3="","", _xlfn.XLOOKUP(1,($AR$36:$AR$53=F93)*($AS$36:$AS$53=G93), INDEX($AT$36:$BJ$53,,_xlfn.XMATCH(E93,$AT$35:$BJ$35)))),"")</f>
        <v/>
      </c>
      <c r="Y93" s="480"/>
      <c r="Z93" s="482"/>
      <c r="AA93" s="607" t="str" cm="1">
        <f t="array" ref="AA93">IFERROR(IF($D$3="", "", _xlfn.LET(_xlpm.dia, E93, _xlpm.thk, Z93, _xlpm.temp, I93,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3" s="397" t="str" cm="1">
        <f t="array" ref="AB93">IFERROR(IF($D$3="", "", _xlfn.XLOOKUP(1,($AR$57:$AR$76=Y93)*($AS$57:$AS$76=Z93), INDEX($AT$57:$BJ$76,,_xlfn.XMATCH(E93,$AT$56:$BJ$56)))),"")</f>
        <v/>
      </c>
      <c r="AC93" s="208" t="str">
        <f t="shared" si="9"/>
        <v/>
      </c>
      <c r="AD93" s="397" t="str">
        <f t="shared" si="10"/>
        <v/>
      </c>
      <c r="AE93" s="610" t="str">
        <f t="shared" si="11"/>
        <v/>
      </c>
      <c r="AF93" s="610" t="str">
        <f t="shared" si="12"/>
        <v/>
      </c>
      <c r="AG93" s="610" t="str">
        <f t="shared" si="13"/>
        <v/>
      </c>
      <c r="AH93" s="608" t="str">
        <f t="shared" si="19"/>
        <v/>
      </c>
      <c r="AI93" s="610" t="str">
        <f t="shared" si="14"/>
        <v/>
      </c>
      <c r="AM93" s="76" t="s">
        <v>235</v>
      </c>
      <c r="AN93" s="69">
        <v>1</v>
      </c>
      <c r="AO93" s="300" t="s">
        <v>200</v>
      </c>
      <c r="AP93" s="1"/>
      <c r="AQ93" s="1"/>
      <c r="AR93" s="672" t="s">
        <v>172</v>
      </c>
      <c r="AS93" s="673">
        <v>0</v>
      </c>
      <c r="AT93" s="673">
        <v>299</v>
      </c>
      <c r="AU93" s="483">
        <v>0.84</v>
      </c>
      <c r="AV93" s="75" t="s">
        <v>198</v>
      </c>
    </row>
    <row r="94" spans="2:48" x14ac:dyDescent="0.25">
      <c r="B94" s="209">
        <v>61</v>
      </c>
      <c r="C94" s="480"/>
      <c r="D94" s="480"/>
      <c r="E94" s="481"/>
      <c r="F94" s="480"/>
      <c r="G94" s="480"/>
      <c r="H94" s="607" t="str">
        <f t="shared" si="0"/>
        <v/>
      </c>
      <c r="I94" s="607" t="str">
        <f t="shared" si="1"/>
        <v/>
      </c>
      <c r="J94" s="607" t="str">
        <f t="shared" si="2"/>
        <v/>
      </c>
      <c r="K94" s="208" t="str">
        <f t="shared" si="3"/>
        <v/>
      </c>
      <c r="L94" s="208" t="str">
        <f t="shared" si="4"/>
        <v/>
      </c>
      <c r="M94" s="208" t="str">
        <f t="shared" si="15"/>
        <v/>
      </c>
      <c r="N94" s="608" t="str">
        <f>IF($D$3="", "", IFERROR(VLOOKUP(L94,'PIPE INCENTIVE'!$B$4:$E$19,2,FALSE),""))</f>
        <v/>
      </c>
      <c r="O94" s="608" t="str">
        <f t="shared" si="16"/>
        <v/>
      </c>
      <c r="P94" s="208" t="str">
        <f t="shared" si="17"/>
        <v/>
      </c>
      <c r="Q94" s="208" t="str">
        <f t="shared" si="5"/>
        <v/>
      </c>
      <c r="R94" s="609" t="str">
        <f t="shared" si="6"/>
        <v/>
      </c>
      <c r="S94" s="609" t="str">
        <f t="shared" si="7"/>
        <v/>
      </c>
      <c r="T94" s="609" t="str">
        <f t="shared" si="8"/>
        <v/>
      </c>
      <c r="U94" s="609" t="str" cm="1">
        <f t="array" ref="U94">IFERROR(IF($D$3="","",_xlfn.LET(_xlpm.Mixed,AND(COUNTIF($G$34:$G$533,"Heating_Hot_Water")&gt;0,(COUNTIF($G$34:$G$533,"Steam_Low_Pressure") + COUNTIF($G$34:$G$533,"Steam_Medium_Pressure") + COUNTIF($G$34:$G$533,"Steam_High_Pressure"))&gt;0),_xlpm.fluid, G94,_xlpm.fuel, K94,_xlpm.load,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4" s="609" t="str">
        <f t="shared" si="18"/>
        <v/>
      </c>
      <c r="W94" s="482"/>
      <c r="X94" s="397" t="str" cm="1">
        <f t="array" ref="X94">IFERROR(IF($D$3="","", _xlfn.XLOOKUP(1,($AR$36:$AR$53=F94)*($AS$36:$AS$53=G94), INDEX($AT$36:$BJ$53,,_xlfn.XMATCH(E94,$AT$35:$BJ$35)))),"")</f>
        <v/>
      </c>
      <c r="Y94" s="480"/>
      <c r="Z94" s="482"/>
      <c r="AA94" s="607" t="str" cm="1">
        <f t="array" ref="AA94">IFERROR(IF($D$3="", "", _xlfn.LET(_xlpm.dia, E94, _xlpm.thk, Z94, _xlpm.temp, I94,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4" s="397" t="str" cm="1">
        <f t="array" ref="AB94">IFERROR(IF($D$3="", "", _xlfn.XLOOKUP(1,($AR$57:$AR$76=Y94)*($AS$57:$AS$76=Z94), INDEX($AT$57:$BJ$76,,_xlfn.XMATCH(E94,$AT$56:$BJ$56)))),"")</f>
        <v/>
      </c>
      <c r="AC94" s="208" t="str">
        <f t="shared" si="9"/>
        <v/>
      </c>
      <c r="AD94" s="397" t="str">
        <f t="shared" si="10"/>
        <v/>
      </c>
      <c r="AE94" s="610" t="str">
        <f t="shared" si="11"/>
        <v/>
      </c>
      <c r="AF94" s="610" t="str">
        <f t="shared" si="12"/>
        <v/>
      </c>
      <c r="AG94" s="610" t="str">
        <f t="shared" si="13"/>
        <v/>
      </c>
      <c r="AH94" s="608" t="str">
        <f t="shared" si="19"/>
        <v/>
      </c>
      <c r="AI94" s="610" t="str">
        <f t="shared" si="14"/>
        <v/>
      </c>
      <c r="AM94" s="76" t="s">
        <v>236</v>
      </c>
      <c r="AN94" s="69">
        <v>0</v>
      </c>
      <c r="AO94" s="300" t="s">
        <v>200</v>
      </c>
      <c r="AQ94" s="1"/>
      <c r="AR94" s="672" t="s">
        <v>172</v>
      </c>
      <c r="AS94" s="674">
        <v>300</v>
      </c>
      <c r="AT94" s="674">
        <v>2499</v>
      </c>
      <c r="AU94" s="483">
        <v>0.8</v>
      </c>
      <c r="AV94" s="75" t="s">
        <v>198</v>
      </c>
    </row>
    <row r="95" spans="2:48" x14ac:dyDescent="0.25">
      <c r="B95" s="209">
        <v>62</v>
      </c>
      <c r="C95" s="480"/>
      <c r="D95" s="480"/>
      <c r="E95" s="481"/>
      <c r="F95" s="480"/>
      <c r="G95" s="480"/>
      <c r="H95" s="607" t="str">
        <f t="shared" si="0"/>
        <v/>
      </c>
      <c r="I95" s="607" t="str">
        <f t="shared" si="1"/>
        <v/>
      </c>
      <c r="J95" s="607" t="str">
        <f t="shared" si="2"/>
        <v/>
      </c>
      <c r="K95" s="208" t="str">
        <f t="shared" si="3"/>
        <v/>
      </c>
      <c r="L95" s="208" t="str">
        <f t="shared" si="4"/>
        <v/>
      </c>
      <c r="M95" s="208" t="str">
        <f t="shared" si="15"/>
        <v/>
      </c>
      <c r="N95" s="608" t="str">
        <f>IF($D$3="", "", IFERROR(VLOOKUP(L95,'PIPE INCENTIVE'!$B$4:$E$19,2,FALSE),""))</f>
        <v/>
      </c>
      <c r="O95" s="608" t="str">
        <f t="shared" si="16"/>
        <v/>
      </c>
      <c r="P95" s="208" t="str">
        <f t="shared" si="17"/>
        <v/>
      </c>
      <c r="Q95" s="208" t="str">
        <f t="shared" si="5"/>
        <v/>
      </c>
      <c r="R95" s="609" t="str">
        <f t="shared" si="6"/>
        <v/>
      </c>
      <c r="S95" s="609" t="str">
        <f t="shared" si="7"/>
        <v/>
      </c>
      <c r="T95" s="609" t="str">
        <f t="shared" si="8"/>
        <v/>
      </c>
      <c r="U95" s="609" t="str" cm="1">
        <f t="array" ref="U95">IFERROR(IF($D$3="","",_xlfn.LET(_xlpm.Mixed,AND(COUNTIF($G$34:$G$533,"Heating_Hot_Water")&gt;0,(COUNTIF($G$34:$G$533,"Steam_Low_Pressure") + COUNTIF($G$34:$G$533,"Steam_Medium_Pressure") + COUNTIF($G$34:$G$533,"Steam_High_Pressure"))&gt;0),_xlpm.fluid, G95,_xlpm.fuel, K95,_xlpm.load,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5" s="609" t="str">
        <f t="shared" si="18"/>
        <v/>
      </c>
      <c r="W95" s="482"/>
      <c r="X95" s="397" t="str" cm="1">
        <f t="array" ref="X95">IFERROR(IF($D$3="","", _xlfn.XLOOKUP(1,($AR$36:$AR$53=F95)*($AS$36:$AS$53=G95), INDEX($AT$36:$BJ$53,,_xlfn.XMATCH(E95,$AT$35:$BJ$35)))),"")</f>
        <v/>
      </c>
      <c r="Y95" s="480"/>
      <c r="Z95" s="482"/>
      <c r="AA95" s="607" t="str" cm="1">
        <f t="array" ref="AA95">IFERROR(IF($D$3="", "", _xlfn.LET(_xlpm.dia, E95, _xlpm.thk, Z95, _xlpm.temp, I95,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5" s="397" t="str" cm="1">
        <f t="array" ref="AB95">IFERROR(IF($D$3="", "", _xlfn.XLOOKUP(1,($AR$57:$AR$76=Y95)*($AS$57:$AS$76=Z95), INDEX($AT$57:$BJ$76,,_xlfn.XMATCH(E95,$AT$56:$BJ$56)))),"")</f>
        <v/>
      </c>
      <c r="AC95" s="208" t="str">
        <f t="shared" si="9"/>
        <v/>
      </c>
      <c r="AD95" s="397" t="str">
        <f t="shared" si="10"/>
        <v/>
      </c>
      <c r="AE95" s="610" t="str">
        <f t="shared" si="11"/>
        <v/>
      </c>
      <c r="AF95" s="610" t="str">
        <f t="shared" si="12"/>
        <v/>
      </c>
      <c r="AG95" s="610" t="str">
        <f t="shared" si="13"/>
        <v/>
      </c>
      <c r="AH95" s="608" t="str">
        <f t="shared" si="19"/>
        <v/>
      </c>
      <c r="AI95" s="610" t="str">
        <f t="shared" si="14"/>
        <v/>
      </c>
      <c r="AM95" s="76" t="s">
        <v>237</v>
      </c>
      <c r="AN95" s="69">
        <v>1</v>
      </c>
      <c r="AO95" s="300" t="s">
        <v>200</v>
      </c>
      <c r="AQ95" s="1"/>
      <c r="AR95" s="672" t="s">
        <v>172</v>
      </c>
      <c r="AS95" s="674">
        <v>2500</v>
      </c>
      <c r="AT95" s="674">
        <v>9999</v>
      </c>
      <c r="AU95" s="483">
        <v>0.82</v>
      </c>
      <c r="AV95" s="75" t="s">
        <v>198</v>
      </c>
    </row>
    <row r="96" spans="2:48" x14ac:dyDescent="0.25">
      <c r="B96" s="209">
        <v>63</v>
      </c>
      <c r="C96" s="480"/>
      <c r="D96" s="480"/>
      <c r="E96" s="481"/>
      <c r="F96" s="480"/>
      <c r="G96" s="480"/>
      <c r="H96" s="607" t="str">
        <f t="shared" si="0"/>
        <v/>
      </c>
      <c r="I96" s="607" t="str">
        <f t="shared" si="1"/>
        <v/>
      </c>
      <c r="J96" s="607" t="str">
        <f t="shared" si="2"/>
        <v/>
      </c>
      <c r="K96" s="208" t="str">
        <f t="shared" si="3"/>
        <v/>
      </c>
      <c r="L96" s="208" t="str">
        <f t="shared" si="4"/>
        <v/>
      </c>
      <c r="M96" s="208" t="str">
        <f t="shared" si="15"/>
        <v/>
      </c>
      <c r="N96" s="608" t="str">
        <f>IF($D$3="", "", IFERROR(VLOOKUP(L96,'PIPE INCENTIVE'!$B$4:$E$19,2,FALSE),""))</f>
        <v/>
      </c>
      <c r="O96" s="608" t="str">
        <f t="shared" si="16"/>
        <v/>
      </c>
      <c r="P96" s="208" t="str">
        <f t="shared" si="17"/>
        <v/>
      </c>
      <c r="Q96" s="208" t="str">
        <f t="shared" si="5"/>
        <v/>
      </c>
      <c r="R96" s="609" t="str">
        <f t="shared" si="6"/>
        <v/>
      </c>
      <c r="S96" s="609" t="str">
        <f t="shared" si="7"/>
        <v/>
      </c>
      <c r="T96" s="609" t="str">
        <f t="shared" si="8"/>
        <v/>
      </c>
      <c r="U96" s="609" t="str" cm="1">
        <f t="array" ref="U96">IFERROR(IF($D$3="","",_xlfn.LET(_xlpm.Mixed,AND(COUNTIF($G$34:$G$533,"Heating_Hot_Water")&gt;0,(COUNTIF($G$34:$G$533,"Steam_Low_Pressure") + COUNTIF($G$34:$G$533,"Steam_Medium_Pressure") + COUNTIF($G$34:$G$533,"Steam_High_Pressure"))&gt;0),_xlpm.fluid, G96,_xlpm.fuel, K96,_xlpm.load,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6" s="609" t="str">
        <f t="shared" si="18"/>
        <v/>
      </c>
      <c r="W96" s="482"/>
      <c r="X96" s="397" t="str" cm="1">
        <f t="array" ref="X96">IFERROR(IF($D$3="","", _xlfn.XLOOKUP(1,($AR$36:$AR$53=F96)*($AS$36:$AS$53=G96), INDEX($AT$36:$BJ$53,,_xlfn.XMATCH(E96,$AT$35:$BJ$35)))),"")</f>
        <v/>
      </c>
      <c r="Y96" s="480"/>
      <c r="Z96" s="482"/>
      <c r="AA96" s="607" t="str" cm="1">
        <f t="array" ref="AA96">IFERROR(IF($D$3="", "", _xlfn.LET(_xlpm.dia, E96, _xlpm.thk, Z96, _xlpm.temp, I96,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6" s="397" t="str" cm="1">
        <f t="array" ref="AB96">IFERROR(IF($D$3="", "", _xlfn.XLOOKUP(1,($AR$57:$AR$76=Y96)*($AS$57:$AS$76=Z96), INDEX($AT$57:$BJ$76,,_xlfn.XMATCH(E96,$AT$56:$BJ$56)))),"")</f>
        <v/>
      </c>
      <c r="AC96" s="208" t="str">
        <f t="shared" si="9"/>
        <v/>
      </c>
      <c r="AD96" s="397" t="str">
        <f t="shared" si="10"/>
        <v/>
      </c>
      <c r="AE96" s="610" t="str">
        <f t="shared" si="11"/>
        <v/>
      </c>
      <c r="AF96" s="610" t="str">
        <f t="shared" si="12"/>
        <v/>
      </c>
      <c r="AG96" s="610" t="str">
        <f t="shared" si="13"/>
        <v/>
      </c>
      <c r="AH96" s="608" t="str">
        <f t="shared" si="19"/>
        <v/>
      </c>
      <c r="AI96" s="610" t="str">
        <f t="shared" si="14"/>
        <v/>
      </c>
      <c r="AM96" s="76" t="s">
        <v>238</v>
      </c>
      <c r="AN96" s="69">
        <v>0</v>
      </c>
      <c r="AO96" s="300" t="s">
        <v>200</v>
      </c>
      <c r="AQ96" s="1"/>
      <c r="AR96" s="672" t="s">
        <v>172</v>
      </c>
      <c r="AS96" s="673">
        <v>10000</v>
      </c>
      <c r="AT96" s="675">
        <v>9.9999999999999997E+98</v>
      </c>
      <c r="AU96" s="483">
        <v>0.82</v>
      </c>
      <c r="AV96" s="75" t="s">
        <v>198</v>
      </c>
    </row>
    <row r="97" spans="2:48" x14ac:dyDescent="0.25">
      <c r="B97" s="209">
        <v>64</v>
      </c>
      <c r="C97" s="480"/>
      <c r="D97" s="480"/>
      <c r="E97" s="481"/>
      <c r="F97" s="480"/>
      <c r="G97" s="480"/>
      <c r="H97" s="607" t="str">
        <f t="shared" si="0"/>
        <v/>
      </c>
      <c r="I97" s="607" t="str">
        <f t="shared" si="1"/>
        <v/>
      </c>
      <c r="J97" s="607" t="str">
        <f t="shared" si="2"/>
        <v/>
      </c>
      <c r="K97" s="208" t="str">
        <f t="shared" si="3"/>
        <v/>
      </c>
      <c r="L97" s="208" t="str">
        <f t="shared" si="4"/>
        <v/>
      </c>
      <c r="M97" s="208" t="str">
        <f t="shared" si="15"/>
        <v/>
      </c>
      <c r="N97" s="608" t="str">
        <f>IF($D$3="", "", IFERROR(VLOOKUP(L97,'PIPE INCENTIVE'!$B$4:$E$19,2,FALSE),""))</f>
        <v/>
      </c>
      <c r="O97" s="608" t="str">
        <f t="shared" si="16"/>
        <v/>
      </c>
      <c r="P97" s="208" t="str">
        <f t="shared" si="17"/>
        <v/>
      </c>
      <c r="Q97" s="208" t="str">
        <f t="shared" si="5"/>
        <v/>
      </c>
      <c r="R97" s="609" t="str">
        <f t="shared" si="6"/>
        <v/>
      </c>
      <c r="S97" s="609" t="str">
        <f t="shared" si="7"/>
        <v/>
      </c>
      <c r="T97" s="609" t="str">
        <f t="shared" si="8"/>
        <v/>
      </c>
      <c r="U97" s="609" t="str" cm="1">
        <f t="array" ref="U97">IFERROR(IF($D$3="","",_xlfn.LET(_xlpm.Mixed,AND(COUNTIF($G$34:$G$533,"Heating_Hot_Water")&gt;0,(COUNTIF($G$34:$G$533,"Steam_Low_Pressure") + COUNTIF($G$34:$G$533,"Steam_Medium_Pressure") + COUNTIF($G$34:$G$533,"Steam_High_Pressure"))&gt;0),_xlpm.fluid, G97,_xlpm.fuel, K97,_xlpm.load,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7" s="609" t="str">
        <f t="shared" si="18"/>
        <v/>
      </c>
      <c r="W97" s="482"/>
      <c r="X97" s="397" t="str" cm="1">
        <f t="array" ref="X97">IFERROR(IF($D$3="","", _xlfn.XLOOKUP(1,($AR$36:$AR$53=F97)*($AS$36:$AS$53=G97), INDEX($AT$36:$BJ$53,,_xlfn.XMATCH(E97,$AT$35:$BJ$35)))),"")</f>
        <v/>
      </c>
      <c r="Y97" s="480"/>
      <c r="Z97" s="482"/>
      <c r="AA97" s="607" t="str" cm="1">
        <f t="array" ref="AA97">IFERROR(IF($D$3="", "", _xlfn.LET(_xlpm.dia, E97, _xlpm.thk, Z97, _xlpm.temp, I97,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7" s="397" t="str" cm="1">
        <f t="array" ref="AB97">IFERROR(IF($D$3="", "", _xlfn.XLOOKUP(1,($AR$57:$AR$76=Y97)*($AS$57:$AS$76=Z97), INDEX($AT$57:$BJ$76,,_xlfn.XMATCH(E97,$AT$56:$BJ$56)))),"")</f>
        <v/>
      </c>
      <c r="AC97" s="208" t="str">
        <f t="shared" si="9"/>
        <v/>
      </c>
      <c r="AD97" s="397" t="str">
        <f t="shared" si="10"/>
        <v/>
      </c>
      <c r="AE97" s="610" t="str">
        <f t="shared" si="11"/>
        <v/>
      </c>
      <c r="AF97" s="610" t="str">
        <f t="shared" si="12"/>
        <v/>
      </c>
      <c r="AG97" s="610" t="str">
        <f t="shared" si="13"/>
        <v/>
      </c>
      <c r="AH97" s="608" t="str">
        <f t="shared" si="19"/>
        <v/>
      </c>
      <c r="AI97" s="610" t="str">
        <f t="shared" si="14"/>
        <v/>
      </c>
      <c r="AR97" s="672" t="s">
        <v>239</v>
      </c>
      <c r="AS97" s="673">
        <v>0</v>
      </c>
      <c r="AT97" s="673">
        <v>299</v>
      </c>
      <c r="AU97" s="483">
        <v>0.82</v>
      </c>
      <c r="AV97" s="75" t="s">
        <v>198</v>
      </c>
    </row>
    <row r="98" spans="2:48" x14ac:dyDescent="0.25">
      <c r="B98" s="209">
        <v>65</v>
      </c>
      <c r="C98" s="480"/>
      <c r="D98" s="480"/>
      <c r="E98" s="481"/>
      <c r="F98" s="480"/>
      <c r="G98" s="480"/>
      <c r="H98" s="607" t="str">
        <f t="shared" ref="H98:H161" si="26">IFERROR(IF($D$3="", "", VLOOKUP(G98,$AM$53:$AN$60,2,FALSE)),"")</f>
        <v/>
      </c>
      <c r="I98" s="607" t="str">
        <f t="shared" ref="I98:I161" si="27">IFERROR(IF($D$3 = "", "", VLOOKUP(G98,$AM$64:$AN$71,2,FALSE)),"")</f>
        <v/>
      </c>
      <c r="J98" s="607" t="str">
        <f t="shared" ref="J98:J161" si="28">IFERROR(IF($D$3="", "", ABS(I98-H98)),"")</f>
        <v/>
      </c>
      <c r="K98" s="208" t="str">
        <f t="shared" ref="K98:K161" si="29">IFERROR(IF($D$3="", "", IF(OR(G98="Steam_Low_Pressure", G98="Steam_Medium_Pressure",G98="Steam_High_Pressure", G98="Heating_Hot_Water", G98="Steam_Condensate"), "Heating"&amp;$AT$115, IF(G98="Domestic_Hot_Water", G98&amp;$AT$131, IF(OR(G98="CoolingSupply", G98="CoolingReturn"), G98&amp;$AT$122,"")))),"")</f>
        <v/>
      </c>
      <c r="L98" s="208" t="str">
        <f t="shared" ref="L98:L161" si="30">IF($D$3="","", IFERROR(IF($D$7="Large C &amp; I (LCI)", "LCI", "SMB")&amp;"_"&amp;IF(RIGHT(K98, 6)="Fossil", "Gas_", "Electric_")&amp;$D$8&amp;"_"&amp;IF($D$9="No", "DACNo", "DACYes"),""))</f>
        <v/>
      </c>
      <c r="M98" s="208" t="str">
        <f t="shared" si="15"/>
        <v/>
      </c>
      <c r="N98" s="608" t="str">
        <f>IF($D$3="", "", IFERROR(VLOOKUP(L98,'PIPE INCENTIVE'!$B$4:$E$19,2,FALSE),""))</f>
        <v/>
      </c>
      <c r="O98" s="608" t="str">
        <f t="shared" si="16"/>
        <v/>
      </c>
      <c r="P98" s="208" t="str">
        <f t="shared" si="17"/>
        <v/>
      </c>
      <c r="Q98" s="208" t="str">
        <f t="shared" ref="Q98:Q161" si="31">IFERROR(IF($D$3="","",IF(P98="Domestic_Hot_Water_AY",8760,IF(P98="Domestic_Hot_Water_HSO",VLOOKUP($D$5,$AM$74:$AN$81,2,FALSE),IF(P98="NOTDHW",IF($D$21="Yes",IF(OR(G98="CoolingSupply",G98="CoolingReturn"), $D$23, $D$22),IF(OR(G98="CoolingSupply",G98="CoolingReturn"), $AP$44, $AP$43)),"")))),"")</f>
        <v/>
      </c>
      <c r="R98" s="609" t="str">
        <f t="shared" ref="R98:R161" si="32">IFERROR(IF($D$3="", "", VLOOKUP(K98,$AM$86:$AN$96,2, FALSE)),"")</f>
        <v/>
      </c>
      <c r="S98" s="609" t="str">
        <f t="shared" ref="S98:S161" si="33">IFERROR(IF($D$3="", "", VLOOKUP(K98,$AM$100:$AN$110,2, FALSE)),"")</f>
        <v/>
      </c>
      <c r="T98" s="609" t="str">
        <f t="shared" ref="T98:T161" si="34">IF($D$3="","",IFERROR(IF(OR(K98="CoolingSupplyElectric",K98="CoolingReturnElectric"),IF($D$20&lt;&gt;"",$D$20, _xlfn.XLOOKUP(K98,$AR$102:$AR$107,$AS$102:$AS$107)),IF(OR(K98="HeatingElectric",K98="Domestic_Hot_WaterElectric",K98="Domestic_Hot_WaterUnknown"),0.98,0.98)),""))</f>
        <v/>
      </c>
      <c r="U98" s="609" t="str" cm="1">
        <f t="array" ref="U98">IFERROR(IF($D$3="","",_xlfn.LET(_xlpm.Mixed,AND(COUNTIF($G$34:$G$533,"Heating_Hot_Water")&gt;0,(COUNTIF($G$34:$G$533,"Steam_Low_Pressure") + COUNTIF($G$34:$G$533,"Steam_Medium_Pressure") + COUNTIF($G$34:$G$533,"Steam_High_Pressure"))&gt;0),_xlpm.fluid, G98,_xlpm.fuel, K98,_xlpm.load,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8" s="609" t="str">
        <f t="shared" si="18"/>
        <v/>
      </c>
      <c r="W98" s="482"/>
      <c r="X98" s="397" t="str" cm="1">
        <f t="array" ref="X98">IFERROR(IF($D$3="","", _xlfn.XLOOKUP(1,($AR$36:$AR$53=F98)*($AS$36:$AS$53=G98), INDEX($AT$36:$BJ$53,,_xlfn.XMATCH(E98,$AT$35:$BJ$35)))),"")</f>
        <v/>
      </c>
      <c r="Y98" s="480"/>
      <c r="Z98" s="482"/>
      <c r="AA98" s="607" t="str" cm="1">
        <f t="array" ref="AA98">IFERROR(IF($D$3="", "", _xlfn.LET(_xlpm.dia, E98, _xlpm.thk, Z98, _xlpm.temp, I98,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8" s="397" t="str" cm="1">
        <f t="array" ref="AB98">IFERROR(IF($D$3="", "", _xlfn.XLOOKUP(1,($AR$57:$AR$76=Y98)*($AS$57:$AS$76=Z98), INDEX($AT$57:$BJ$76,,_xlfn.XMATCH(E98,$AT$56:$BJ$56)))),"")</f>
        <v/>
      </c>
      <c r="AC98" s="208" t="str">
        <f t="shared" ref="AC98:AC161" si="35">IFERROR(IF($D$3="", "", IF(AND($AT$115="Fossil", $AT$122="Fossil", $AT$131="Fossil"), 0, ((X98-AB98)/(T98*3412))*W98*J98*Q98*R98)),"")</f>
        <v/>
      </c>
      <c r="AD98" s="397" t="str">
        <f t="shared" ref="AD98:AD161" si="36">IFERROR(IF($D$3="", "", AC98*V98/8760),"")</f>
        <v/>
      </c>
      <c r="AE98" s="610" t="str">
        <f t="shared" ref="AE98:AE161" si="37">IFERROR(IF(AF98="", "", AF98*10),"")</f>
        <v/>
      </c>
      <c r="AF98" s="610" t="str">
        <f t="shared" ref="AF98:AF161" si="38">IFERROR(IF($D$3="", "", IF(AND($AT$115="Electric", $AT$122="Electric", $AT$131="Electric"), 0, ((X98-AB98)/(U98*1000000))*W98*J98*Q98*S98)),"")</f>
        <v/>
      </c>
      <c r="AG98" s="610" t="str">
        <f t="shared" ref="AG98:AG161" si="39">IFERROR(IF(AC98&lt;&gt;0, AC98*3412/1000000, 0),"")</f>
        <v/>
      </c>
      <c r="AH98" s="608" t="str">
        <f t="shared" ref="AH98:AH161" si="40">IFERROR(IF($D$3="","",IF(OR(AND(ISNUMBER(SEARCH("Domestic_Hot_Water",$K98)),OR(ISNUMBER(SEARCH("Not National Grid",$D$17)),ISNUMBER(SEARCH("Oil/Propane/Wood",$D$17)))),AND(ISNUMBER(SEARCH("Cooling",$K98)),ISNUMBER(SEARCH("Not National Grid",$D$16))),AND(NOT(ISNUMBER(SEARCH("Domestic_Hot_Water",$K98))),NOT(ISNUMBER(SEARCH("Cooling",$K98))),OR(ISNUMBER(SEARCH("Not National Grid",$D$15)),ISNUMBER(SEARCH("Oil/Propane/Wood",$D$15))))),0,IF(AA98="No",0,IF(M98="PERTHERM",N98*AE98,N98*W98)))),"")</f>
        <v/>
      </c>
      <c r="AI98" s="610" t="str">
        <f t="shared" ref="AI98:AI161" si="41">IFERROR(AG98+AF98,"")</f>
        <v/>
      </c>
      <c r="AM98" s="668" t="s">
        <v>220</v>
      </c>
      <c r="AN98" s="650"/>
      <c r="AO98" s="383"/>
      <c r="AR98" s="672" t="s">
        <v>239</v>
      </c>
      <c r="AS98" s="674">
        <v>300</v>
      </c>
      <c r="AT98" s="674">
        <v>2499</v>
      </c>
      <c r="AU98" s="483">
        <v>0.79</v>
      </c>
      <c r="AV98" s="75" t="s">
        <v>198</v>
      </c>
    </row>
    <row r="99" spans="2:48" x14ac:dyDescent="0.25">
      <c r="B99" s="209">
        <v>66</v>
      </c>
      <c r="C99" s="480"/>
      <c r="D99" s="480"/>
      <c r="E99" s="481"/>
      <c r="F99" s="480"/>
      <c r="G99" s="480"/>
      <c r="H99" s="607" t="str">
        <f t="shared" si="26"/>
        <v/>
      </c>
      <c r="I99" s="607" t="str">
        <f t="shared" si="27"/>
        <v/>
      </c>
      <c r="J99" s="607" t="str">
        <f t="shared" si="28"/>
        <v/>
      </c>
      <c r="K99" s="208" t="str">
        <f t="shared" si="29"/>
        <v/>
      </c>
      <c r="L99" s="208" t="str">
        <f t="shared" si="30"/>
        <v/>
      </c>
      <c r="M99" s="208" t="str">
        <f t="shared" ref="M99:M162" si="42">IF($D$3="","",IFERROR(IF(LEFT(L99,7)="LCI_Gas","PERTHERM","PERLF"),""))</f>
        <v/>
      </c>
      <c r="N99" s="608" t="str">
        <f>IF($D$3="", "", IFERROR(VLOOKUP(L99,'PIPE INCENTIVE'!$B$4:$E$19,2,FALSE),""))</f>
        <v/>
      </c>
      <c r="O99" s="608" t="str">
        <f t="shared" ref="O99:O162" si="43">IF($D$3="", "", IFERROR(IF(RIGHT(K99,6)="Fossil","Gas","Electric"),""))</f>
        <v/>
      </c>
      <c r="P99" s="208" t="str">
        <f t="shared" ref="P99:P162" si="44">IFERROR(IF($D$3="", "", IF(AND(G99="Domestic_Hot_Water",$D$18="All Year"),G99&amp;"_AY",IF(AND(G99="Domestic_Hot_Water",$D$18="Heating Season Only"),G99&amp;"_HSO","NOTDHW"))),"")</f>
        <v/>
      </c>
      <c r="Q99" s="208" t="str">
        <f t="shared" si="31"/>
        <v/>
      </c>
      <c r="R99" s="609" t="str">
        <f t="shared" si="32"/>
        <v/>
      </c>
      <c r="S99" s="609" t="str">
        <f t="shared" si="33"/>
        <v/>
      </c>
      <c r="T99" s="609" t="str">
        <f t="shared" si="34"/>
        <v/>
      </c>
      <c r="U99" s="609" t="str" cm="1">
        <f t="array" ref="U99">IFERROR(IF($D$3="","",_xlfn.LET(_xlpm.Mixed,AND(COUNTIF($G$34:$G$533,"Heating_Hot_Water")&gt;0,(COUNTIF($G$34:$G$533,"Steam_Low_Pressure") + COUNTIF($G$34:$G$533,"Steam_Medium_Pressure") + COUNTIF($G$34:$G$533,"Steam_High_Pressure"))&gt;0),_xlpm.fluid, G99,_xlpm.fuel, K99,_xlpm.load,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99" s="609" t="str">
        <f t="shared" ref="V99:V162" si="45">IFERROR(IF($D$3="", "", IF(K99="Domestic_Hot_WaterElectric", 1, 0)),"")</f>
        <v/>
      </c>
      <c r="W99" s="482"/>
      <c r="X99" s="397" t="str" cm="1">
        <f t="array" ref="X99">IFERROR(IF($D$3="","", _xlfn.XLOOKUP(1,($AR$36:$AR$53=F99)*($AS$36:$AS$53=G99), INDEX($AT$36:$BJ$53,,_xlfn.XMATCH(E99,$AT$35:$BJ$35)))),"")</f>
        <v/>
      </c>
      <c r="Y99" s="480"/>
      <c r="Z99" s="482"/>
      <c r="AA99" s="607" t="str" cm="1">
        <f t="array" ref="AA99">IFERROR(IF($D$3="", "", _xlfn.LET(_xlpm.dia, E99, _xlpm.thk, Z99, _xlpm.temp, I99,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99" s="397" t="str" cm="1">
        <f t="array" ref="AB99">IFERROR(IF($D$3="", "", _xlfn.XLOOKUP(1,($AR$57:$AR$76=Y99)*($AS$57:$AS$76=Z99), INDEX($AT$57:$BJ$76,,_xlfn.XMATCH(E99,$AT$56:$BJ$56)))),"")</f>
        <v/>
      </c>
      <c r="AC99" s="208" t="str">
        <f t="shared" si="35"/>
        <v/>
      </c>
      <c r="AD99" s="397" t="str">
        <f t="shared" si="36"/>
        <v/>
      </c>
      <c r="AE99" s="610" t="str">
        <f t="shared" si="37"/>
        <v/>
      </c>
      <c r="AF99" s="610" t="str">
        <f t="shared" si="38"/>
        <v/>
      </c>
      <c r="AG99" s="610" t="str">
        <f t="shared" si="39"/>
        <v/>
      </c>
      <c r="AH99" s="608" t="str">
        <f t="shared" si="40"/>
        <v/>
      </c>
      <c r="AI99" s="610" t="str">
        <f t="shared" si="41"/>
        <v/>
      </c>
      <c r="AM99" s="669" t="s">
        <v>221</v>
      </c>
      <c r="AN99" s="642" t="s">
        <v>150</v>
      </c>
      <c r="AO99" s="651" t="s">
        <v>174</v>
      </c>
      <c r="AR99" s="672" t="s">
        <v>239</v>
      </c>
      <c r="AS99" s="674">
        <v>2500</v>
      </c>
      <c r="AT99" s="674">
        <v>9999</v>
      </c>
      <c r="AU99" s="483">
        <v>0.79</v>
      </c>
      <c r="AV99" s="75" t="s">
        <v>198</v>
      </c>
    </row>
    <row r="100" spans="2:48" x14ac:dyDescent="0.25">
      <c r="B100" s="209">
        <v>67</v>
      </c>
      <c r="C100" s="480"/>
      <c r="D100" s="480"/>
      <c r="E100" s="481"/>
      <c r="F100" s="480"/>
      <c r="G100" s="480"/>
      <c r="H100" s="607" t="str">
        <f t="shared" si="26"/>
        <v/>
      </c>
      <c r="I100" s="607" t="str">
        <f t="shared" si="27"/>
        <v/>
      </c>
      <c r="J100" s="607" t="str">
        <f t="shared" si="28"/>
        <v/>
      </c>
      <c r="K100" s="208" t="str">
        <f t="shared" si="29"/>
        <v/>
      </c>
      <c r="L100" s="208" t="str">
        <f t="shared" si="30"/>
        <v/>
      </c>
      <c r="M100" s="208" t="str">
        <f t="shared" si="42"/>
        <v/>
      </c>
      <c r="N100" s="608" t="str">
        <f>IF($D$3="", "", IFERROR(VLOOKUP(L100,'PIPE INCENTIVE'!$B$4:$E$19,2,FALSE),""))</f>
        <v/>
      </c>
      <c r="O100" s="608" t="str">
        <f t="shared" si="43"/>
        <v/>
      </c>
      <c r="P100" s="208" t="str">
        <f t="shared" si="44"/>
        <v/>
      </c>
      <c r="Q100" s="208" t="str">
        <f t="shared" si="31"/>
        <v/>
      </c>
      <c r="R100" s="609" t="str">
        <f t="shared" si="32"/>
        <v/>
      </c>
      <c r="S100" s="609" t="str">
        <f t="shared" si="33"/>
        <v/>
      </c>
      <c r="T100" s="609" t="str">
        <f t="shared" si="34"/>
        <v/>
      </c>
      <c r="U100" s="609" t="str" cm="1">
        <f t="array" ref="U100">IFERROR(IF($D$3="","",_xlfn.LET(_xlpm.Mixed,AND(COUNTIF($G$34:$G$533,"Heating_Hot_Water")&gt;0,(COUNTIF($G$34:$G$533,"Steam_Low_Pressure") + COUNTIF($G$34:$G$533,"Steam_Medium_Pressure") + COUNTIF($G$34:$G$533,"Steam_High_Pressure"))&gt;0),_xlpm.fluid, G100,_xlpm.fuel, K100,_xlpm.load,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0" s="609" t="str">
        <f t="shared" si="45"/>
        <v/>
      </c>
      <c r="W100" s="482"/>
      <c r="X100" s="397" t="str" cm="1">
        <f t="array" ref="X100">IFERROR(IF($D$3="","", _xlfn.XLOOKUP(1,($AR$36:$AR$53=F100)*($AS$36:$AS$53=G100), INDEX($AT$36:$BJ$53,,_xlfn.XMATCH(E100,$AT$35:$BJ$35)))),"")</f>
        <v/>
      </c>
      <c r="Y100" s="480"/>
      <c r="Z100" s="482"/>
      <c r="AA100" s="607" t="str" cm="1">
        <f t="array" ref="AA100">IFERROR(IF($D$3="", "", _xlfn.LET(_xlpm.dia, E100, _xlpm.thk, Z100, _xlpm.temp, I100,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0" s="397" t="str" cm="1">
        <f t="array" ref="AB100">IFERROR(IF($D$3="", "", _xlfn.XLOOKUP(1,($AR$57:$AR$76=Y100)*($AS$57:$AS$76=Z100), INDEX($AT$57:$BJ$76,,_xlfn.XMATCH(E100,$AT$56:$BJ$56)))),"")</f>
        <v/>
      </c>
      <c r="AC100" s="208" t="str">
        <f t="shared" si="35"/>
        <v/>
      </c>
      <c r="AD100" s="397" t="str">
        <f t="shared" si="36"/>
        <v/>
      </c>
      <c r="AE100" s="610" t="str">
        <f t="shared" si="37"/>
        <v/>
      </c>
      <c r="AF100" s="610" t="str">
        <f t="shared" si="38"/>
        <v/>
      </c>
      <c r="AG100" s="610" t="str">
        <f t="shared" si="39"/>
        <v/>
      </c>
      <c r="AH100" s="608" t="str">
        <f t="shared" si="40"/>
        <v/>
      </c>
      <c r="AI100" s="610" t="str">
        <f t="shared" si="41"/>
        <v/>
      </c>
      <c r="AM100" s="76" t="s">
        <v>222</v>
      </c>
      <c r="AN100" s="69">
        <v>0</v>
      </c>
      <c r="AO100" s="300" t="s">
        <v>198</v>
      </c>
      <c r="AR100" s="672" t="s">
        <v>239</v>
      </c>
      <c r="AS100" s="673">
        <v>10000</v>
      </c>
      <c r="AT100" s="675">
        <v>9.9999999999999997E+98</v>
      </c>
      <c r="AU100" s="483">
        <v>0.79</v>
      </c>
      <c r="AV100" s="75" t="s">
        <v>198</v>
      </c>
    </row>
    <row r="101" spans="2:48" x14ac:dyDescent="0.25">
      <c r="B101" s="209">
        <v>68</v>
      </c>
      <c r="C101" s="480"/>
      <c r="D101" s="480"/>
      <c r="E101" s="481"/>
      <c r="F101" s="480"/>
      <c r="G101" s="480"/>
      <c r="H101" s="607" t="str">
        <f t="shared" si="26"/>
        <v/>
      </c>
      <c r="I101" s="607" t="str">
        <f t="shared" si="27"/>
        <v/>
      </c>
      <c r="J101" s="607" t="str">
        <f t="shared" si="28"/>
        <v/>
      </c>
      <c r="K101" s="208" t="str">
        <f t="shared" si="29"/>
        <v/>
      </c>
      <c r="L101" s="208" t="str">
        <f t="shared" si="30"/>
        <v/>
      </c>
      <c r="M101" s="208" t="str">
        <f t="shared" si="42"/>
        <v/>
      </c>
      <c r="N101" s="608" t="str">
        <f>IF($D$3="", "", IFERROR(VLOOKUP(L101,'PIPE INCENTIVE'!$B$4:$E$19,2,FALSE),""))</f>
        <v/>
      </c>
      <c r="O101" s="608" t="str">
        <f t="shared" si="43"/>
        <v/>
      </c>
      <c r="P101" s="208" t="str">
        <f t="shared" si="44"/>
        <v/>
      </c>
      <c r="Q101" s="208" t="str">
        <f t="shared" si="31"/>
        <v/>
      </c>
      <c r="R101" s="609" t="str">
        <f t="shared" si="32"/>
        <v/>
      </c>
      <c r="S101" s="609" t="str">
        <f t="shared" si="33"/>
        <v/>
      </c>
      <c r="T101" s="609" t="str">
        <f t="shared" si="34"/>
        <v/>
      </c>
      <c r="U101" s="609" t="str" cm="1">
        <f t="array" ref="U101">IFERROR(IF($D$3="","",_xlfn.LET(_xlpm.Mixed,AND(COUNTIF($G$34:$G$533,"Heating_Hot_Water")&gt;0,(COUNTIF($G$34:$G$533,"Steam_Low_Pressure") + COUNTIF($G$34:$G$533,"Steam_Medium_Pressure") + COUNTIF($G$34:$G$533,"Steam_High_Pressure"))&gt;0),_xlpm.fluid, G101,_xlpm.fuel, K101,_xlpm.load,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1" s="609" t="str">
        <f t="shared" si="45"/>
        <v/>
      </c>
      <c r="W101" s="482"/>
      <c r="X101" s="397" t="str" cm="1">
        <f t="array" ref="X101">IFERROR(IF($D$3="","", _xlfn.XLOOKUP(1,($AR$36:$AR$53=F101)*($AS$36:$AS$53=G101), INDEX($AT$36:$BJ$53,,_xlfn.XMATCH(E101,$AT$35:$BJ$35)))),"")</f>
        <v/>
      </c>
      <c r="Y101" s="480"/>
      <c r="Z101" s="482"/>
      <c r="AA101" s="607" t="str" cm="1">
        <f t="array" ref="AA101">IFERROR(IF($D$3="", "", _xlfn.LET(_xlpm.dia, E101, _xlpm.thk, Z101, _xlpm.temp, I101,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1" s="397" t="str" cm="1">
        <f t="array" ref="AB101">IFERROR(IF($D$3="", "", _xlfn.XLOOKUP(1,($AR$57:$AR$76=Y101)*($AS$57:$AS$76=Z101), INDEX($AT$57:$BJ$76,,_xlfn.XMATCH(E101,$AT$56:$BJ$56)))),"")</f>
        <v/>
      </c>
      <c r="AC101" s="208" t="str">
        <f t="shared" si="35"/>
        <v/>
      </c>
      <c r="AD101" s="397" t="str">
        <f t="shared" si="36"/>
        <v/>
      </c>
      <c r="AE101" s="610" t="str">
        <f t="shared" si="37"/>
        <v/>
      </c>
      <c r="AF101" s="610" t="str">
        <f t="shared" si="38"/>
        <v/>
      </c>
      <c r="AG101" s="610" t="str">
        <f t="shared" si="39"/>
        <v/>
      </c>
      <c r="AH101" s="608" t="str">
        <f t="shared" si="40"/>
        <v/>
      </c>
      <c r="AI101" s="610" t="str">
        <f t="shared" si="41"/>
        <v/>
      </c>
      <c r="AM101" s="76" t="s">
        <v>224</v>
      </c>
      <c r="AN101" s="69">
        <v>1</v>
      </c>
      <c r="AO101" s="300" t="s">
        <v>198</v>
      </c>
    </row>
    <row r="102" spans="2:48" x14ac:dyDescent="0.25">
      <c r="B102" s="209">
        <v>69</v>
      </c>
      <c r="C102" s="480"/>
      <c r="D102" s="480"/>
      <c r="E102" s="481"/>
      <c r="F102" s="480"/>
      <c r="G102" s="480"/>
      <c r="H102" s="607" t="str">
        <f t="shared" si="26"/>
        <v/>
      </c>
      <c r="I102" s="607" t="str">
        <f t="shared" si="27"/>
        <v/>
      </c>
      <c r="J102" s="607" t="str">
        <f t="shared" si="28"/>
        <v/>
      </c>
      <c r="K102" s="208" t="str">
        <f t="shared" si="29"/>
        <v/>
      </c>
      <c r="L102" s="208" t="str">
        <f t="shared" si="30"/>
        <v/>
      </c>
      <c r="M102" s="208" t="str">
        <f t="shared" si="42"/>
        <v/>
      </c>
      <c r="N102" s="608" t="str">
        <f>IF($D$3="", "", IFERROR(VLOOKUP(L102,'PIPE INCENTIVE'!$B$4:$E$19,2,FALSE),""))</f>
        <v/>
      </c>
      <c r="O102" s="608" t="str">
        <f t="shared" si="43"/>
        <v/>
      </c>
      <c r="P102" s="208" t="str">
        <f t="shared" si="44"/>
        <v/>
      </c>
      <c r="Q102" s="208" t="str">
        <f t="shared" si="31"/>
        <v/>
      </c>
      <c r="R102" s="609" t="str">
        <f t="shared" si="32"/>
        <v/>
      </c>
      <c r="S102" s="609" t="str">
        <f t="shared" si="33"/>
        <v/>
      </c>
      <c r="T102" s="609" t="str">
        <f t="shared" si="34"/>
        <v/>
      </c>
      <c r="U102" s="609" t="str" cm="1">
        <f t="array" ref="U102">IFERROR(IF($D$3="","",_xlfn.LET(_xlpm.Mixed,AND(COUNTIF($G$34:$G$533,"Heating_Hot_Water")&gt;0,(COUNTIF($G$34:$G$533,"Steam_Low_Pressure") + COUNTIF($G$34:$G$533,"Steam_Medium_Pressure") + COUNTIF($G$34:$G$533,"Steam_High_Pressure"))&gt;0),_xlpm.fluid, G102,_xlpm.fuel, K102,_xlpm.load,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2" s="609" t="str">
        <f t="shared" si="45"/>
        <v/>
      </c>
      <c r="W102" s="482"/>
      <c r="X102" s="397" t="str" cm="1">
        <f t="array" ref="X102">IFERROR(IF($D$3="","", _xlfn.XLOOKUP(1,($AR$36:$AR$53=F102)*($AS$36:$AS$53=G102), INDEX($AT$36:$BJ$53,,_xlfn.XMATCH(E102,$AT$35:$BJ$35)))),"")</f>
        <v/>
      </c>
      <c r="Y102" s="480"/>
      <c r="Z102" s="482"/>
      <c r="AA102" s="607" t="str" cm="1">
        <f t="array" ref="AA102">IFERROR(IF($D$3="", "", _xlfn.LET(_xlpm.dia, E102, _xlpm.thk, Z102, _xlpm.temp, I102,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2" s="397" t="str" cm="1">
        <f t="array" ref="AB102">IFERROR(IF($D$3="", "", _xlfn.XLOOKUP(1,($AR$57:$AR$76=Y102)*($AS$57:$AS$76=Z102), INDEX($AT$57:$BJ$76,,_xlfn.XMATCH(E102,$AT$56:$BJ$56)))),"")</f>
        <v/>
      </c>
      <c r="AC102" s="208" t="str">
        <f t="shared" si="35"/>
        <v/>
      </c>
      <c r="AD102" s="397" t="str">
        <f t="shared" si="36"/>
        <v/>
      </c>
      <c r="AE102" s="610" t="str">
        <f t="shared" si="37"/>
        <v/>
      </c>
      <c r="AF102" s="610" t="str">
        <f t="shared" si="38"/>
        <v/>
      </c>
      <c r="AG102" s="610" t="str">
        <f t="shared" si="39"/>
        <v/>
      </c>
      <c r="AH102" s="608" t="str">
        <f t="shared" si="40"/>
        <v/>
      </c>
      <c r="AI102" s="610" t="str">
        <f t="shared" si="41"/>
        <v/>
      </c>
      <c r="AM102" s="76" t="s">
        <v>226</v>
      </c>
      <c r="AN102" s="69">
        <v>0</v>
      </c>
      <c r="AO102" s="300" t="s">
        <v>198</v>
      </c>
      <c r="AR102" s="656" t="s">
        <v>240</v>
      </c>
      <c r="AS102" s="657"/>
      <c r="AT102" s="676"/>
    </row>
    <row r="103" spans="2:48" x14ac:dyDescent="0.25">
      <c r="B103" s="209">
        <v>70</v>
      </c>
      <c r="C103" s="480"/>
      <c r="D103" s="480"/>
      <c r="E103" s="481"/>
      <c r="F103" s="480"/>
      <c r="G103" s="480"/>
      <c r="H103" s="607" t="str">
        <f t="shared" si="26"/>
        <v/>
      </c>
      <c r="I103" s="607" t="str">
        <f t="shared" si="27"/>
        <v/>
      </c>
      <c r="J103" s="607" t="str">
        <f t="shared" si="28"/>
        <v/>
      </c>
      <c r="K103" s="208" t="str">
        <f t="shared" si="29"/>
        <v/>
      </c>
      <c r="L103" s="208" t="str">
        <f t="shared" si="30"/>
        <v/>
      </c>
      <c r="M103" s="208" t="str">
        <f t="shared" si="42"/>
        <v/>
      </c>
      <c r="N103" s="608" t="str">
        <f>IF($D$3="", "", IFERROR(VLOOKUP(L103,'PIPE INCENTIVE'!$B$4:$E$19,2,FALSE),""))</f>
        <v/>
      </c>
      <c r="O103" s="608" t="str">
        <f t="shared" si="43"/>
        <v/>
      </c>
      <c r="P103" s="208" t="str">
        <f t="shared" si="44"/>
        <v/>
      </c>
      <c r="Q103" s="208" t="str">
        <f t="shared" si="31"/>
        <v/>
      </c>
      <c r="R103" s="609" t="str">
        <f t="shared" si="32"/>
        <v/>
      </c>
      <c r="S103" s="609" t="str">
        <f t="shared" si="33"/>
        <v/>
      </c>
      <c r="T103" s="609" t="str">
        <f t="shared" si="34"/>
        <v/>
      </c>
      <c r="U103" s="609" t="str" cm="1">
        <f t="array" ref="U103">IFERROR(IF($D$3="","",_xlfn.LET(_xlpm.Mixed,AND(COUNTIF($G$34:$G$533,"Heating_Hot_Water")&gt;0,(COUNTIF($G$34:$G$533,"Steam_Low_Pressure") + COUNTIF($G$34:$G$533,"Steam_Medium_Pressure") + COUNTIF($G$34:$G$533,"Steam_High_Pressure"))&gt;0),_xlpm.fluid, G103,_xlpm.fuel, K103,_xlpm.load,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3" s="609" t="str">
        <f t="shared" si="45"/>
        <v/>
      </c>
      <c r="W103" s="482"/>
      <c r="X103" s="397" t="str" cm="1">
        <f t="array" ref="X103">IFERROR(IF($D$3="","", _xlfn.XLOOKUP(1,($AR$36:$AR$53=F103)*($AS$36:$AS$53=G103), INDEX($AT$36:$BJ$53,,_xlfn.XMATCH(E103,$AT$35:$BJ$35)))),"")</f>
        <v/>
      </c>
      <c r="Y103" s="480"/>
      <c r="Z103" s="482"/>
      <c r="AA103" s="607" t="str" cm="1">
        <f t="array" ref="AA103">IFERROR(IF($D$3="", "", _xlfn.LET(_xlpm.dia, E103, _xlpm.thk, Z103, _xlpm.temp, I103,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3" s="397" t="str" cm="1">
        <f t="array" ref="AB103">IFERROR(IF($D$3="", "", _xlfn.XLOOKUP(1,($AR$57:$AR$76=Y103)*($AS$57:$AS$76=Z103), INDEX($AT$57:$BJ$76,,_xlfn.XMATCH(E103,$AT$56:$BJ$56)))),"")</f>
        <v/>
      </c>
      <c r="AC103" s="208" t="str">
        <f t="shared" si="35"/>
        <v/>
      </c>
      <c r="AD103" s="397" t="str">
        <f t="shared" si="36"/>
        <v/>
      </c>
      <c r="AE103" s="610" t="str">
        <f t="shared" si="37"/>
        <v/>
      </c>
      <c r="AF103" s="610" t="str">
        <f t="shared" si="38"/>
        <v/>
      </c>
      <c r="AG103" s="610" t="str">
        <f t="shared" si="39"/>
        <v/>
      </c>
      <c r="AH103" s="608" t="str">
        <f t="shared" si="40"/>
        <v/>
      </c>
      <c r="AI103" s="610" t="str">
        <f t="shared" si="41"/>
        <v/>
      </c>
      <c r="AM103" s="76" t="s">
        <v>227</v>
      </c>
      <c r="AN103" s="69">
        <v>1</v>
      </c>
      <c r="AO103" s="300" t="s">
        <v>198</v>
      </c>
      <c r="AR103" s="671" t="s">
        <v>241</v>
      </c>
      <c r="AS103" s="292" t="s">
        <v>234</v>
      </c>
      <c r="AT103" s="292" t="s">
        <v>174</v>
      </c>
    </row>
    <row r="104" spans="2:48" x14ac:dyDescent="0.25">
      <c r="B104" s="209">
        <v>71</v>
      </c>
      <c r="C104" s="480"/>
      <c r="D104" s="480"/>
      <c r="E104" s="481"/>
      <c r="F104" s="480"/>
      <c r="G104" s="480"/>
      <c r="H104" s="607" t="str">
        <f t="shared" si="26"/>
        <v/>
      </c>
      <c r="I104" s="607" t="str">
        <f t="shared" si="27"/>
        <v/>
      </c>
      <c r="J104" s="607" t="str">
        <f t="shared" si="28"/>
        <v/>
      </c>
      <c r="K104" s="208" t="str">
        <f t="shared" si="29"/>
        <v/>
      </c>
      <c r="L104" s="208" t="str">
        <f t="shared" si="30"/>
        <v/>
      </c>
      <c r="M104" s="208" t="str">
        <f t="shared" si="42"/>
        <v/>
      </c>
      <c r="N104" s="608" t="str">
        <f>IF($D$3="", "", IFERROR(VLOOKUP(L104,'PIPE INCENTIVE'!$B$4:$E$19,2,FALSE),""))</f>
        <v/>
      </c>
      <c r="O104" s="608" t="str">
        <f t="shared" si="43"/>
        <v/>
      </c>
      <c r="P104" s="208" t="str">
        <f t="shared" si="44"/>
        <v/>
      </c>
      <c r="Q104" s="208" t="str">
        <f t="shared" si="31"/>
        <v/>
      </c>
      <c r="R104" s="609" t="str">
        <f t="shared" si="32"/>
        <v/>
      </c>
      <c r="S104" s="609" t="str">
        <f t="shared" si="33"/>
        <v/>
      </c>
      <c r="T104" s="609" t="str">
        <f t="shared" si="34"/>
        <v/>
      </c>
      <c r="U104" s="609" t="str" cm="1">
        <f t="array" ref="U104">IFERROR(IF($D$3="","",_xlfn.LET(_xlpm.Mixed,AND(COUNTIF($G$34:$G$533,"Heating_Hot_Water")&gt;0,(COUNTIF($G$34:$G$533,"Steam_Low_Pressure") + COUNTIF($G$34:$G$533,"Steam_Medium_Pressure") + COUNTIF($G$34:$G$533,"Steam_High_Pressure"))&gt;0),_xlpm.fluid, G104,_xlpm.fuel, K104,_xlpm.load,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4" s="609" t="str">
        <f t="shared" si="45"/>
        <v/>
      </c>
      <c r="W104" s="482"/>
      <c r="X104" s="397" t="str" cm="1">
        <f t="array" ref="X104">IFERROR(IF($D$3="","", _xlfn.XLOOKUP(1,($AR$36:$AR$53=F104)*($AS$36:$AS$53=G104), INDEX($AT$36:$BJ$53,,_xlfn.XMATCH(E104,$AT$35:$BJ$35)))),"")</f>
        <v/>
      </c>
      <c r="Y104" s="480"/>
      <c r="Z104" s="482"/>
      <c r="AA104" s="607" t="str" cm="1">
        <f t="array" ref="AA104">IFERROR(IF($D$3="", "", _xlfn.LET(_xlpm.dia, E104, _xlpm.thk, Z104, _xlpm.temp, I104,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4" s="397" t="str" cm="1">
        <f t="array" ref="AB104">IFERROR(IF($D$3="", "", _xlfn.XLOOKUP(1,($AR$57:$AR$76=Y104)*($AS$57:$AS$76=Z104), INDEX($AT$57:$BJ$76,,_xlfn.XMATCH(E104,$AT$56:$BJ$56)))),"")</f>
        <v/>
      </c>
      <c r="AC104" s="208" t="str">
        <f t="shared" si="35"/>
        <v/>
      </c>
      <c r="AD104" s="397" t="str">
        <f t="shared" si="36"/>
        <v/>
      </c>
      <c r="AE104" s="610" t="str">
        <f t="shared" si="37"/>
        <v/>
      </c>
      <c r="AF104" s="610" t="str">
        <f t="shared" si="38"/>
        <v/>
      </c>
      <c r="AG104" s="610" t="str">
        <f t="shared" si="39"/>
        <v/>
      </c>
      <c r="AH104" s="608" t="str">
        <f t="shared" si="40"/>
        <v/>
      </c>
      <c r="AI104" s="610" t="str">
        <f t="shared" si="41"/>
        <v/>
      </c>
      <c r="AM104" s="76" t="s">
        <v>228</v>
      </c>
      <c r="AN104" s="76">
        <v>0.52</v>
      </c>
      <c r="AO104" s="300" t="s">
        <v>198</v>
      </c>
      <c r="AR104" s="300" t="s">
        <v>229</v>
      </c>
      <c r="AS104" s="677">
        <v>6.3940000000000001</v>
      </c>
      <c r="AT104" s="75" t="s">
        <v>242</v>
      </c>
    </row>
    <row r="105" spans="2:48" x14ac:dyDescent="0.25">
      <c r="B105" s="209">
        <v>72</v>
      </c>
      <c r="C105" s="480"/>
      <c r="D105" s="480"/>
      <c r="E105" s="481"/>
      <c r="F105" s="480"/>
      <c r="G105" s="480"/>
      <c r="H105" s="607" t="str">
        <f t="shared" si="26"/>
        <v/>
      </c>
      <c r="I105" s="607" t="str">
        <f t="shared" si="27"/>
        <v/>
      </c>
      <c r="J105" s="607" t="str">
        <f t="shared" si="28"/>
        <v/>
      </c>
      <c r="K105" s="208" t="str">
        <f t="shared" si="29"/>
        <v/>
      </c>
      <c r="L105" s="208" t="str">
        <f t="shared" si="30"/>
        <v/>
      </c>
      <c r="M105" s="208" t="str">
        <f t="shared" si="42"/>
        <v/>
      </c>
      <c r="N105" s="608" t="str">
        <f>IF($D$3="", "", IFERROR(VLOOKUP(L105,'PIPE INCENTIVE'!$B$4:$E$19,2,FALSE),""))</f>
        <v/>
      </c>
      <c r="O105" s="608" t="str">
        <f t="shared" si="43"/>
        <v/>
      </c>
      <c r="P105" s="208" t="str">
        <f t="shared" si="44"/>
        <v/>
      </c>
      <c r="Q105" s="208" t="str">
        <f t="shared" si="31"/>
        <v/>
      </c>
      <c r="R105" s="609" t="str">
        <f t="shared" si="32"/>
        <v/>
      </c>
      <c r="S105" s="609" t="str">
        <f t="shared" si="33"/>
        <v/>
      </c>
      <c r="T105" s="609" t="str">
        <f t="shared" si="34"/>
        <v/>
      </c>
      <c r="U105" s="609" t="str" cm="1">
        <f t="array" ref="U105">IFERROR(IF($D$3="","",_xlfn.LET(_xlpm.Mixed,AND(COUNTIF($G$34:$G$533,"Heating_Hot_Water")&gt;0,(COUNTIF($G$34:$G$533,"Steam_Low_Pressure") + COUNTIF($G$34:$G$533,"Steam_Medium_Pressure") + COUNTIF($G$34:$G$533,"Steam_High_Pressure"))&gt;0),_xlpm.fluid, G105,_xlpm.fuel, K105,_xlpm.load,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5" s="609" t="str">
        <f t="shared" si="45"/>
        <v/>
      </c>
      <c r="W105" s="482"/>
      <c r="X105" s="397" t="str" cm="1">
        <f t="array" ref="X105">IFERROR(IF($D$3="","", _xlfn.XLOOKUP(1,($AR$36:$AR$53=F105)*($AS$36:$AS$53=G105), INDEX($AT$36:$BJ$53,,_xlfn.XMATCH(E105,$AT$35:$BJ$35)))),"")</f>
        <v/>
      </c>
      <c r="Y105" s="480"/>
      <c r="Z105" s="482"/>
      <c r="AA105" s="607" t="str" cm="1">
        <f t="array" ref="AA105">IFERROR(IF($D$3="", "", _xlfn.LET(_xlpm.dia, E105, _xlpm.thk, Z105, _xlpm.temp, I105,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5" s="397" t="str" cm="1">
        <f t="array" ref="AB105">IFERROR(IF($D$3="", "", _xlfn.XLOOKUP(1,($AR$57:$AR$76=Y105)*($AS$57:$AS$76=Z105), INDEX($AT$57:$BJ$76,,_xlfn.XMATCH(E105,$AT$56:$BJ$56)))),"")</f>
        <v/>
      </c>
      <c r="AC105" s="208" t="str">
        <f t="shared" si="35"/>
        <v/>
      </c>
      <c r="AD105" s="397" t="str">
        <f t="shared" si="36"/>
        <v/>
      </c>
      <c r="AE105" s="610" t="str">
        <f t="shared" si="37"/>
        <v/>
      </c>
      <c r="AF105" s="610" t="str">
        <f t="shared" si="38"/>
        <v/>
      </c>
      <c r="AG105" s="610" t="str">
        <f t="shared" si="39"/>
        <v/>
      </c>
      <c r="AH105" s="608" t="str">
        <f t="shared" si="40"/>
        <v/>
      </c>
      <c r="AI105" s="610" t="str">
        <f t="shared" si="41"/>
        <v/>
      </c>
      <c r="AM105" s="76" t="s">
        <v>229</v>
      </c>
      <c r="AN105" s="69">
        <v>0</v>
      </c>
      <c r="AO105" s="300" t="s">
        <v>200</v>
      </c>
      <c r="AR105" s="300" t="s">
        <v>235</v>
      </c>
      <c r="AS105" s="677">
        <v>6.3940000000000001</v>
      </c>
      <c r="AT105" s="75" t="s">
        <v>242</v>
      </c>
    </row>
    <row r="106" spans="2:48" x14ac:dyDescent="0.25">
      <c r="B106" s="209">
        <v>73</v>
      </c>
      <c r="C106" s="480"/>
      <c r="D106" s="480"/>
      <c r="E106" s="481"/>
      <c r="F106" s="480"/>
      <c r="G106" s="480"/>
      <c r="H106" s="607" t="str">
        <f t="shared" si="26"/>
        <v/>
      </c>
      <c r="I106" s="607" t="str">
        <f t="shared" si="27"/>
        <v/>
      </c>
      <c r="J106" s="607" t="str">
        <f t="shared" si="28"/>
        <v/>
      </c>
      <c r="K106" s="208" t="str">
        <f t="shared" si="29"/>
        <v/>
      </c>
      <c r="L106" s="208" t="str">
        <f t="shared" si="30"/>
        <v/>
      </c>
      <c r="M106" s="208" t="str">
        <f t="shared" si="42"/>
        <v/>
      </c>
      <c r="N106" s="608" t="str">
        <f>IF($D$3="", "", IFERROR(VLOOKUP(L106,'PIPE INCENTIVE'!$B$4:$E$19,2,FALSE),""))</f>
        <v/>
      </c>
      <c r="O106" s="608" t="str">
        <f t="shared" si="43"/>
        <v/>
      </c>
      <c r="P106" s="208" t="str">
        <f t="shared" si="44"/>
        <v/>
      </c>
      <c r="Q106" s="208" t="str">
        <f t="shared" si="31"/>
        <v/>
      </c>
      <c r="R106" s="609" t="str">
        <f t="shared" si="32"/>
        <v/>
      </c>
      <c r="S106" s="609" t="str">
        <f t="shared" si="33"/>
        <v/>
      </c>
      <c r="T106" s="609" t="str">
        <f t="shared" si="34"/>
        <v/>
      </c>
      <c r="U106" s="609" t="str" cm="1">
        <f t="array" ref="U106">IFERROR(IF($D$3="","",_xlfn.LET(_xlpm.Mixed,AND(COUNTIF($G$34:$G$533,"Heating_Hot_Water")&gt;0,(COUNTIF($G$34:$G$533,"Steam_Low_Pressure") + COUNTIF($G$34:$G$533,"Steam_Medium_Pressure") + COUNTIF($G$34:$G$533,"Steam_High_Pressure"))&gt;0),_xlpm.fluid, G106,_xlpm.fuel, K106,_xlpm.load,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6" s="609" t="str">
        <f t="shared" si="45"/>
        <v/>
      </c>
      <c r="W106" s="482"/>
      <c r="X106" s="397" t="str" cm="1">
        <f t="array" ref="X106">IFERROR(IF($D$3="","", _xlfn.XLOOKUP(1,($AR$36:$AR$53=F106)*($AS$36:$AS$53=G106), INDEX($AT$36:$BJ$53,,_xlfn.XMATCH(E106,$AT$35:$BJ$35)))),"")</f>
        <v/>
      </c>
      <c r="Y106" s="480"/>
      <c r="Z106" s="482"/>
      <c r="AA106" s="607" t="str" cm="1">
        <f t="array" ref="AA106">IFERROR(IF($D$3="", "", _xlfn.LET(_xlpm.dia, E106, _xlpm.thk, Z106, _xlpm.temp, I106,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6" s="397" t="str" cm="1">
        <f t="array" ref="AB106">IFERROR(IF($D$3="", "", _xlfn.XLOOKUP(1,($AR$57:$AR$76=Y106)*($AS$57:$AS$76=Z106), INDEX($AT$57:$BJ$76,,_xlfn.XMATCH(E106,$AT$56:$BJ$56)))),"")</f>
        <v/>
      </c>
      <c r="AC106" s="208" t="str">
        <f t="shared" si="35"/>
        <v/>
      </c>
      <c r="AD106" s="397" t="str">
        <f t="shared" si="36"/>
        <v/>
      </c>
      <c r="AE106" s="610" t="str">
        <f t="shared" si="37"/>
        <v/>
      </c>
      <c r="AF106" s="610" t="str">
        <f t="shared" si="38"/>
        <v/>
      </c>
      <c r="AG106" s="610" t="str">
        <f t="shared" si="39"/>
        <v/>
      </c>
      <c r="AH106" s="608" t="str">
        <f t="shared" si="40"/>
        <v/>
      </c>
      <c r="AI106" s="610" t="str">
        <f t="shared" si="41"/>
        <v/>
      </c>
      <c r="AM106" s="76" t="s">
        <v>231</v>
      </c>
      <c r="AN106" s="69">
        <v>1</v>
      </c>
      <c r="AO106" s="300" t="s">
        <v>200</v>
      </c>
      <c r="AR106" s="300" t="s">
        <v>231</v>
      </c>
      <c r="AS106" s="677">
        <v>1</v>
      </c>
      <c r="AT106" s="75" t="s">
        <v>243</v>
      </c>
    </row>
    <row r="107" spans="2:48" x14ac:dyDescent="0.25">
      <c r="B107" s="209">
        <v>74</v>
      </c>
      <c r="C107" s="480"/>
      <c r="D107" s="480"/>
      <c r="E107" s="481"/>
      <c r="F107" s="480"/>
      <c r="G107" s="480"/>
      <c r="H107" s="607" t="str">
        <f t="shared" si="26"/>
        <v/>
      </c>
      <c r="I107" s="607" t="str">
        <f t="shared" si="27"/>
        <v/>
      </c>
      <c r="J107" s="607" t="str">
        <f t="shared" si="28"/>
        <v/>
      </c>
      <c r="K107" s="208" t="str">
        <f t="shared" si="29"/>
        <v/>
      </c>
      <c r="L107" s="208" t="str">
        <f t="shared" si="30"/>
        <v/>
      </c>
      <c r="M107" s="208" t="str">
        <f t="shared" si="42"/>
        <v/>
      </c>
      <c r="N107" s="608" t="str">
        <f>IF($D$3="", "", IFERROR(VLOOKUP(L107,'PIPE INCENTIVE'!$B$4:$E$19,2,FALSE),""))</f>
        <v/>
      </c>
      <c r="O107" s="608" t="str">
        <f t="shared" si="43"/>
        <v/>
      </c>
      <c r="P107" s="208" t="str">
        <f t="shared" si="44"/>
        <v/>
      </c>
      <c r="Q107" s="208" t="str">
        <f t="shared" si="31"/>
        <v/>
      </c>
      <c r="R107" s="609" t="str">
        <f t="shared" si="32"/>
        <v/>
      </c>
      <c r="S107" s="609" t="str">
        <f t="shared" si="33"/>
        <v/>
      </c>
      <c r="T107" s="609" t="str">
        <f t="shared" si="34"/>
        <v/>
      </c>
      <c r="U107" s="609" t="str" cm="1">
        <f t="array" ref="U107">IFERROR(IF($D$3="","",_xlfn.LET(_xlpm.Mixed,AND(COUNTIF($G$34:$G$533,"Heating_Hot_Water")&gt;0,(COUNTIF($G$34:$G$533,"Steam_Low_Pressure") + COUNTIF($G$34:$G$533,"Steam_Medium_Pressure") + COUNTIF($G$34:$G$533,"Steam_High_Pressure"))&gt;0),_xlpm.fluid, G107,_xlpm.fuel, K107,_xlpm.load,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7" s="609" t="str">
        <f t="shared" si="45"/>
        <v/>
      </c>
      <c r="W107" s="482"/>
      <c r="X107" s="397" t="str" cm="1">
        <f t="array" ref="X107">IFERROR(IF($D$3="","", _xlfn.XLOOKUP(1,($AR$36:$AR$53=F107)*($AS$36:$AS$53=G107), INDEX($AT$36:$BJ$53,,_xlfn.XMATCH(E107,$AT$35:$BJ$35)))),"")</f>
        <v/>
      </c>
      <c r="Y107" s="480"/>
      <c r="Z107" s="482"/>
      <c r="AA107" s="607" t="str" cm="1">
        <f t="array" ref="AA107">IFERROR(IF($D$3="", "", _xlfn.LET(_xlpm.dia, E107, _xlpm.thk, Z107, _xlpm.temp, I107,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7" s="397" t="str" cm="1">
        <f t="array" ref="AB107">IFERROR(IF($D$3="", "", _xlfn.XLOOKUP(1,($AR$57:$AR$76=Y107)*($AS$57:$AS$76=Z107), INDEX($AT$57:$BJ$76,,_xlfn.XMATCH(E107,$AT$56:$BJ$56)))),"")</f>
        <v/>
      </c>
      <c r="AC107" s="208" t="str">
        <f t="shared" si="35"/>
        <v/>
      </c>
      <c r="AD107" s="397" t="str">
        <f t="shared" si="36"/>
        <v/>
      </c>
      <c r="AE107" s="610" t="str">
        <f t="shared" si="37"/>
        <v/>
      </c>
      <c r="AF107" s="610" t="str">
        <f t="shared" si="38"/>
        <v/>
      </c>
      <c r="AG107" s="610" t="str">
        <f t="shared" si="39"/>
        <v/>
      </c>
      <c r="AH107" s="608" t="str">
        <f t="shared" si="40"/>
        <v/>
      </c>
      <c r="AI107" s="610" t="str">
        <f t="shared" si="41"/>
        <v/>
      </c>
      <c r="AM107" s="76" t="s">
        <v>235</v>
      </c>
      <c r="AN107" s="69">
        <v>0</v>
      </c>
      <c r="AO107" s="300" t="s">
        <v>200</v>
      </c>
      <c r="AR107" s="300" t="s">
        <v>236</v>
      </c>
      <c r="AS107" s="677">
        <v>1</v>
      </c>
      <c r="AT107" s="75" t="s">
        <v>243</v>
      </c>
    </row>
    <row r="108" spans="2:48" x14ac:dyDescent="0.25">
      <c r="B108" s="209">
        <v>75</v>
      </c>
      <c r="C108" s="480"/>
      <c r="D108" s="480"/>
      <c r="E108" s="481"/>
      <c r="F108" s="480"/>
      <c r="G108" s="480"/>
      <c r="H108" s="607" t="str">
        <f t="shared" si="26"/>
        <v/>
      </c>
      <c r="I108" s="607" t="str">
        <f t="shared" si="27"/>
        <v/>
      </c>
      <c r="J108" s="607" t="str">
        <f t="shared" si="28"/>
        <v/>
      </c>
      <c r="K108" s="208" t="str">
        <f t="shared" si="29"/>
        <v/>
      </c>
      <c r="L108" s="208" t="str">
        <f t="shared" si="30"/>
        <v/>
      </c>
      <c r="M108" s="208" t="str">
        <f t="shared" si="42"/>
        <v/>
      </c>
      <c r="N108" s="608" t="str">
        <f>IF($D$3="", "", IFERROR(VLOOKUP(L108,'PIPE INCENTIVE'!$B$4:$E$19,2,FALSE),""))</f>
        <v/>
      </c>
      <c r="O108" s="608" t="str">
        <f t="shared" si="43"/>
        <v/>
      </c>
      <c r="P108" s="208" t="str">
        <f t="shared" si="44"/>
        <v/>
      </c>
      <c r="Q108" s="208" t="str">
        <f t="shared" si="31"/>
        <v/>
      </c>
      <c r="R108" s="609" t="str">
        <f t="shared" si="32"/>
        <v/>
      </c>
      <c r="S108" s="609" t="str">
        <f t="shared" si="33"/>
        <v/>
      </c>
      <c r="T108" s="609" t="str">
        <f t="shared" si="34"/>
        <v/>
      </c>
      <c r="U108" s="609" t="str" cm="1">
        <f t="array" ref="U108">IFERROR(IF($D$3="","",_xlfn.LET(_xlpm.Mixed,AND(COUNTIF($G$34:$G$533,"Heating_Hot_Water")&gt;0,(COUNTIF($G$34:$G$533,"Steam_Low_Pressure") + COUNTIF($G$34:$G$533,"Steam_Medium_Pressure") + COUNTIF($G$34:$G$533,"Steam_High_Pressure"))&gt;0),_xlpm.fluid, G108,_xlpm.fuel, K108,_xlpm.load,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8" s="609" t="str">
        <f t="shared" si="45"/>
        <v/>
      </c>
      <c r="W108" s="482"/>
      <c r="X108" s="397" t="str" cm="1">
        <f t="array" ref="X108">IFERROR(IF($D$3="","", _xlfn.XLOOKUP(1,($AR$36:$AR$53=F108)*($AS$36:$AS$53=G108), INDEX($AT$36:$BJ$53,,_xlfn.XMATCH(E108,$AT$35:$BJ$35)))),"")</f>
        <v/>
      </c>
      <c r="Y108" s="480"/>
      <c r="Z108" s="482"/>
      <c r="AA108" s="607" t="str" cm="1">
        <f t="array" ref="AA108">IFERROR(IF($D$3="", "", _xlfn.LET(_xlpm.dia, E108, _xlpm.thk, Z108, _xlpm.temp, I108,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8" s="397" t="str" cm="1">
        <f t="array" ref="AB108">IFERROR(IF($D$3="", "", _xlfn.XLOOKUP(1,($AR$57:$AR$76=Y108)*($AS$57:$AS$76=Z108), INDEX($AT$57:$BJ$76,,_xlfn.XMATCH(E108,$AT$56:$BJ$56)))),"")</f>
        <v/>
      </c>
      <c r="AC108" s="208" t="str">
        <f t="shared" si="35"/>
        <v/>
      </c>
      <c r="AD108" s="397" t="str">
        <f t="shared" si="36"/>
        <v/>
      </c>
      <c r="AE108" s="610" t="str">
        <f t="shared" si="37"/>
        <v/>
      </c>
      <c r="AF108" s="610" t="str">
        <f t="shared" si="38"/>
        <v/>
      </c>
      <c r="AG108" s="610" t="str">
        <f t="shared" si="39"/>
        <v/>
      </c>
      <c r="AH108" s="608" t="str">
        <f t="shared" si="40"/>
        <v/>
      </c>
      <c r="AI108" s="610" t="str">
        <f t="shared" si="41"/>
        <v/>
      </c>
      <c r="AM108" s="76" t="s">
        <v>236</v>
      </c>
      <c r="AN108" s="69">
        <v>1</v>
      </c>
      <c r="AO108" s="300" t="s">
        <v>200</v>
      </c>
    </row>
    <row r="109" spans="2:48" x14ac:dyDescent="0.25">
      <c r="B109" s="209">
        <v>76</v>
      </c>
      <c r="C109" s="480"/>
      <c r="D109" s="480"/>
      <c r="E109" s="481"/>
      <c r="F109" s="480"/>
      <c r="G109" s="480"/>
      <c r="H109" s="607" t="str">
        <f t="shared" si="26"/>
        <v/>
      </c>
      <c r="I109" s="607" t="str">
        <f t="shared" si="27"/>
        <v/>
      </c>
      <c r="J109" s="607" t="str">
        <f t="shared" si="28"/>
        <v/>
      </c>
      <c r="K109" s="208" t="str">
        <f t="shared" si="29"/>
        <v/>
      </c>
      <c r="L109" s="208" t="str">
        <f t="shared" si="30"/>
        <v/>
      </c>
      <c r="M109" s="208" t="str">
        <f t="shared" si="42"/>
        <v/>
      </c>
      <c r="N109" s="608" t="str">
        <f>IF($D$3="", "", IFERROR(VLOOKUP(L109,'PIPE INCENTIVE'!$B$4:$E$19,2,FALSE),""))</f>
        <v/>
      </c>
      <c r="O109" s="608" t="str">
        <f t="shared" si="43"/>
        <v/>
      </c>
      <c r="P109" s="208" t="str">
        <f t="shared" si="44"/>
        <v/>
      </c>
      <c r="Q109" s="208" t="str">
        <f t="shared" si="31"/>
        <v/>
      </c>
      <c r="R109" s="609" t="str">
        <f t="shared" si="32"/>
        <v/>
      </c>
      <c r="S109" s="609" t="str">
        <f t="shared" si="33"/>
        <v/>
      </c>
      <c r="T109" s="609" t="str">
        <f t="shared" si="34"/>
        <v/>
      </c>
      <c r="U109" s="609" t="str" cm="1">
        <f t="array" ref="U109">IFERROR(IF($D$3="","",_xlfn.LET(_xlpm.Mixed,AND(COUNTIF($G$34:$G$533,"Heating_Hot_Water")&gt;0,(COUNTIF($G$34:$G$533,"Steam_Low_Pressure") + COUNTIF($G$34:$G$533,"Steam_Medium_Pressure") + COUNTIF($G$34:$G$533,"Steam_High_Pressure"))&gt;0),_xlpm.fluid, G109,_xlpm.fuel, K109,_xlpm.load,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09" s="609" t="str">
        <f t="shared" si="45"/>
        <v/>
      </c>
      <c r="W109" s="482"/>
      <c r="X109" s="397" t="str" cm="1">
        <f t="array" ref="X109">IFERROR(IF($D$3="","", _xlfn.XLOOKUP(1,($AR$36:$AR$53=F109)*($AS$36:$AS$53=G109), INDEX($AT$36:$BJ$53,,_xlfn.XMATCH(E109,$AT$35:$BJ$35)))),"")</f>
        <v/>
      </c>
      <c r="Y109" s="480"/>
      <c r="Z109" s="482"/>
      <c r="AA109" s="607" t="str" cm="1">
        <f t="array" ref="AA109">IFERROR(IF($D$3="", "", _xlfn.LET(_xlpm.dia, E109, _xlpm.thk, Z109, _xlpm.temp, I109,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09" s="397" t="str" cm="1">
        <f t="array" ref="AB109">IFERROR(IF($D$3="", "", _xlfn.XLOOKUP(1,($AR$57:$AR$76=Y109)*($AS$57:$AS$76=Z109), INDEX($AT$57:$BJ$76,,_xlfn.XMATCH(E109,$AT$56:$BJ$56)))),"")</f>
        <v/>
      </c>
      <c r="AC109" s="208" t="str">
        <f t="shared" si="35"/>
        <v/>
      </c>
      <c r="AD109" s="397" t="str">
        <f t="shared" si="36"/>
        <v/>
      </c>
      <c r="AE109" s="610" t="str">
        <f t="shared" si="37"/>
        <v/>
      </c>
      <c r="AF109" s="610" t="str">
        <f t="shared" si="38"/>
        <v/>
      </c>
      <c r="AG109" s="610" t="str">
        <f t="shared" si="39"/>
        <v/>
      </c>
      <c r="AH109" s="608" t="str">
        <f t="shared" si="40"/>
        <v/>
      </c>
      <c r="AI109" s="610" t="str">
        <f t="shared" si="41"/>
        <v/>
      </c>
      <c r="AM109" s="76" t="s">
        <v>237</v>
      </c>
      <c r="AN109" s="69">
        <v>0</v>
      </c>
      <c r="AO109" s="300" t="s">
        <v>200</v>
      </c>
      <c r="AS109" s="668" t="s">
        <v>244</v>
      </c>
      <c r="AT109" s="383" t="s">
        <v>245</v>
      </c>
    </row>
    <row r="110" spans="2:48" x14ac:dyDescent="0.25">
      <c r="B110" s="209">
        <v>77</v>
      </c>
      <c r="C110" s="480"/>
      <c r="D110" s="480"/>
      <c r="E110" s="481"/>
      <c r="F110" s="480"/>
      <c r="G110" s="480"/>
      <c r="H110" s="607" t="str">
        <f t="shared" si="26"/>
        <v/>
      </c>
      <c r="I110" s="607" t="str">
        <f t="shared" si="27"/>
        <v/>
      </c>
      <c r="J110" s="607" t="str">
        <f t="shared" si="28"/>
        <v/>
      </c>
      <c r="K110" s="208" t="str">
        <f t="shared" si="29"/>
        <v/>
      </c>
      <c r="L110" s="208" t="str">
        <f t="shared" si="30"/>
        <v/>
      </c>
      <c r="M110" s="208" t="str">
        <f t="shared" si="42"/>
        <v/>
      </c>
      <c r="N110" s="608" t="str">
        <f>IF($D$3="", "", IFERROR(VLOOKUP(L110,'PIPE INCENTIVE'!$B$4:$E$19,2,FALSE),""))</f>
        <v/>
      </c>
      <c r="O110" s="608" t="str">
        <f t="shared" si="43"/>
        <v/>
      </c>
      <c r="P110" s="208" t="str">
        <f t="shared" si="44"/>
        <v/>
      </c>
      <c r="Q110" s="208" t="str">
        <f t="shared" si="31"/>
        <v/>
      </c>
      <c r="R110" s="609" t="str">
        <f t="shared" si="32"/>
        <v/>
      </c>
      <c r="S110" s="609" t="str">
        <f t="shared" si="33"/>
        <v/>
      </c>
      <c r="T110" s="609" t="str">
        <f t="shared" si="34"/>
        <v/>
      </c>
      <c r="U110" s="609" t="str" cm="1">
        <f t="array" ref="U110">IFERROR(IF($D$3="","",_xlfn.LET(_xlpm.Mixed,AND(COUNTIF($G$34:$G$533,"Heating_Hot_Water")&gt;0,(COUNTIF($G$34:$G$533,"Steam_Low_Pressure") + COUNTIF($G$34:$G$533,"Steam_Medium_Pressure") + COUNTIF($G$34:$G$533,"Steam_High_Pressure"))&gt;0),_xlpm.fluid, G110,_xlpm.fuel, K110,_xlpm.load,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0" s="609" t="str">
        <f t="shared" si="45"/>
        <v/>
      </c>
      <c r="W110" s="482"/>
      <c r="X110" s="397" t="str" cm="1">
        <f t="array" ref="X110">IFERROR(IF($D$3="","", _xlfn.XLOOKUP(1,($AR$36:$AR$53=F110)*($AS$36:$AS$53=G110), INDEX($AT$36:$BJ$53,,_xlfn.XMATCH(E110,$AT$35:$BJ$35)))),"")</f>
        <v/>
      </c>
      <c r="Y110" s="480"/>
      <c r="Z110" s="482"/>
      <c r="AA110" s="607" t="str" cm="1">
        <f t="array" ref="AA110">IFERROR(IF($D$3="", "", _xlfn.LET(_xlpm.dia, E110, _xlpm.thk, Z110, _xlpm.temp, I110,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0" s="397" t="str" cm="1">
        <f t="array" ref="AB110">IFERROR(IF($D$3="", "", _xlfn.XLOOKUP(1,($AR$57:$AR$76=Y110)*($AS$57:$AS$76=Z110), INDEX($AT$57:$BJ$76,,_xlfn.XMATCH(E110,$AT$56:$BJ$56)))),"")</f>
        <v/>
      </c>
      <c r="AC110" s="208" t="str">
        <f t="shared" si="35"/>
        <v/>
      </c>
      <c r="AD110" s="397" t="str">
        <f t="shared" si="36"/>
        <v/>
      </c>
      <c r="AE110" s="610" t="str">
        <f t="shared" si="37"/>
        <v/>
      </c>
      <c r="AF110" s="610" t="str">
        <f t="shared" si="38"/>
        <v/>
      </c>
      <c r="AG110" s="610" t="str">
        <f t="shared" si="39"/>
        <v/>
      </c>
      <c r="AH110" s="608" t="str">
        <f t="shared" si="40"/>
        <v/>
      </c>
      <c r="AI110" s="610" t="str">
        <f t="shared" si="41"/>
        <v/>
      </c>
      <c r="AM110" s="76" t="s">
        <v>238</v>
      </c>
      <c r="AN110" s="69">
        <v>1</v>
      </c>
      <c r="AO110" s="300" t="s">
        <v>200</v>
      </c>
      <c r="AS110" s="116" t="s">
        <v>246</v>
      </c>
      <c r="AT110" s="678" t="s">
        <v>194</v>
      </c>
    </row>
    <row r="111" spans="2:48" x14ac:dyDescent="0.25">
      <c r="B111" s="209">
        <v>78</v>
      </c>
      <c r="C111" s="480"/>
      <c r="D111" s="480"/>
      <c r="E111" s="481"/>
      <c r="F111" s="480"/>
      <c r="G111" s="480"/>
      <c r="H111" s="607" t="str">
        <f t="shared" si="26"/>
        <v/>
      </c>
      <c r="I111" s="607" t="str">
        <f t="shared" si="27"/>
        <v/>
      </c>
      <c r="J111" s="607" t="str">
        <f t="shared" si="28"/>
        <v/>
      </c>
      <c r="K111" s="208" t="str">
        <f t="shared" si="29"/>
        <v/>
      </c>
      <c r="L111" s="208" t="str">
        <f t="shared" si="30"/>
        <v/>
      </c>
      <c r="M111" s="208" t="str">
        <f t="shared" si="42"/>
        <v/>
      </c>
      <c r="N111" s="608" t="str">
        <f>IF($D$3="", "", IFERROR(VLOOKUP(L111,'PIPE INCENTIVE'!$B$4:$E$19,2,FALSE),""))</f>
        <v/>
      </c>
      <c r="O111" s="608" t="str">
        <f t="shared" si="43"/>
        <v/>
      </c>
      <c r="P111" s="208" t="str">
        <f t="shared" si="44"/>
        <v/>
      </c>
      <c r="Q111" s="208" t="str">
        <f t="shared" si="31"/>
        <v/>
      </c>
      <c r="R111" s="609" t="str">
        <f t="shared" si="32"/>
        <v/>
      </c>
      <c r="S111" s="609" t="str">
        <f t="shared" si="33"/>
        <v/>
      </c>
      <c r="T111" s="609" t="str">
        <f t="shared" si="34"/>
        <v/>
      </c>
      <c r="U111" s="609" t="str" cm="1">
        <f t="array" ref="U111">IFERROR(IF($D$3="","",_xlfn.LET(_xlpm.Mixed,AND(COUNTIF($G$34:$G$533,"Heating_Hot_Water")&gt;0,(COUNTIF($G$34:$G$533,"Steam_Low_Pressure") + COUNTIF($G$34:$G$533,"Steam_Medium_Pressure") + COUNTIF($G$34:$G$533,"Steam_High_Pressure"))&gt;0),_xlpm.fluid, G111,_xlpm.fuel, K111,_xlpm.load,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1" s="609" t="str">
        <f t="shared" si="45"/>
        <v/>
      </c>
      <c r="W111" s="482"/>
      <c r="X111" s="397" t="str" cm="1">
        <f t="array" ref="X111">IFERROR(IF($D$3="","", _xlfn.XLOOKUP(1,($AR$36:$AR$53=F111)*($AS$36:$AS$53=G111), INDEX($AT$36:$BJ$53,,_xlfn.XMATCH(E111,$AT$35:$BJ$35)))),"")</f>
        <v/>
      </c>
      <c r="Y111" s="480"/>
      <c r="Z111" s="482"/>
      <c r="AA111" s="607" t="str" cm="1">
        <f t="array" ref="AA111">IFERROR(IF($D$3="", "", _xlfn.LET(_xlpm.dia, E111, _xlpm.thk, Z111, _xlpm.temp, I111,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1" s="397" t="str" cm="1">
        <f t="array" ref="AB111">IFERROR(IF($D$3="", "", _xlfn.XLOOKUP(1,($AR$57:$AR$76=Y111)*($AS$57:$AS$76=Z111), INDEX($AT$57:$BJ$76,,_xlfn.XMATCH(E111,$AT$56:$BJ$56)))),"")</f>
        <v/>
      </c>
      <c r="AC111" s="208" t="str">
        <f t="shared" si="35"/>
        <v/>
      </c>
      <c r="AD111" s="397" t="str">
        <f t="shared" si="36"/>
        <v/>
      </c>
      <c r="AE111" s="610" t="str">
        <f t="shared" si="37"/>
        <v/>
      </c>
      <c r="AF111" s="610" t="str">
        <f t="shared" si="38"/>
        <v/>
      </c>
      <c r="AG111" s="610" t="str">
        <f t="shared" si="39"/>
        <v/>
      </c>
      <c r="AH111" s="608" t="str">
        <f t="shared" si="40"/>
        <v/>
      </c>
      <c r="AI111" s="610" t="str">
        <f t="shared" si="41"/>
        <v/>
      </c>
      <c r="AS111" s="116" t="s">
        <v>247</v>
      </c>
      <c r="AT111" s="678" t="s">
        <v>192</v>
      </c>
    </row>
    <row r="112" spans="2:48" ht="15.75" customHeight="1" x14ac:dyDescent="0.25">
      <c r="B112" s="209">
        <v>79</v>
      </c>
      <c r="C112" s="480"/>
      <c r="D112" s="480"/>
      <c r="E112" s="481"/>
      <c r="F112" s="480"/>
      <c r="G112" s="480"/>
      <c r="H112" s="607" t="str">
        <f t="shared" si="26"/>
        <v/>
      </c>
      <c r="I112" s="607" t="str">
        <f t="shared" si="27"/>
        <v/>
      </c>
      <c r="J112" s="607" t="str">
        <f t="shared" si="28"/>
        <v/>
      </c>
      <c r="K112" s="208" t="str">
        <f t="shared" si="29"/>
        <v/>
      </c>
      <c r="L112" s="208" t="str">
        <f t="shared" si="30"/>
        <v/>
      </c>
      <c r="M112" s="208" t="str">
        <f t="shared" si="42"/>
        <v/>
      </c>
      <c r="N112" s="608" t="str">
        <f>IF($D$3="", "", IFERROR(VLOOKUP(L112,'PIPE INCENTIVE'!$B$4:$E$19,2,FALSE),""))</f>
        <v/>
      </c>
      <c r="O112" s="608" t="str">
        <f t="shared" si="43"/>
        <v/>
      </c>
      <c r="P112" s="208" t="str">
        <f t="shared" si="44"/>
        <v/>
      </c>
      <c r="Q112" s="208" t="str">
        <f t="shared" si="31"/>
        <v/>
      </c>
      <c r="R112" s="609" t="str">
        <f t="shared" si="32"/>
        <v/>
      </c>
      <c r="S112" s="609" t="str">
        <f t="shared" si="33"/>
        <v/>
      </c>
      <c r="T112" s="609" t="str">
        <f t="shared" si="34"/>
        <v/>
      </c>
      <c r="U112" s="609" t="str" cm="1">
        <f t="array" ref="U112">IFERROR(IF($D$3="","",_xlfn.LET(_xlpm.Mixed,AND(COUNTIF($G$34:$G$533,"Heating_Hot_Water")&gt;0,(COUNTIF($G$34:$G$533,"Steam_Low_Pressure") + COUNTIF($G$34:$G$533,"Steam_Medium_Pressure") + COUNTIF($G$34:$G$533,"Steam_High_Pressure"))&gt;0),_xlpm.fluid, G112,_xlpm.fuel, K112,_xlpm.load,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2" s="609" t="str">
        <f t="shared" si="45"/>
        <v/>
      </c>
      <c r="W112" s="482"/>
      <c r="X112" s="397" t="str" cm="1">
        <f t="array" ref="X112">IFERROR(IF($D$3="","", _xlfn.XLOOKUP(1,($AR$36:$AR$53=F112)*($AS$36:$AS$53=G112), INDEX($AT$36:$BJ$53,,_xlfn.XMATCH(E112,$AT$35:$BJ$35)))),"")</f>
        <v/>
      </c>
      <c r="Y112" s="480"/>
      <c r="Z112" s="482"/>
      <c r="AA112" s="607" t="str" cm="1">
        <f t="array" ref="AA112">IFERROR(IF($D$3="", "", _xlfn.LET(_xlpm.dia, E112, _xlpm.thk, Z112, _xlpm.temp, I112,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2" s="397" t="str" cm="1">
        <f t="array" ref="AB112">IFERROR(IF($D$3="", "", _xlfn.XLOOKUP(1,($AR$57:$AR$76=Y112)*($AS$57:$AS$76=Z112), INDEX($AT$57:$BJ$76,,_xlfn.XMATCH(E112,$AT$56:$BJ$56)))),"")</f>
        <v/>
      </c>
      <c r="AC112" s="208" t="str">
        <f t="shared" si="35"/>
        <v/>
      </c>
      <c r="AD112" s="397" t="str">
        <f t="shared" si="36"/>
        <v/>
      </c>
      <c r="AE112" s="610" t="str">
        <f t="shared" si="37"/>
        <v/>
      </c>
      <c r="AF112" s="610" t="str">
        <f t="shared" si="38"/>
        <v/>
      </c>
      <c r="AG112" s="610" t="str">
        <f t="shared" si="39"/>
        <v/>
      </c>
      <c r="AH112" s="608" t="str">
        <f t="shared" si="40"/>
        <v/>
      </c>
      <c r="AI112" s="610" t="str">
        <f t="shared" si="41"/>
        <v/>
      </c>
      <c r="AM112" s="640" t="s">
        <v>248</v>
      </c>
      <c r="AN112" s="650"/>
      <c r="AO112" s="650"/>
      <c r="AP112" s="650"/>
      <c r="AQ112" s="383"/>
      <c r="AS112" s="116" t="s">
        <v>249</v>
      </c>
      <c r="AT112" s="678" t="s">
        <v>194</v>
      </c>
    </row>
    <row r="113" spans="2:46" x14ac:dyDescent="0.25">
      <c r="B113" s="209">
        <v>80</v>
      </c>
      <c r="C113" s="480"/>
      <c r="D113" s="480"/>
      <c r="E113" s="481"/>
      <c r="F113" s="480"/>
      <c r="G113" s="480"/>
      <c r="H113" s="607" t="str">
        <f t="shared" si="26"/>
        <v/>
      </c>
      <c r="I113" s="607" t="str">
        <f t="shared" si="27"/>
        <v/>
      </c>
      <c r="J113" s="607" t="str">
        <f t="shared" si="28"/>
        <v/>
      </c>
      <c r="K113" s="208" t="str">
        <f t="shared" si="29"/>
        <v/>
      </c>
      <c r="L113" s="208" t="str">
        <f t="shared" si="30"/>
        <v/>
      </c>
      <c r="M113" s="208" t="str">
        <f t="shared" si="42"/>
        <v/>
      </c>
      <c r="N113" s="608" t="str">
        <f>IF($D$3="", "", IFERROR(VLOOKUP(L113,'PIPE INCENTIVE'!$B$4:$E$19,2,FALSE),""))</f>
        <v/>
      </c>
      <c r="O113" s="608" t="str">
        <f t="shared" si="43"/>
        <v/>
      </c>
      <c r="P113" s="208" t="str">
        <f t="shared" si="44"/>
        <v/>
      </c>
      <c r="Q113" s="208" t="str">
        <f t="shared" si="31"/>
        <v/>
      </c>
      <c r="R113" s="609" t="str">
        <f t="shared" si="32"/>
        <v/>
      </c>
      <c r="S113" s="609" t="str">
        <f t="shared" si="33"/>
        <v/>
      </c>
      <c r="T113" s="609" t="str">
        <f t="shared" si="34"/>
        <v/>
      </c>
      <c r="U113" s="609" t="str" cm="1">
        <f t="array" ref="U113">IFERROR(IF($D$3="","",_xlfn.LET(_xlpm.Mixed,AND(COUNTIF($G$34:$G$533,"Heating_Hot_Water")&gt;0,(COUNTIF($G$34:$G$533,"Steam_Low_Pressure") + COUNTIF($G$34:$G$533,"Steam_Medium_Pressure") + COUNTIF($G$34:$G$533,"Steam_High_Pressure"))&gt;0),_xlpm.fluid, G113,_xlpm.fuel, K113,_xlpm.load,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3" s="609" t="str">
        <f t="shared" si="45"/>
        <v/>
      </c>
      <c r="W113" s="482"/>
      <c r="X113" s="397" t="str" cm="1">
        <f t="array" ref="X113">IFERROR(IF($D$3="","", _xlfn.XLOOKUP(1,($AR$36:$AR$53=F113)*($AS$36:$AS$53=G113), INDEX($AT$36:$BJ$53,,_xlfn.XMATCH(E113,$AT$35:$BJ$35)))),"")</f>
        <v/>
      </c>
      <c r="Y113" s="480"/>
      <c r="Z113" s="482"/>
      <c r="AA113" s="607" t="str" cm="1">
        <f t="array" ref="AA113">IFERROR(IF($D$3="", "", _xlfn.LET(_xlpm.dia, E113, _xlpm.thk, Z113, _xlpm.temp, I113,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3" s="397" t="str" cm="1">
        <f t="array" ref="AB113">IFERROR(IF($D$3="", "", _xlfn.XLOOKUP(1,($AR$57:$AR$76=Y113)*($AS$57:$AS$76=Z113), INDEX($AT$57:$BJ$76,,_xlfn.XMATCH(E113,$AT$56:$BJ$56)))),"")</f>
        <v/>
      </c>
      <c r="AC113" s="208" t="str">
        <f t="shared" si="35"/>
        <v/>
      </c>
      <c r="AD113" s="397" t="str">
        <f t="shared" si="36"/>
        <v/>
      </c>
      <c r="AE113" s="610" t="str">
        <f t="shared" si="37"/>
        <v/>
      </c>
      <c r="AF113" s="610" t="str">
        <f t="shared" si="38"/>
        <v/>
      </c>
      <c r="AG113" s="610" t="str">
        <f t="shared" si="39"/>
        <v/>
      </c>
      <c r="AH113" s="608" t="str">
        <f t="shared" si="40"/>
        <v/>
      </c>
      <c r="AI113" s="610" t="str">
        <f t="shared" si="41"/>
        <v/>
      </c>
      <c r="AM113" s="73" t="s">
        <v>250</v>
      </c>
      <c r="AN113" s="73" t="s">
        <v>251</v>
      </c>
      <c r="AO113" s="73" t="s">
        <v>252</v>
      </c>
      <c r="AP113" s="73" t="s">
        <v>253</v>
      </c>
      <c r="AQ113" s="73" t="s">
        <v>254</v>
      </c>
      <c r="AS113" s="116" t="s">
        <v>255</v>
      </c>
      <c r="AT113" s="678" t="s">
        <v>194</v>
      </c>
    </row>
    <row r="114" spans="2:46" x14ac:dyDescent="0.25">
      <c r="B114" s="209">
        <v>81</v>
      </c>
      <c r="C114" s="480"/>
      <c r="D114" s="480"/>
      <c r="E114" s="481"/>
      <c r="F114" s="480"/>
      <c r="G114" s="480"/>
      <c r="H114" s="607" t="str">
        <f t="shared" si="26"/>
        <v/>
      </c>
      <c r="I114" s="607" t="str">
        <f t="shared" si="27"/>
        <v/>
      </c>
      <c r="J114" s="607" t="str">
        <f t="shared" si="28"/>
        <v/>
      </c>
      <c r="K114" s="208" t="str">
        <f t="shared" si="29"/>
        <v/>
      </c>
      <c r="L114" s="208" t="str">
        <f t="shared" si="30"/>
        <v/>
      </c>
      <c r="M114" s="208" t="str">
        <f t="shared" si="42"/>
        <v/>
      </c>
      <c r="N114" s="608" t="str">
        <f>IF($D$3="", "", IFERROR(VLOOKUP(L114,'PIPE INCENTIVE'!$B$4:$E$19,2,FALSE),""))</f>
        <v/>
      </c>
      <c r="O114" s="608" t="str">
        <f t="shared" si="43"/>
        <v/>
      </c>
      <c r="P114" s="208" t="str">
        <f t="shared" si="44"/>
        <v/>
      </c>
      <c r="Q114" s="208" t="str">
        <f t="shared" si="31"/>
        <v/>
      </c>
      <c r="R114" s="609" t="str">
        <f t="shared" si="32"/>
        <v/>
      </c>
      <c r="S114" s="609" t="str">
        <f t="shared" si="33"/>
        <v/>
      </c>
      <c r="T114" s="609" t="str">
        <f t="shared" si="34"/>
        <v/>
      </c>
      <c r="U114" s="609" t="str" cm="1">
        <f t="array" ref="U114">IFERROR(IF($D$3="","",_xlfn.LET(_xlpm.Mixed,AND(COUNTIF($G$34:$G$533,"Heating_Hot_Water")&gt;0,(COUNTIF($G$34:$G$533,"Steam_Low_Pressure") + COUNTIF($G$34:$G$533,"Steam_Medium_Pressure") + COUNTIF($G$34:$G$533,"Steam_High_Pressure"))&gt;0),_xlpm.fluid, G114,_xlpm.fuel, K114,_xlpm.load,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4" s="609" t="str">
        <f t="shared" si="45"/>
        <v/>
      </c>
      <c r="W114" s="482"/>
      <c r="X114" s="397" t="str" cm="1">
        <f t="array" ref="X114">IFERROR(IF($D$3="","", _xlfn.XLOOKUP(1,($AR$36:$AR$53=F114)*($AS$36:$AS$53=G114), INDEX($AT$36:$BJ$53,,_xlfn.XMATCH(E114,$AT$35:$BJ$35)))),"")</f>
        <v/>
      </c>
      <c r="Y114" s="480"/>
      <c r="Z114" s="482"/>
      <c r="AA114" s="607" t="str" cm="1">
        <f t="array" ref="AA114">IFERROR(IF($D$3="", "", _xlfn.LET(_xlpm.dia, E114, _xlpm.thk, Z114, _xlpm.temp, I114,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4" s="397" t="str" cm="1">
        <f t="array" ref="AB114">IFERROR(IF($D$3="", "", _xlfn.XLOOKUP(1,($AR$57:$AR$76=Y114)*($AS$57:$AS$76=Z114), INDEX($AT$57:$BJ$76,,_xlfn.XMATCH(E114,$AT$56:$BJ$56)))),"")</f>
        <v/>
      </c>
      <c r="AC114" s="208" t="str">
        <f t="shared" si="35"/>
        <v/>
      </c>
      <c r="AD114" s="397" t="str">
        <f t="shared" si="36"/>
        <v/>
      </c>
      <c r="AE114" s="610" t="str">
        <f t="shared" si="37"/>
        <v/>
      </c>
      <c r="AF114" s="610" t="str">
        <f t="shared" si="38"/>
        <v/>
      </c>
      <c r="AG114" s="610" t="str">
        <f t="shared" si="39"/>
        <v/>
      </c>
      <c r="AH114" s="608" t="str">
        <f t="shared" si="40"/>
        <v/>
      </c>
      <c r="AI114" s="610" t="str">
        <f t="shared" si="41"/>
        <v/>
      </c>
      <c r="AM114" s="76" t="s">
        <v>251</v>
      </c>
      <c r="AN114" s="679" t="s">
        <v>256</v>
      </c>
      <c r="AO114" s="680" t="s">
        <v>256</v>
      </c>
      <c r="AP114" s="681" t="s">
        <v>257</v>
      </c>
      <c r="AQ114" s="76" t="s">
        <v>258</v>
      </c>
      <c r="AS114" s="682" t="s">
        <v>259</v>
      </c>
      <c r="AT114" s="678" t="s">
        <v>192</v>
      </c>
    </row>
    <row r="115" spans="2:46" x14ac:dyDescent="0.25">
      <c r="B115" s="209">
        <v>82</v>
      </c>
      <c r="C115" s="480"/>
      <c r="D115" s="480"/>
      <c r="E115" s="481"/>
      <c r="F115" s="480"/>
      <c r="G115" s="480"/>
      <c r="H115" s="607" t="str">
        <f t="shared" si="26"/>
        <v/>
      </c>
      <c r="I115" s="607" t="str">
        <f t="shared" si="27"/>
        <v/>
      </c>
      <c r="J115" s="607" t="str">
        <f t="shared" si="28"/>
        <v/>
      </c>
      <c r="K115" s="208" t="str">
        <f t="shared" si="29"/>
        <v/>
      </c>
      <c r="L115" s="208" t="str">
        <f t="shared" si="30"/>
        <v/>
      </c>
      <c r="M115" s="208" t="str">
        <f t="shared" si="42"/>
        <v/>
      </c>
      <c r="N115" s="608" t="str">
        <f>IF($D$3="", "", IFERROR(VLOOKUP(L115,'PIPE INCENTIVE'!$B$4:$E$19,2,FALSE),""))</f>
        <v/>
      </c>
      <c r="O115" s="608" t="str">
        <f t="shared" si="43"/>
        <v/>
      </c>
      <c r="P115" s="208" t="str">
        <f t="shared" si="44"/>
        <v/>
      </c>
      <c r="Q115" s="208" t="str">
        <f t="shared" si="31"/>
        <v/>
      </c>
      <c r="R115" s="609" t="str">
        <f t="shared" si="32"/>
        <v/>
      </c>
      <c r="S115" s="609" t="str">
        <f t="shared" si="33"/>
        <v/>
      </c>
      <c r="T115" s="609" t="str">
        <f t="shared" si="34"/>
        <v/>
      </c>
      <c r="U115" s="609" t="str" cm="1">
        <f t="array" ref="U115">IFERROR(IF($D$3="","",_xlfn.LET(_xlpm.Mixed,AND(COUNTIF($G$34:$G$533,"Heating_Hot_Water")&gt;0,(COUNTIF($G$34:$G$533,"Steam_Low_Pressure") + COUNTIF($G$34:$G$533,"Steam_Medium_Pressure") + COUNTIF($G$34:$G$533,"Steam_High_Pressure"))&gt;0),_xlpm.fluid, G115,_xlpm.fuel, K115,_xlpm.load,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5" s="609" t="str">
        <f t="shared" si="45"/>
        <v/>
      </c>
      <c r="W115" s="482"/>
      <c r="X115" s="397" t="str" cm="1">
        <f t="array" ref="X115">IFERROR(IF($D$3="","", _xlfn.XLOOKUP(1,($AR$36:$AR$53=F115)*($AS$36:$AS$53=G115), INDEX($AT$36:$BJ$53,,_xlfn.XMATCH(E115,$AT$35:$BJ$35)))),"")</f>
        <v/>
      </c>
      <c r="Y115" s="480"/>
      <c r="Z115" s="482"/>
      <c r="AA115" s="607" t="str" cm="1">
        <f t="array" ref="AA115">IFERROR(IF($D$3="", "", _xlfn.LET(_xlpm.dia, E115, _xlpm.thk, Z115, _xlpm.temp, I115,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5" s="397" t="str" cm="1">
        <f t="array" ref="AB115">IFERROR(IF($D$3="", "", _xlfn.XLOOKUP(1,($AR$57:$AR$76=Y115)*($AS$57:$AS$76=Z115), INDEX($AT$57:$BJ$76,,_xlfn.XMATCH(E115,$AT$56:$BJ$56)))),"")</f>
        <v/>
      </c>
      <c r="AC115" s="208" t="str">
        <f t="shared" si="35"/>
        <v/>
      </c>
      <c r="AD115" s="397" t="str">
        <f t="shared" si="36"/>
        <v/>
      </c>
      <c r="AE115" s="610" t="str">
        <f t="shared" si="37"/>
        <v/>
      </c>
      <c r="AF115" s="610" t="str">
        <f t="shared" si="38"/>
        <v/>
      </c>
      <c r="AG115" s="610" t="str">
        <f t="shared" si="39"/>
        <v/>
      </c>
      <c r="AH115" s="608" t="str">
        <f t="shared" si="40"/>
        <v/>
      </c>
      <c r="AI115" s="610" t="str">
        <f t="shared" si="41"/>
        <v/>
      </c>
      <c r="AM115" s="76" t="s">
        <v>252</v>
      </c>
      <c r="AN115" s="683" t="s">
        <v>260</v>
      </c>
      <c r="AO115" s="684" t="s">
        <v>260</v>
      </c>
      <c r="AP115" s="681" t="s">
        <v>261</v>
      </c>
      <c r="AQ115" s="76" t="s">
        <v>262</v>
      </c>
      <c r="AS115" s="72" t="s">
        <v>263</v>
      </c>
      <c r="AT115" s="72" t="e">
        <f>VLOOKUP($D$15,$AS$110:$AT$114,2,FALSE)</f>
        <v>#N/A</v>
      </c>
    </row>
    <row r="116" spans="2:46" x14ac:dyDescent="0.25">
      <c r="B116" s="209">
        <v>83</v>
      </c>
      <c r="C116" s="480"/>
      <c r="D116" s="480"/>
      <c r="E116" s="481"/>
      <c r="F116" s="480"/>
      <c r="G116" s="480"/>
      <c r="H116" s="607" t="str">
        <f t="shared" si="26"/>
        <v/>
      </c>
      <c r="I116" s="607" t="str">
        <f t="shared" si="27"/>
        <v/>
      </c>
      <c r="J116" s="607" t="str">
        <f t="shared" si="28"/>
        <v/>
      </c>
      <c r="K116" s="208" t="str">
        <f t="shared" si="29"/>
        <v/>
      </c>
      <c r="L116" s="208" t="str">
        <f t="shared" si="30"/>
        <v/>
      </c>
      <c r="M116" s="208" t="str">
        <f t="shared" si="42"/>
        <v/>
      </c>
      <c r="N116" s="608" t="str">
        <f>IF($D$3="", "", IFERROR(VLOOKUP(L116,'PIPE INCENTIVE'!$B$4:$E$19,2,FALSE),""))</f>
        <v/>
      </c>
      <c r="O116" s="608" t="str">
        <f t="shared" si="43"/>
        <v/>
      </c>
      <c r="P116" s="208" t="str">
        <f t="shared" si="44"/>
        <v/>
      </c>
      <c r="Q116" s="208" t="str">
        <f t="shared" si="31"/>
        <v/>
      </c>
      <c r="R116" s="609" t="str">
        <f t="shared" si="32"/>
        <v/>
      </c>
      <c r="S116" s="609" t="str">
        <f t="shared" si="33"/>
        <v/>
      </c>
      <c r="T116" s="609" t="str">
        <f t="shared" si="34"/>
        <v/>
      </c>
      <c r="U116" s="609" t="str" cm="1">
        <f t="array" ref="U116">IFERROR(IF($D$3="","",_xlfn.LET(_xlpm.Mixed,AND(COUNTIF($G$34:$G$533,"Heating_Hot_Water")&gt;0,(COUNTIF($G$34:$G$533,"Steam_Low_Pressure") + COUNTIF($G$34:$G$533,"Steam_Medium_Pressure") + COUNTIF($G$34:$G$533,"Steam_High_Pressure"))&gt;0),_xlpm.fluid, G116,_xlpm.fuel, K116,_xlpm.load,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6" s="609" t="str">
        <f t="shared" si="45"/>
        <v/>
      </c>
      <c r="W116" s="482"/>
      <c r="X116" s="397" t="str" cm="1">
        <f t="array" ref="X116">IFERROR(IF($D$3="","", _xlfn.XLOOKUP(1,($AR$36:$AR$53=F116)*($AS$36:$AS$53=G116), INDEX($AT$36:$BJ$53,,_xlfn.XMATCH(E116,$AT$35:$BJ$35)))),"")</f>
        <v/>
      </c>
      <c r="Y116" s="480"/>
      <c r="Z116" s="482"/>
      <c r="AA116" s="607" t="str" cm="1">
        <f t="array" ref="AA116">IFERROR(IF($D$3="", "", _xlfn.LET(_xlpm.dia, E116, _xlpm.thk, Z116, _xlpm.temp, I116,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6" s="397" t="str" cm="1">
        <f t="array" ref="AB116">IFERROR(IF($D$3="", "", _xlfn.XLOOKUP(1,($AR$57:$AR$76=Y116)*($AS$57:$AS$76=Z116), INDEX($AT$57:$BJ$76,,_xlfn.XMATCH(E116,$AT$56:$BJ$56)))),"")</f>
        <v/>
      </c>
      <c r="AC116" s="208" t="str">
        <f t="shared" si="35"/>
        <v/>
      </c>
      <c r="AD116" s="397" t="str">
        <f t="shared" si="36"/>
        <v/>
      </c>
      <c r="AE116" s="610" t="str">
        <f t="shared" si="37"/>
        <v/>
      </c>
      <c r="AF116" s="610" t="str">
        <f t="shared" si="38"/>
        <v/>
      </c>
      <c r="AG116" s="610" t="str">
        <f t="shared" si="39"/>
        <v/>
      </c>
      <c r="AH116" s="608" t="str">
        <f t="shared" si="40"/>
        <v/>
      </c>
      <c r="AI116" s="610" t="str">
        <f t="shared" si="41"/>
        <v/>
      </c>
      <c r="AM116" s="76" t="s">
        <v>253</v>
      </c>
      <c r="AN116" s="679" t="s">
        <v>264</v>
      </c>
      <c r="AO116" s="680" t="s">
        <v>264</v>
      </c>
      <c r="AP116" s="681" t="s">
        <v>265</v>
      </c>
      <c r="AQ116" s="76" t="s">
        <v>266</v>
      </c>
      <c r="AS116" s="1"/>
      <c r="AT116" s="63"/>
    </row>
    <row r="117" spans="2:46" x14ac:dyDescent="0.25">
      <c r="B117" s="209">
        <v>84</v>
      </c>
      <c r="C117" s="480"/>
      <c r="D117" s="480"/>
      <c r="E117" s="481"/>
      <c r="F117" s="480"/>
      <c r="G117" s="480"/>
      <c r="H117" s="607" t="str">
        <f t="shared" si="26"/>
        <v/>
      </c>
      <c r="I117" s="607" t="str">
        <f t="shared" si="27"/>
        <v/>
      </c>
      <c r="J117" s="607" t="str">
        <f t="shared" si="28"/>
        <v/>
      </c>
      <c r="K117" s="208" t="str">
        <f t="shared" si="29"/>
        <v/>
      </c>
      <c r="L117" s="208" t="str">
        <f t="shared" si="30"/>
        <v/>
      </c>
      <c r="M117" s="208" t="str">
        <f t="shared" si="42"/>
        <v/>
      </c>
      <c r="N117" s="608" t="str">
        <f>IF($D$3="", "", IFERROR(VLOOKUP(L117,'PIPE INCENTIVE'!$B$4:$E$19,2,FALSE),""))</f>
        <v/>
      </c>
      <c r="O117" s="608" t="str">
        <f t="shared" si="43"/>
        <v/>
      </c>
      <c r="P117" s="208" t="str">
        <f t="shared" si="44"/>
        <v/>
      </c>
      <c r="Q117" s="208" t="str">
        <f t="shared" si="31"/>
        <v/>
      </c>
      <c r="R117" s="609" t="str">
        <f t="shared" si="32"/>
        <v/>
      </c>
      <c r="S117" s="609" t="str">
        <f t="shared" si="33"/>
        <v/>
      </c>
      <c r="T117" s="609" t="str">
        <f t="shared" si="34"/>
        <v/>
      </c>
      <c r="U117" s="609" t="str" cm="1">
        <f t="array" ref="U117">IFERROR(IF($D$3="","",_xlfn.LET(_xlpm.Mixed,AND(COUNTIF($G$34:$G$533,"Heating_Hot_Water")&gt;0,(COUNTIF($G$34:$G$533,"Steam_Low_Pressure") + COUNTIF($G$34:$G$533,"Steam_Medium_Pressure") + COUNTIF($G$34:$G$533,"Steam_High_Pressure"))&gt;0),_xlpm.fluid, G117,_xlpm.fuel, K117,_xlpm.load,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7" s="609" t="str">
        <f t="shared" si="45"/>
        <v/>
      </c>
      <c r="W117" s="482"/>
      <c r="X117" s="397" t="str" cm="1">
        <f t="array" ref="X117">IFERROR(IF($D$3="","", _xlfn.XLOOKUP(1,($AR$36:$AR$53=F117)*($AS$36:$AS$53=G117), INDEX($AT$36:$BJ$53,,_xlfn.XMATCH(E117,$AT$35:$BJ$35)))),"")</f>
        <v/>
      </c>
      <c r="Y117" s="480"/>
      <c r="Z117" s="482"/>
      <c r="AA117" s="607" t="str" cm="1">
        <f t="array" ref="AA117">IFERROR(IF($D$3="", "", _xlfn.LET(_xlpm.dia, E117, _xlpm.thk, Z117, _xlpm.temp, I117,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7" s="397" t="str" cm="1">
        <f t="array" ref="AB117">IFERROR(IF($D$3="", "", _xlfn.XLOOKUP(1,($AR$57:$AR$76=Y117)*($AS$57:$AS$76=Z117), INDEX($AT$57:$BJ$76,,_xlfn.XMATCH(E117,$AT$56:$BJ$56)))),"")</f>
        <v/>
      </c>
      <c r="AC117" s="208" t="str">
        <f t="shared" si="35"/>
        <v/>
      </c>
      <c r="AD117" s="397" t="str">
        <f t="shared" si="36"/>
        <v/>
      </c>
      <c r="AE117" s="610" t="str">
        <f t="shared" si="37"/>
        <v/>
      </c>
      <c r="AF117" s="610" t="str">
        <f t="shared" si="38"/>
        <v/>
      </c>
      <c r="AG117" s="610" t="str">
        <f t="shared" si="39"/>
        <v/>
      </c>
      <c r="AH117" s="608" t="str">
        <f t="shared" si="40"/>
        <v/>
      </c>
      <c r="AI117" s="610" t="str">
        <f t="shared" si="41"/>
        <v/>
      </c>
      <c r="AM117" s="76" t="s">
        <v>254</v>
      </c>
      <c r="AN117" s="683" t="s">
        <v>267</v>
      </c>
      <c r="AO117" s="685" t="s">
        <v>267</v>
      </c>
      <c r="AP117" s="681" t="s">
        <v>268</v>
      </c>
      <c r="AQ117" s="76" t="s">
        <v>269</v>
      </c>
      <c r="AS117" s="668" t="s">
        <v>270</v>
      </c>
      <c r="AT117" s="383" t="s">
        <v>245</v>
      </c>
    </row>
    <row r="118" spans="2:46" x14ac:dyDescent="0.25">
      <c r="B118" s="209">
        <v>85</v>
      </c>
      <c r="C118" s="480"/>
      <c r="D118" s="480"/>
      <c r="E118" s="481"/>
      <c r="F118" s="480"/>
      <c r="G118" s="480"/>
      <c r="H118" s="607" t="str">
        <f t="shared" si="26"/>
        <v/>
      </c>
      <c r="I118" s="607" t="str">
        <f t="shared" si="27"/>
        <v/>
      </c>
      <c r="J118" s="607" t="str">
        <f t="shared" si="28"/>
        <v/>
      </c>
      <c r="K118" s="208" t="str">
        <f t="shared" si="29"/>
        <v/>
      </c>
      <c r="L118" s="208" t="str">
        <f t="shared" si="30"/>
        <v/>
      </c>
      <c r="M118" s="208" t="str">
        <f t="shared" si="42"/>
        <v/>
      </c>
      <c r="N118" s="608" t="str">
        <f>IF($D$3="", "", IFERROR(VLOOKUP(L118,'PIPE INCENTIVE'!$B$4:$E$19,2,FALSE),""))</f>
        <v/>
      </c>
      <c r="O118" s="608" t="str">
        <f t="shared" si="43"/>
        <v/>
      </c>
      <c r="P118" s="208" t="str">
        <f t="shared" si="44"/>
        <v/>
      </c>
      <c r="Q118" s="208" t="str">
        <f t="shared" si="31"/>
        <v/>
      </c>
      <c r="R118" s="609" t="str">
        <f t="shared" si="32"/>
        <v/>
      </c>
      <c r="S118" s="609" t="str">
        <f t="shared" si="33"/>
        <v/>
      </c>
      <c r="T118" s="609" t="str">
        <f t="shared" si="34"/>
        <v/>
      </c>
      <c r="U118" s="609" t="str" cm="1">
        <f t="array" ref="U118">IFERROR(IF($D$3="","",_xlfn.LET(_xlpm.Mixed,AND(COUNTIF($G$34:$G$533,"Heating_Hot_Water")&gt;0,(COUNTIF($G$34:$G$533,"Steam_Low_Pressure") + COUNTIF($G$34:$G$533,"Steam_Medium_Pressure") + COUNTIF($G$34:$G$533,"Steam_High_Pressure"))&gt;0),_xlpm.fluid, G118,_xlpm.fuel, K118,_xlpm.load,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8" s="609" t="str">
        <f t="shared" si="45"/>
        <v/>
      </c>
      <c r="W118" s="482"/>
      <c r="X118" s="397" t="str" cm="1">
        <f t="array" ref="X118">IFERROR(IF($D$3="","", _xlfn.XLOOKUP(1,($AR$36:$AR$53=F118)*($AS$36:$AS$53=G118), INDEX($AT$36:$BJ$53,,_xlfn.XMATCH(E118,$AT$35:$BJ$35)))),"")</f>
        <v/>
      </c>
      <c r="Y118" s="480"/>
      <c r="Z118" s="482"/>
      <c r="AA118" s="607" t="str" cm="1">
        <f t="array" ref="AA118">IFERROR(IF($D$3="", "", _xlfn.LET(_xlpm.dia, E118, _xlpm.thk, Z118, _xlpm.temp, I118,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8" s="397" t="str" cm="1">
        <f t="array" ref="AB118">IFERROR(IF($D$3="", "", _xlfn.XLOOKUP(1,($AR$57:$AR$76=Y118)*($AS$57:$AS$76=Z118), INDEX($AT$57:$BJ$76,,_xlfn.XMATCH(E118,$AT$56:$BJ$56)))),"")</f>
        <v/>
      </c>
      <c r="AC118" s="208" t="str">
        <f t="shared" si="35"/>
        <v/>
      </c>
      <c r="AD118" s="397" t="str">
        <f t="shared" si="36"/>
        <v/>
      </c>
      <c r="AE118" s="610" t="str">
        <f t="shared" si="37"/>
        <v/>
      </c>
      <c r="AF118" s="610" t="str">
        <f t="shared" si="38"/>
        <v/>
      </c>
      <c r="AG118" s="610" t="str">
        <f t="shared" si="39"/>
        <v/>
      </c>
      <c r="AH118" s="608" t="str">
        <f t="shared" si="40"/>
        <v/>
      </c>
      <c r="AI118" s="610" t="str">
        <f t="shared" si="41"/>
        <v/>
      </c>
      <c r="AP118" s="681" t="s">
        <v>271</v>
      </c>
      <c r="AQ118" s="76" t="s">
        <v>272</v>
      </c>
      <c r="AS118" s="116" t="s">
        <v>247</v>
      </c>
      <c r="AT118" s="678" t="s">
        <v>192</v>
      </c>
    </row>
    <row r="119" spans="2:46" x14ac:dyDescent="0.25">
      <c r="B119" s="209">
        <v>86</v>
      </c>
      <c r="C119" s="480"/>
      <c r="D119" s="480"/>
      <c r="E119" s="481"/>
      <c r="F119" s="480"/>
      <c r="G119" s="480"/>
      <c r="H119" s="607" t="str">
        <f t="shared" si="26"/>
        <v/>
      </c>
      <c r="I119" s="607" t="str">
        <f t="shared" si="27"/>
        <v/>
      </c>
      <c r="J119" s="607" t="str">
        <f t="shared" si="28"/>
        <v/>
      </c>
      <c r="K119" s="208" t="str">
        <f t="shared" si="29"/>
        <v/>
      </c>
      <c r="L119" s="208" t="str">
        <f t="shared" si="30"/>
        <v/>
      </c>
      <c r="M119" s="208" t="str">
        <f t="shared" si="42"/>
        <v/>
      </c>
      <c r="N119" s="608" t="str">
        <f>IF($D$3="", "", IFERROR(VLOOKUP(L119,'PIPE INCENTIVE'!$B$4:$E$19,2,FALSE),""))</f>
        <v/>
      </c>
      <c r="O119" s="608" t="str">
        <f t="shared" si="43"/>
        <v/>
      </c>
      <c r="P119" s="208" t="str">
        <f t="shared" si="44"/>
        <v/>
      </c>
      <c r="Q119" s="208" t="str">
        <f t="shared" si="31"/>
        <v/>
      </c>
      <c r="R119" s="609" t="str">
        <f t="shared" si="32"/>
        <v/>
      </c>
      <c r="S119" s="609" t="str">
        <f t="shared" si="33"/>
        <v/>
      </c>
      <c r="T119" s="609" t="str">
        <f t="shared" si="34"/>
        <v/>
      </c>
      <c r="U119" s="609" t="str" cm="1">
        <f t="array" ref="U119">IFERROR(IF($D$3="","",_xlfn.LET(_xlpm.Mixed,AND(COUNTIF($G$34:$G$533,"Heating_Hot_Water")&gt;0,(COUNTIF($G$34:$G$533,"Steam_Low_Pressure") + COUNTIF($G$34:$G$533,"Steam_Medium_Pressure") + COUNTIF($G$34:$G$533,"Steam_High_Pressure"))&gt;0),_xlpm.fluid, G119,_xlpm.fuel, K119,_xlpm.load,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19" s="609" t="str">
        <f t="shared" si="45"/>
        <v/>
      </c>
      <c r="W119" s="482"/>
      <c r="X119" s="397" t="str" cm="1">
        <f t="array" ref="X119">IFERROR(IF($D$3="","", _xlfn.XLOOKUP(1,($AR$36:$AR$53=F119)*($AS$36:$AS$53=G119), INDEX($AT$36:$BJ$53,,_xlfn.XMATCH(E119,$AT$35:$BJ$35)))),"")</f>
        <v/>
      </c>
      <c r="Y119" s="480"/>
      <c r="Z119" s="482"/>
      <c r="AA119" s="607" t="str" cm="1">
        <f t="array" ref="AA119">IFERROR(IF($D$3="", "", _xlfn.LET(_xlpm.dia, E119, _xlpm.thk, Z119, _xlpm.temp, I119,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19" s="397" t="str" cm="1">
        <f t="array" ref="AB119">IFERROR(IF($D$3="", "", _xlfn.XLOOKUP(1,($AR$57:$AR$76=Y119)*($AS$57:$AS$76=Z119), INDEX($AT$57:$BJ$76,,_xlfn.XMATCH(E119,$AT$56:$BJ$56)))),"")</f>
        <v/>
      </c>
      <c r="AC119" s="208" t="str">
        <f t="shared" si="35"/>
        <v/>
      </c>
      <c r="AD119" s="397" t="str">
        <f t="shared" si="36"/>
        <v/>
      </c>
      <c r="AE119" s="610" t="str">
        <f t="shared" si="37"/>
        <v/>
      </c>
      <c r="AF119" s="610" t="str">
        <f t="shared" si="38"/>
        <v/>
      </c>
      <c r="AG119" s="610" t="str">
        <f t="shared" si="39"/>
        <v/>
      </c>
      <c r="AH119" s="608" t="str">
        <f t="shared" si="40"/>
        <v/>
      </c>
      <c r="AI119" s="610" t="str">
        <f t="shared" si="41"/>
        <v/>
      </c>
      <c r="AP119" s="681" t="s">
        <v>273</v>
      </c>
      <c r="AQ119" s="76" t="s">
        <v>274</v>
      </c>
      <c r="AS119" s="682" t="s">
        <v>259</v>
      </c>
      <c r="AT119" s="678" t="s">
        <v>192</v>
      </c>
    </row>
    <row r="120" spans="2:46" x14ac:dyDescent="0.25">
      <c r="B120" s="209">
        <v>87</v>
      </c>
      <c r="C120" s="480"/>
      <c r="D120" s="480"/>
      <c r="E120" s="481"/>
      <c r="F120" s="480"/>
      <c r="G120" s="480"/>
      <c r="H120" s="607" t="str">
        <f t="shared" si="26"/>
        <v/>
      </c>
      <c r="I120" s="607" t="str">
        <f t="shared" si="27"/>
        <v/>
      </c>
      <c r="J120" s="607" t="str">
        <f t="shared" si="28"/>
        <v/>
      </c>
      <c r="K120" s="208" t="str">
        <f t="shared" si="29"/>
        <v/>
      </c>
      <c r="L120" s="208" t="str">
        <f t="shared" si="30"/>
        <v/>
      </c>
      <c r="M120" s="208" t="str">
        <f t="shared" si="42"/>
        <v/>
      </c>
      <c r="N120" s="608" t="str">
        <f>IF($D$3="", "", IFERROR(VLOOKUP(L120,'PIPE INCENTIVE'!$B$4:$E$19,2,FALSE),""))</f>
        <v/>
      </c>
      <c r="O120" s="608" t="str">
        <f t="shared" si="43"/>
        <v/>
      </c>
      <c r="P120" s="208" t="str">
        <f t="shared" si="44"/>
        <v/>
      </c>
      <c r="Q120" s="208" t="str">
        <f t="shared" si="31"/>
        <v/>
      </c>
      <c r="R120" s="609" t="str">
        <f t="shared" si="32"/>
        <v/>
      </c>
      <c r="S120" s="609" t="str">
        <f t="shared" si="33"/>
        <v/>
      </c>
      <c r="T120" s="609" t="str">
        <f t="shared" si="34"/>
        <v/>
      </c>
      <c r="U120" s="609" t="str" cm="1">
        <f t="array" ref="U120">IFERROR(IF($D$3="","",_xlfn.LET(_xlpm.Mixed,AND(COUNTIF($G$34:$G$533,"Heating_Hot_Water")&gt;0,(COUNTIF($G$34:$G$533,"Steam_Low_Pressure") + COUNTIF($G$34:$G$533,"Steam_Medium_Pressure") + COUNTIF($G$34:$G$533,"Steam_High_Pressure"))&gt;0),_xlpm.fluid, G120,_xlpm.fuel, K120,_xlpm.load,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0" s="609" t="str">
        <f t="shared" si="45"/>
        <v/>
      </c>
      <c r="W120" s="482"/>
      <c r="X120" s="397" t="str" cm="1">
        <f t="array" ref="X120">IFERROR(IF($D$3="","", _xlfn.XLOOKUP(1,($AR$36:$AR$53=F120)*($AS$36:$AS$53=G120), INDEX($AT$36:$BJ$53,,_xlfn.XMATCH(E120,$AT$35:$BJ$35)))),"")</f>
        <v/>
      </c>
      <c r="Y120" s="480"/>
      <c r="Z120" s="482"/>
      <c r="AA120" s="607" t="str" cm="1">
        <f t="array" ref="AA120">IFERROR(IF($D$3="", "", _xlfn.LET(_xlpm.dia, E120, _xlpm.thk, Z120, _xlpm.temp, I120,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0" s="397" t="str" cm="1">
        <f t="array" ref="AB120">IFERROR(IF($D$3="", "", _xlfn.XLOOKUP(1,($AR$57:$AR$76=Y120)*($AS$57:$AS$76=Z120), INDEX($AT$57:$BJ$76,,_xlfn.XMATCH(E120,$AT$56:$BJ$56)))),"")</f>
        <v/>
      </c>
      <c r="AC120" s="208" t="str">
        <f t="shared" si="35"/>
        <v/>
      </c>
      <c r="AD120" s="397" t="str">
        <f t="shared" si="36"/>
        <v/>
      </c>
      <c r="AE120" s="610" t="str">
        <f t="shared" si="37"/>
        <v/>
      </c>
      <c r="AF120" s="610" t="str">
        <f t="shared" si="38"/>
        <v/>
      </c>
      <c r="AG120" s="610" t="str">
        <f t="shared" si="39"/>
        <v/>
      </c>
      <c r="AH120" s="608" t="str">
        <f t="shared" si="40"/>
        <v/>
      </c>
      <c r="AI120" s="610" t="str">
        <f t="shared" si="41"/>
        <v/>
      </c>
      <c r="AM120" s="686" t="s">
        <v>275</v>
      </c>
      <c r="AN120" s="484" t="e">
        <f>SUMIF($O$34:$O$533, "Electric", $AI$34:$AI$533)/$AI$534</f>
        <v>#DIV/0!</v>
      </c>
      <c r="AP120" s="681" t="s">
        <v>276</v>
      </c>
      <c r="AQ120" s="76" t="s">
        <v>277</v>
      </c>
      <c r="AS120" s="116" t="s">
        <v>246</v>
      </c>
      <c r="AT120" s="678" t="s">
        <v>194</v>
      </c>
    </row>
    <row r="121" spans="2:46" ht="15" customHeight="1" x14ac:dyDescent="0.25">
      <c r="B121" s="209">
        <v>88</v>
      </c>
      <c r="C121" s="480"/>
      <c r="D121" s="480"/>
      <c r="E121" s="481"/>
      <c r="F121" s="480"/>
      <c r="G121" s="480"/>
      <c r="H121" s="607" t="str">
        <f t="shared" si="26"/>
        <v/>
      </c>
      <c r="I121" s="607" t="str">
        <f t="shared" si="27"/>
        <v/>
      </c>
      <c r="J121" s="607" t="str">
        <f t="shared" si="28"/>
        <v/>
      </c>
      <c r="K121" s="208" t="str">
        <f t="shared" si="29"/>
        <v/>
      </c>
      <c r="L121" s="208" t="str">
        <f t="shared" si="30"/>
        <v/>
      </c>
      <c r="M121" s="208" t="str">
        <f t="shared" si="42"/>
        <v/>
      </c>
      <c r="N121" s="608" t="str">
        <f>IF($D$3="", "", IFERROR(VLOOKUP(L121,'PIPE INCENTIVE'!$B$4:$E$19,2,FALSE),""))</f>
        <v/>
      </c>
      <c r="O121" s="608" t="str">
        <f t="shared" si="43"/>
        <v/>
      </c>
      <c r="P121" s="208" t="str">
        <f t="shared" si="44"/>
        <v/>
      </c>
      <c r="Q121" s="208" t="str">
        <f t="shared" si="31"/>
        <v/>
      </c>
      <c r="R121" s="609" t="str">
        <f t="shared" si="32"/>
        <v/>
      </c>
      <c r="S121" s="609" t="str">
        <f t="shared" si="33"/>
        <v/>
      </c>
      <c r="T121" s="609" t="str">
        <f t="shared" si="34"/>
        <v/>
      </c>
      <c r="U121" s="609" t="str" cm="1">
        <f t="array" ref="U121">IFERROR(IF($D$3="","",_xlfn.LET(_xlpm.Mixed,AND(COUNTIF($G$34:$G$533,"Heating_Hot_Water")&gt;0,(COUNTIF($G$34:$G$533,"Steam_Low_Pressure") + COUNTIF($G$34:$G$533,"Steam_Medium_Pressure") + COUNTIF($G$34:$G$533,"Steam_High_Pressure"))&gt;0),_xlpm.fluid, G121,_xlpm.fuel, K121,_xlpm.load,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1" s="609" t="str">
        <f t="shared" si="45"/>
        <v/>
      </c>
      <c r="W121" s="482"/>
      <c r="X121" s="397" t="str" cm="1">
        <f t="array" ref="X121">IFERROR(IF($D$3="","", _xlfn.XLOOKUP(1,($AR$36:$AR$53=F121)*($AS$36:$AS$53=G121), INDEX($AT$36:$BJ$53,,_xlfn.XMATCH(E121,$AT$35:$BJ$35)))),"")</f>
        <v/>
      </c>
      <c r="Y121" s="480"/>
      <c r="Z121" s="482"/>
      <c r="AA121" s="607" t="str" cm="1">
        <f t="array" ref="AA121">IFERROR(IF($D$3="", "", _xlfn.LET(_xlpm.dia, E121, _xlpm.thk, Z121, _xlpm.temp, I121,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1" s="397" t="str" cm="1">
        <f t="array" ref="AB121">IFERROR(IF($D$3="", "", _xlfn.XLOOKUP(1,($AR$57:$AR$76=Y121)*($AS$57:$AS$76=Z121), INDEX($AT$57:$BJ$76,,_xlfn.XMATCH(E121,$AT$56:$BJ$56)))),"")</f>
        <v/>
      </c>
      <c r="AC121" s="208" t="str">
        <f t="shared" si="35"/>
        <v/>
      </c>
      <c r="AD121" s="397" t="str">
        <f t="shared" si="36"/>
        <v/>
      </c>
      <c r="AE121" s="610" t="str">
        <f t="shared" si="37"/>
        <v/>
      </c>
      <c r="AF121" s="610" t="str">
        <f t="shared" si="38"/>
        <v/>
      </c>
      <c r="AG121" s="610" t="str">
        <f t="shared" si="39"/>
        <v/>
      </c>
      <c r="AH121" s="608" t="str">
        <f t="shared" si="40"/>
        <v/>
      </c>
      <c r="AI121" s="610" t="str">
        <f t="shared" si="41"/>
        <v/>
      </c>
      <c r="AM121" s="687" t="s">
        <v>278</v>
      </c>
      <c r="AN121" s="485" t="e">
        <f>SUMIF($O$34:$O$533, "Gas", $AI$34:$AI$533)/$AI$534</f>
        <v>#DIV/0!</v>
      </c>
      <c r="AP121" s="681" t="s">
        <v>279</v>
      </c>
      <c r="AQ121" s="76" t="s">
        <v>280</v>
      </c>
      <c r="AS121" s="116" t="s">
        <v>255</v>
      </c>
      <c r="AT121" s="678" t="s">
        <v>194</v>
      </c>
    </row>
    <row r="122" spans="2:46" x14ac:dyDescent="0.25">
      <c r="B122" s="209">
        <v>89</v>
      </c>
      <c r="C122" s="480"/>
      <c r="D122" s="480"/>
      <c r="E122" s="481"/>
      <c r="F122" s="480"/>
      <c r="G122" s="480"/>
      <c r="H122" s="607" t="str">
        <f t="shared" si="26"/>
        <v/>
      </c>
      <c r="I122" s="607" t="str">
        <f t="shared" si="27"/>
        <v/>
      </c>
      <c r="J122" s="607" t="str">
        <f t="shared" si="28"/>
        <v/>
      </c>
      <c r="K122" s="208" t="str">
        <f t="shared" si="29"/>
        <v/>
      </c>
      <c r="L122" s="208" t="str">
        <f t="shared" si="30"/>
        <v/>
      </c>
      <c r="M122" s="208" t="str">
        <f t="shared" si="42"/>
        <v/>
      </c>
      <c r="N122" s="608" t="str">
        <f>IF($D$3="", "", IFERROR(VLOOKUP(L122,'PIPE INCENTIVE'!$B$4:$E$19,2,FALSE),""))</f>
        <v/>
      </c>
      <c r="O122" s="608" t="str">
        <f t="shared" si="43"/>
        <v/>
      </c>
      <c r="P122" s="208" t="str">
        <f t="shared" si="44"/>
        <v/>
      </c>
      <c r="Q122" s="208" t="str">
        <f t="shared" si="31"/>
        <v/>
      </c>
      <c r="R122" s="609" t="str">
        <f t="shared" si="32"/>
        <v/>
      </c>
      <c r="S122" s="609" t="str">
        <f t="shared" si="33"/>
        <v/>
      </c>
      <c r="T122" s="609" t="str">
        <f t="shared" si="34"/>
        <v/>
      </c>
      <c r="U122" s="609" t="str" cm="1">
        <f t="array" ref="U122">IFERROR(IF($D$3="","",_xlfn.LET(_xlpm.Mixed,AND(COUNTIF($G$34:$G$533,"Heating_Hot_Water")&gt;0,(COUNTIF($G$34:$G$533,"Steam_Low_Pressure") + COUNTIF($G$34:$G$533,"Steam_Medium_Pressure") + COUNTIF($G$34:$G$533,"Steam_High_Pressure"))&gt;0),_xlpm.fluid, G122,_xlpm.fuel, K122,_xlpm.load,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2" s="609" t="str">
        <f t="shared" si="45"/>
        <v/>
      </c>
      <c r="W122" s="482"/>
      <c r="X122" s="397" t="str" cm="1">
        <f t="array" ref="X122">IFERROR(IF($D$3="","", _xlfn.XLOOKUP(1,($AR$36:$AR$53=F122)*($AS$36:$AS$53=G122), INDEX($AT$36:$BJ$53,,_xlfn.XMATCH(E122,$AT$35:$BJ$35)))),"")</f>
        <v/>
      </c>
      <c r="Y122" s="480"/>
      <c r="Z122" s="482"/>
      <c r="AA122" s="607" t="str" cm="1">
        <f t="array" ref="AA122">IFERROR(IF($D$3="", "", _xlfn.LET(_xlpm.dia, E122, _xlpm.thk, Z122, _xlpm.temp, I122,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2" s="397" t="str" cm="1">
        <f t="array" ref="AB122">IFERROR(IF($D$3="", "", _xlfn.XLOOKUP(1,($AR$57:$AR$76=Y122)*($AS$57:$AS$76=Z122), INDEX($AT$57:$BJ$76,,_xlfn.XMATCH(E122,$AT$56:$BJ$56)))),"")</f>
        <v/>
      </c>
      <c r="AC122" s="208" t="str">
        <f t="shared" si="35"/>
        <v/>
      </c>
      <c r="AD122" s="397" t="str">
        <f t="shared" si="36"/>
        <v/>
      </c>
      <c r="AE122" s="610" t="str">
        <f t="shared" si="37"/>
        <v/>
      </c>
      <c r="AF122" s="610" t="str">
        <f t="shared" si="38"/>
        <v/>
      </c>
      <c r="AG122" s="610" t="str">
        <f t="shared" si="39"/>
        <v/>
      </c>
      <c r="AH122" s="608" t="str">
        <f t="shared" si="40"/>
        <v/>
      </c>
      <c r="AI122" s="610" t="str">
        <f t="shared" si="41"/>
        <v/>
      </c>
      <c r="AM122" s="688" t="s">
        <v>281</v>
      </c>
      <c r="AN122" s="689" t="e">
        <f>AN120+AN121</f>
        <v>#DIV/0!</v>
      </c>
      <c r="AP122" s="681" t="s">
        <v>282</v>
      </c>
      <c r="AQ122" s="76" t="s">
        <v>283</v>
      </c>
      <c r="AS122" s="72" t="s">
        <v>284</v>
      </c>
      <c r="AT122" s="72" t="e">
        <f>VLOOKUP($D$16,$AS$118:$AT$121,2,FALSE)</f>
        <v>#N/A</v>
      </c>
    </row>
    <row r="123" spans="2:46" x14ac:dyDescent="0.25">
      <c r="B123" s="209">
        <v>90</v>
      </c>
      <c r="C123" s="480"/>
      <c r="D123" s="480"/>
      <c r="E123" s="481"/>
      <c r="F123" s="480"/>
      <c r="G123" s="480"/>
      <c r="H123" s="607" t="str">
        <f t="shared" si="26"/>
        <v/>
      </c>
      <c r="I123" s="607" t="str">
        <f t="shared" si="27"/>
        <v/>
      </c>
      <c r="J123" s="607" t="str">
        <f t="shared" si="28"/>
        <v/>
      </c>
      <c r="K123" s="208" t="str">
        <f t="shared" si="29"/>
        <v/>
      </c>
      <c r="L123" s="208" t="str">
        <f t="shared" si="30"/>
        <v/>
      </c>
      <c r="M123" s="208" t="str">
        <f t="shared" si="42"/>
        <v/>
      </c>
      <c r="N123" s="608" t="str">
        <f>IF($D$3="", "", IFERROR(VLOOKUP(L123,'PIPE INCENTIVE'!$B$4:$E$19,2,FALSE),""))</f>
        <v/>
      </c>
      <c r="O123" s="608" t="str">
        <f t="shared" si="43"/>
        <v/>
      </c>
      <c r="P123" s="208" t="str">
        <f t="shared" si="44"/>
        <v/>
      </c>
      <c r="Q123" s="208" t="str">
        <f t="shared" si="31"/>
        <v/>
      </c>
      <c r="R123" s="609" t="str">
        <f t="shared" si="32"/>
        <v/>
      </c>
      <c r="S123" s="609" t="str">
        <f t="shared" si="33"/>
        <v/>
      </c>
      <c r="T123" s="609" t="str">
        <f t="shared" si="34"/>
        <v/>
      </c>
      <c r="U123" s="609" t="str" cm="1">
        <f t="array" ref="U123">IFERROR(IF($D$3="","",_xlfn.LET(_xlpm.Mixed,AND(COUNTIF($G$34:$G$533,"Heating_Hot_Water")&gt;0,(COUNTIF($G$34:$G$533,"Steam_Low_Pressure") + COUNTIF($G$34:$G$533,"Steam_Medium_Pressure") + COUNTIF($G$34:$G$533,"Steam_High_Pressure"))&gt;0),_xlpm.fluid, G123,_xlpm.fuel, K123,_xlpm.load,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3" s="609" t="str">
        <f t="shared" si="45"/>
        <v/>
      </c>
      <c r="W123" s="482"/>
      <c r="X123" s="397" t="str" cm="1">
        <f t="array" ref="X123">IFERROR(IF($D$3="","", _xlfn.XLOOKUP(1,($AR$36:$AR$53=F123)*($AS$36:$AS$53=G123), INDEX($AT$36:$BJ$53,,_xlfn.XMATCH(E123,$AT$35:$BJ$35)))),"")</f>
        <v/>
      </c>
      <c r="Y123" s="480"/>
      <c r="Z123" s="482"/>
      <c r="AA123" s="607" t="str" cm="1">
        <f t="array" ref="AA123">IFERROR(IF($D$3="", "", _xlfn.LET(_xlpm.dia, E123, _xlpm.thk, Z123, _xlpm.temp, I123,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3" s="397" t="str" cm="1">
        <f t="array" ref="AB123">IFERROR(IF($D$3="", "", _xlfn.XLOOKUP(1,($AR$57:$AR$76=Y123)*($AS$57:$AS$76=Z123), INDEX($AT$57:$BJ$76,,_xlfn.XMATCH(E123,$AT$56:$BJ$56)))),"")</f>
        <v/>
      </c>
      <c r="AC123" s="208" t="str">
        <f t="shared" si="35"/>
        <v/>
      </c>
      <c r="AD123" s="397" t="str">
        <f t="shared" si="36"/>
        <v/>
      </c>
      <c r="AE123" s="610" t="str">
        <f t="shared" si="37"/>
        <v/>
      </c>
      <c r="AF123" s="610" t="str">
        <f t="shared" si="38"/>
        <v/>
      </c>
      <c r="AG123" s="610" t="str">
        <f t="shared" si="39"/>
        <v/>
      </c>
      <c r="AH123" s="608" t="str">
        <f t="shared" si="40"/>
        <v/>
      </c>
      <c r="AI123" s="610" t="str">
        <f t="shared" si="41"/>
        <v/>
      </c>
      <c r="AM123" s="690" t="s">
        <v>285</v>
      </c>
      <c r="AN123" s="691" t="e">
        <f>IF(AN122=100%, "Ok", "Error")</f>
        <v>#DIV/0!</v>
      </c>
      <c r="AP123" s="681" t="s">
        <v>286</v>
      </c>
      <c r="AQ123" s="76" t="s">
        <v>287</v>
      </c>
    </row>
    <row r="124" spans="2:46" x14ac:dyDescent="0.25">
      <c r="B124" s="209">
        <v>91</v>
      </c>
      <c r="C124" s="480"/>
      <c r="D124" s="480"/>
      <c r="E124" s="481"/>
      <c r="F124" s="480"/>
      <c r="G124" s="480"/>
      <c r="H124" s="607" t="str">
        <f t="shared" si="26"/>
        <v/>
      </c>
      <c r="I124" s="607" t="str">
        <f t="shared" si="27"/>
        <v/>
      </c>
      <c r="J124" s="607" t="str">
        <f t="shared" si="28"/>
        <v/>
      </c>
      <c r="K124" s="208" t="str">
        <f t="shared" si="29"/>
        <v/>
      </c>
      <c r="L124" s="208" t="str">
        <f t="shared" si="30"/>
        <v/>
      </c>
      <c r="M124" s="208" t="str">
        <f t="shared" si="42"/>
        <v/>
      </c>
      <c r="N124" s="608" t="str">
        <f>IF($D$3="", "", IFERROR(VLOOKUP(L124,'PIPE INCENTIVE'!$B$4:$E$19,2,FALSE),""))</f>
        <v/>
      </c>
      <c r="O124" s="608" t="str">
        <f t="shared" si="43"/>
        <v/>
      </c>
      <c r="P124" s="208" t="str">
        <f t="shared" si="44"/>
        <v/>
      </c>
      <c r="Q124" s="208" t="str">
        <f t="shared" si="31"/>
        <v/>
      </c>
      <c r="R124" s="609" t="str">
        <f t="shared" si="32"/>
        <v/>
      </c>
      <c r="S124" s="609" t="str">
        <f t="shared" si="33"/>
        <v/>
      </c>
      <c r="T124" s="609" t="str">
        <f t="shared" si="34"/>
        <v/>
      </c>
      <c r="U124" s="609" t="str" cm="1">
        <f t="array" ref="U124">IFERROR(IF($D$3="","",_xlfn.LET(_xlpm.Mixed,AND(COUNTIF($G$34:$G$533,"Heating_Hot_Water")&gt;0,(COUNTIF($G$34:$G$533,"Steam_Low_Pressure") + COUNTIF($G$34:$G$533,"Steam_Medium_Pressure") + COUNTIF($G$34:$G$533,"Steam_High_Pressure"))&gt;0),_xlpm.fluid, G124,_xlpm.fuel, K124,_xlpm.load,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4" s="609" t="str">
        <f t="shared" si="45"/>
        <v/>
      </c>
      <c r="W124" s="482"/>
      <c r="X124" s="397" t="str" cm="1">
        <f t="array" ref="X124">IFERROR(IF($D$3="","", _xlfn.XLOOKUP(1,($AR$36:$AR$53=F124)*($AS$36:$AS$53=G124), INDEX($AT$36:$BJ$53,,_xlfn.XMATCH(E124,$AT$35:$BJ$35)))),"")</f>
        <v/>
      </c>
      <c r="Y124" s="480"/>
      <c r="Z124" s="482"/>
      <c r="AA124" s="607" t="str" cm="1">
        <f t="array" ref="AA124">IFERROR(IF($D$3="", "", _xlfn.LET(_xlpm.dia, E124, _xlpm.thk, Z124, _xlpm.temp, I124,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4" s="397" t="str" cm="1">
        <f t="array" ref="AB124">IFERROR(IF($D$3="", "", _xlfn.XLOOKUP(1,($AR$57:$AR$76=Y124)*($AS$57:$AS$76=Z124), INDEX($AT$57:$BJ$76,,_xlfn.XMATCH(E124,$AT$56:$BJ$56)))),"")</f>
        <v/>
      </c>
      <c r="AC124" s="208" t="str">
        <f t="shared" si="35"/>
        <v/>
      </c>
      <c r="AD124" s="397" t="str">
        <f t="shared" si="36"/>
        <v/>
      </c>
      <c r="AE124" s="610" t="str">
        <f t="shared" si="37"/>
        <v/>
      </c>
      <c r="AF124" s="610" t="str">
        <f t="shared" si="38"/>
        <v/>
      </c>
      <c r="AG124" s="610" t="str">
        <f t="shared" si="39"/>
        <v/>
      </c>
      <c r="AH124" s="608" t="str">
        <f t="shared" si="40"/>
        <v/>
      </c>
      <c r="AI124" s="610" t="str">
        <f t="shared" si="41"/>
        <v/>
      </c>
      <c r="AM124" s="686" t="s">
        <v>288</v>
      </c>
      <c r="AN124" s="129" t="e">
        <f>$AN$120*$D$27</f>
        <v>#DIV/0!</v>
      </c>
      <c r="AP124" s="681" t="s">
        <v>289</v>
      </c>
      <c r="AQ124" s="76" t="s">
        <v>290</v>
      </c>
      <c r="AS124" s="668" t="s">
        <v>291</v>
      </c>
      <c r="AT124" s="383" t="s">
        <v>245</v>
      </c>
    </row>
    <row r="125" spans="2:46" ht="15" customHeight="1" x14ac:dyDescent="0.25">
      <c r="B125" s="209">
        <v>92</v>
      </c>
      <c r="C125" s="480"/>
      <c r="D125" s="480"/>
      <c r="E125" s="481"/>
      <c r="F125" s="480"/>
      <c r="G125" s="480"/>
      <c r="H125" s="607" t="str">
        <f t="shared" si="26"/>
        <v/>
      </c>
      <c r="I125" s="607" t="str">
        <f t="shared" si="27"/>
        <v/>
      </c>
      <c r="J125" s="607" t="str">
        <f t="shared" si="28"/>
        <v/>
      </c>
      <c r="K125" s="208" t="str">
        <f t="shared" si="29"/>
        <v/>
      </c>
      <c r="L125" s="208" t="str">
        <f t="shared" si="30"/>
        <v/>
      </c>
      <c r="M125" s="208" t="str">
        <f t="shared" si="42"/>
        <v/>
      </c>
      <c r="N125" s="608" t="str">
        <f>IF($D$3="", "", IFERROR(VLOOKUP(L125,'PIPE INCENTIVE'!$B$4:$E$19,2,FALSE),""))</f>
        <v/>
      </c>
      <c r="O125" s="608" t="str">
        <f t="shared" si="43"/>
        <v/>
      </c>
      <c r="P125" s="208" t="str">
        <f t="shared" si="44"/>
        <v/>
      </c>
      <c r="Q125" s="208" t="str">
        <f t="shared" si="31"/>
        <v/>
      </c>
      <c r="R125" s="609" t="str">
        <f t="shared" si="32"/>
        <v/>
      </c>
      <c r="S125" s="609" t="str">
        <f t="shared" si="33"/>
        <v/>
      </c>
      <c r="T125" s="609" t="str">
        <f t="shared" si="34"/>
        <v/>
      </c>
      <c r="U125" s="609" t="str" cm="1">
        <f t="array" ref="U125">IFERROR(IF($D$3="","",_xlfn.LET(_xlpm.Mixed,AND(COUNTIF($G$34:$G$533,"Heating_Hot_Water")&gt;0,(COUNTIF($G$34:$G$533,"Steam_Low_Pressure") + COUNTIF($G$34:$G$533,"Steam_Medium_Pressure") + COUNTIF($G$34:$G$533,"Steam_High_Pressure"))&gt;0),_xlpm.fluid, G125,_xlpm.fuel, K125,_xlpm.load,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5" s="609" t="str">
        <f t="shared" si="45"/>
        <v/>
      </c>
      <c r="W125" s="482"/>
      <c r="X125" s="397" t="str" cm="1">
        <f t="array" ref="X125">IFERROR(IF($D$3="","", _xlfn.XLOOKUP(1,($AR$36:$AR$53=F125)*($AS$36:$AS$53=G125), INDEX($AT$36:$BJ$53,,_xlfn.XMATCH(E125,$AT$35:$BJ$35)))),"")</f>
        <v/>
      </c>
      <c r="Y125" s="480"/>
      <c r="Z125" s="482"/>
      <c r="AA125" s="607" t="str" cm="1">
        <f t="array" ref="AA125">IFERROR(IF($D$3="", "", _xlfn.LET(_xlpm.dia, E125, _xlpm.thk, Z125, _xlpm.temp, I125,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5" s="397" t="str" cm="1">
        <f t="array" ref="AB125">IFERROR(IF($D$3="", "", _xlfn.XLOOKUP(1,($AR$57:$AR$76=Y125)*($AS$57:$AS$76=Z125), INDEX($AT$57:$BJ$76,,_xlfn.XMATCH(E125,$AT$56:$BJ$56)))),"")</f>
        <v/>
      </c>
      <c r="AC125" s="208" t="str">
        <f t="shared" si="35"/>
        <v/>
      </c>
      <c r="AD125" s="397" t="str">
        <f t="shared" si="36"/>
        <v/>
      </c>
      <c r="AE125" s="610" t="str">
        <f t="shared" si="37"/>
        <v/>
      </c>
      <c r="AF125" s="610" t="str">
        <f t="shared" si="38"/>
        <v/>
      </c>
      <c r="AG125" s="610" t="str">
        <f t="shared" si="39"/>
        <v/>
      </c>
      <c r="AH125" s="608" t="str">
        <f t="shared" si="40"/>
        <v/>
      </c>
      <c r="AI125" s="610" t="str">
        <f t="shared" si="41"/>
        <v/>
      </c>
      <c r="AM125" s="687" t="s">
        <v>292</v>
      </c>
      <c r="AN125" s="131" t="e">
        <f>$AN$121*$D$27</f>
        <v>#DIV/0!</v>
      </c>
      <c r="AP125" s="681" t="s">
        <v>293</v>
      </c>
      <c r="AQ125" s="76" t="s">
        <v>294</v>
      </c>
      <c r="AS125" s="115" t="s">
        <v>246</v>
      </c>
      <c r="AT125" s="692" t="s">
        <v>194</v>
      </c>
    </row>
    <row r="126" spans="2:46" x14ac:dyDescent="0.25">
      <c r="B126" s="209">
        <v>93</v>
      </c>
      <c r="C126" s="480"/>
      <c r="D126" s="480"/>
      <c r="E126" s="481"/>
      <c r="F126" s="480"/>
      <c r="G126" s="480"/>
      <c r="H126" s="607" t="str">
        <f t="shared" si="26"/>
        <v/>
      </c>
      <c r="I126" s="607" t="str">
        <f t="shared" si="27"/>
        <v/>
      </c>
      <c r="J126" s="607" t="str">
        <f t="shared" si="28"/>
        <v/>
      </c>
      <c r="K126" s="208" t="str">
        <f t="shared" si="29"/>
        <v/>
      </c>
      <c r="L126" s="208" t="str">
        <f t="shared" si="30"/>
        <v/>
      </c>
      <c r="M126" s="208" t="str">
        <f t="shared" si="42"/>
        <v/>
      </c>
      <c r="N126" s="608" t="str">
        <f>IF($D$3="", "", IFERROR(VLOOKUP(L126,'PIPE INCENTIVE'!$B$4:$E$19,2,FALSE),""))</f>
        <v/>
      </c>
      <c r="O126" s="608" t="str">
        <f t="shared" si="43"/>
        <v/>
      </c>
      <c r="P126" s="208" t="str">
        <f t="shared" si="44"/>
        <v/>
      </c>
      <c r="Q126" s="208" t="str">
        <f t="shared" si="31"/>
        <v/>
      </c>
      <c r="R126" s="609" t="str">
        <f t="shared" si="32"/>
        <v/>
      </c>
      <c r="S126" s="609" t="str">
        <f t="shared" si="33"/>
        <v/>
      </c>
      <c r="T126" s="609" t="str">
        <f t="shared" si="34"/>
        <v/>
      </c>
      <c r="U126" s="609" t="str" cm="1">
        <f t="array" ref="U126">IFERROR(IF($D$3="","",_xlfn.LET(_xlpm.Mixed,AND(COUNTIF($G$34:$G$533,"Heating_Hot_Water")&gt;0,(COUNTIF($G$34:$G$533,"Steam_Low_Pressure") + COUNTIF($G$34:$G$533,"Steam_Medium_Pressure") + COUNTIF($G$34:$G$533,"Steam_High_Pressure"))&gt;0),_xlpm.fluid, G126,_xlpm.fuel, K126,_xlpm.load,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6" s="609" t="str">
        <f t="shared" si="45"/>
        <v/>
      </c>
      <c r="W126" s="482"/>
      <c r="X126" s="397" t="str" cm="1">
        <f t="array" ref="X126">IFERROR(IF($D$3="","", _xlfn.XLOOKUP(1,($AR$36:$AR$53=F126)*($AS$36:$AS$53=G126), INDEX($AT$36:$BJ$53,,_xlfn.XMATCH(E126,$AT$35:$BJ$35)))),"")</f>
        <v/>
      </c>
      <c r="Y126" s="480"/>
      <c r="Z126" s="482"/>
      <c r="AA126" s="607" t="str" cm="1">
        <f t="array" ref="AA126">IFERROR(IF($D$3="", "", _xlfn.LET(_xlpm.dia, E126, _xlpm.thk, Z126, _xlpm.temp, I126,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6" s="397" t="str" cm="1">
        <f t="array" ref="AB126">IFERROR(IF($D$3="", "", _xlfn.XLOOKUP(1,($AR$57:$AR$76=Y126)*($AS$57:$AS$76=Z126), INDEX($AT$57:$BJ$76,,_xlfn.XMATCH(E126,$AT$56:$BJ$56)))),"")</f>
        <v/>
      </c>
      <c r="AC126" s="208" t="str">
        <f t="shared" si="35"/>
        <v/>
      </c>
      <c r="AD126" s="397" t="str">
        <f t="shared" si="36"/>
        <v/>
      </c>
      <c r="AE126" s="610" t="str">
        <f t="shared" si="37"/>
        <v/>
      </c>
      <c r="AF126" s="610" t="str">
        <f t="shared" si="38"/>
        <v/>
      </c>
      <c r="AG126" s="610" t="str">
        <f t="shared" si="39"/>
        <v/>
      </c>
      <c r="AH126" s="608" t="str">
        <f t="shared" si="40"/>
        <v/>
      </c>
      <c r="AI126" s="610" t="str">
        <f t="shared" si="41"/>
        <v/>
      </c>
      <c r="AM126" s="688" t="s">
        <v>295</v>
      </c>
      <c r="AN126" s="693" t="e">
        <f>AN124+AN125</f>
        <v>#DIV/0!</v>
      </c>
      <c r="AP126" s="681" t="s">
        <v>296</v>
      </c>
      <c r="AQ126" s="76" t="s">
        <v>297</v>
      </c>
      <c r="AS126" s="116" t="s">
        <v>247</v>
      </c>
      <c r="AT126" s="678" t="s">
        <v>192</v>
      </c>
    </row>
    <row r="127" spans="2:46" x14ac:dyDescent="0.25">
      <c r="B127" s="209">
        <v>94</v>
      </c>
      <c r="C127" s="480"/>
      <c r="D127" s="480"/>
      <c r="E127" s="481"/>
      <c r="F127" s="480"/>
      <c r="G127" s="480"/>
      <c r="H127" s="607" t="str">
        <f t="shared" si="26"/>
        <v/>
      </c>
      <c r="I127" s="607" t="str">
        <f t="shared" si="27"/>
        <v/>
      </c>
      <c r="J127" s="607" t="str">
        <f t="shared" si="28"/>
        <v/>
      </c>
      <c r="K127" s="208" t="str">
        <f t="shared" si="29"/>
        <v/>
      </c>
      <c r="L127" s="208" t="str">
        <f t="shared" si="30"/>
        <v/>
      </c>
      <c r="M127" s="208" t="str">
        <f t="shared" si="42"/>
        <v/>
      </c>
      <c r="N127" s="608" t="str">
        <f>IF($D$3="", "", IFERROR(VLOOKUP(L127,'PIPE INCENTIVE'!$B$4:$E$19,2,FALSE),""))</f>
        <v/>
      </c>
      <c r="O127" s="608" t="str">
        <f t="shared" si="43"/>
        <v/>
      </c>
      <c r="P127" s="208" t="str">
        <f t="shared" si="44"/>
        <v/>
      </c>
      <c r="Q127" s="208" t="str">
        <f t="shared" si="31"/>
        <v/>
      </c>
      <c r="R127" s="609" t="str">
        <f t="shared" si="32"/>
        <v/>
      </c>
      <c r="S127" s="609" t="str">
        <f t="shared" si="33"/>
        <v/>
      </c>
      <c r="T127" s="609" t="str">
        <f t="shared" si="34"/>
        <v/>
      </c>
      <c r="U127" s="609" t="str" cm="1">
        <f t="array" ref="U127">IFERROR(IF($D$3="","",_xlfn.LET(_xlpm.Mixed,AND(COUNTIF($G$34:$G$533,"Heating_Hot_Water")&gt;0,(COUNTIF($G$34:$G$533,"Steam_Low_Pressure") + COUNTIF($G$34:$G$533,"Steam_Medium_Pressure") + COUNTIF($G$34:$G$533,"Steam_High_Pressure"))&gt;0),_xlpm.fluid, G127,_xlpm.fuel, K127,_xlpm.load,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7" s="609" t="str">
        <f t="shared" si="45"/>
        <v/>
      </c>
      <c r="W127" s="482"/>
      <c r="X127" s="397" t="str" cm="1">
        <f t="array" ref="X127">IFERROR(IF($D$3="","", _xlfn.XLOOKUP(1,($AR$36:$AR$53=F127)*($AS$36:$AS$53=G127), INDEX($AT$36:$BJ$53,,_xlfn.XMATCH(E127,$AT$35:$BJ$35)))),"")</f>
        <v/>
      </c>
      <c r="Y127" s="480"/>
      <c r="Z127" s="482"/>
      <c r="AA127" s="607" t="str" cm="1">
        <f t="array" ref="AA127">IFERROR(IF($D$3="", "", _xlfn.LET(_xlpm.dia, E127, _xlpm.thk, Z127, _xlpm.temp, I127,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7" s="397" t="str" cm="1">
        <f t="array" ref="AB127">IFERROR(IF($D$3="", "", _xlfn.XLOOKUP(1,($AR$57:$AR$76=Y127)*($AS$57:$AS$76=Z127), INDEX($AT$57:$BJ$76,,_xlfn.XMATCH(E127,$AT$56:$BJ$56)))),"")</f>
        <v/>
      </c>
      <c r="AC127" s="208" t="str">
        <f t="shared" si="35"/>
        <v/>
      </c>
      <c r="AD127" s="397" t="str">
        <f t="shared" si="36"/>
        <v/>
      </c>
      <c r="AE127" s="610" t="str">
        <f t="shared" si="37"/>
        <v/>
      </c>
      <c r="AF127" s="610" t="str">
        <f t="shared" si="38"/>
        <v/>
      </c>
      <c r="AG127" s="610" t="str">
        <f t="shared" si="39"/>
        <v/>
      </c>
      <c r="AH127" s="608" t="str">
        <f t="shared" si="40"/>
        <v/>
      </c>
      <c r="AI127" s="610" t="str">
        <f t="shared" si="41"/>
        <v/>
      </c>
      <c r="AM127" s="690" t="s">
        <v>285</v>
      </c>
      <c r="AN127" s="691" t="e">
        <f>IF(AN126=D27, "Ok", "Error")</f>
        <v>#DIV/0!</v>
      </c>
      <c r="AP127" s="681" t="s">
        <v>298</v>
      </c>
      <c r="AQ127" s="76" t="s">
        <v>299</v>
      </c>
      <c r="AS127" s="116" t="s">
        <v>249</v>
      </c>
      <c r="AT127" s="678" t="s">
        <v>194</v>
      </c>
    </row>
    <row r="128" spans="2:46" x14ac:dyDescent="0.25">
      <c r="B128" s="209">
        <v>95</v>
      </c>
      <c r="C128" s="480"/>
      <c r="D128" s="480"/>
      <c r="E128" s="481"/>
      <c r="F128" s="480"/>
      <c r="G128" s="480"/>
      <c r="H128" s="607" t="str">
        <f t="shared" si="26"/>
        <v/>
      </c>
      <c r="I128" s="607" t="str">
        <f t="shared" si="27"/>
        <v/>
      </c>
      <c r="J128" s="607" t="str">
        <f t="shared" si="28"/>
        <v/>
      </c>
      <c r="K128" s="208" t="str">
        <f t="shared" si="29"/>
        <v/>
      </c>
      <c r="L128" s="208" t="str">
        <f t="shared" si="30"/>
        <v/>
      </c>
      <c r="M128" s="208" t="str">
        <f t="shared" si="42"/>
        <v/>
      </c>
      <c r="N128" s="608" t="str">
        <f>IF($D$3="", "", IFERROR(VLOOKUP(L128,'PIPE INCENTIVE'!$B$4:$E$19,2,FALSE),""))</f>
        <v/>
      </c>
      <c r="O128" s="608" t="str">
        <f t="shared" si="43"/>
        <v/>
      </c>
      <c r="P128" s="208" t="str">
        <f t="shared" si="44"/>
        <v/>
      </c>
      <c r="Q128" s="208" t="str">
        <f t="shared" si="31"/>
        <v/>
      </c>
      <c r="R128" s="609" t="str">
        <f t="shared" si="32"/>
        <v/>
      </c>
      <c r="S128" s="609" t="str">
        <f t="shared" si="33"/>
        <v/>
      </c>
      <c r="T128" s="609" t="str">
        <f t="shared" si="34"/>
        <v/>
      </c>
      <c r="U128" s="609" t="str" cm="1">
        <f t="array" ref="U128">IFERROR(IF($D$3="","",_xlfn.LET(_xlpm.Mixed,AND(COUNTIF($G$34:$G$533,"Heating_Hot_Water")&gt;0,(COUNTIF($G$34:$G$533,"Steam_Low_Pressure") + COUNTIF($G$34:$G$533,"Steam_Medium_Pressure") + COUNTIF($G$34:$G$533,"Steam_High_Pressure"))&gt;0),_xlpm.fluid, G128,_xlpm.fuel, K128,_xlpm.load,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8" s="609" t="str">
        <f t="shared" si="45"/>
        <v/>
      </c>
      <c r="W128" s="482"/>
      <c r="X128" s="397" t="str" cm="1">
        <f t="array" ref="X128">IFERROR(IF($D$3="","", _xlfn.XLOOKUP(1,($AR$36:$AR$53=F128)*($AS$36:$AS$53=G128), INDEX($AT$36:$BJ$53,,_xlfn.XMATCH(E128,$AT$35:$BJ$35)))),"")</f>
        <v/>
      </c>
      <c r="Y128" s="480"/>
      <c r="Z128" s="482"/>
      <c r="AA128" s="607" t="str" cm="1">
        <f t="array" ref="AA128">IFERROR(IF($D$3="", "", _xlfn.LET(_xlpm.dia, E128, _xlpm.thk, Z128, _xlpm.temp, I128,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8" s="397" t="str" cm="1">
        <f t="array" ref="AB128">IFERROR(IF($D$3="", "", _xlfn.XLOOKUP(1,($AR$57:$AR$76=Y128)*($AS$57:$AS$76=Z128), INDEX($AT$57:$BJ$76,,_xlfn.XMATCH(E128,$AT$56:$BJ$56)))),"")</f>
        <v/>
      </c>
      <c r="AC128" s="208" t="str">
        <f t="shared" si="35"/>
        <v/>
      </c>
      <c r="AD128" s="397" t="str">
        <f t="shared" si="36"/>
        <v/>
      </c>
      <c r="AE128" s="610" t="str">
        <f t="shared" si="37"/>
        <v/>
      </c>
      <c r="AF128" s="610" t="str">
        <f t="shared" si="38"/>
        <v/>
      </c>
      <c r="AG128" s="610" t="str">
        <f t="shared" si="39"/>
        <v/>
      </c>
      <c r="AH128" s="608" t="str">
        <f t="shared" si="40"/>
        <v/>
      </c>
      <c r="AI128" s="610" t="str">
        <f t="shared" si="41"/>
        <v/>
      </c>
      <c r="AQ128" s="76" t="s">
        <v>300</v>
      </c>
      <c r="AS128" s="116" t="s">
        <v>255</v>
      </c>
      <c r="AT128" s="678" t="s">
        <v>194</v>
      </c>
    </row>
    <row r="129" spans="2:46" x14ac:dyDescent="0.25">
      <c r="B129" s="209">
        <v>96</v>
      </c>
      <c r="C129" s="480"/>
      <c r="D129" s="480"/>
      <c r="E129" s="481"/>
      <c r="F129" s="480"/>
      <c r="G129" s="480"/>
      <c r="H129" s="607" t="str">
        <f t="shared" si="26"/>
        <v/>
      </c>
      <c r="I129" s="607" t="str">
        <f t="shared" si="27"/>
        <v/>
      </c>
      <c r="J129" s="607" t="str">
        <f t="shared" si="28"/>
        <v/>
      </c>
      <c r="K129" s="208" t="str">
        <f t="shared" si="29"/>
        <v/>
      </c>
      <c r="L129" s="208" t="str">
        <f t="shared" si="30"/>
        <v/>
      </c>
      <c r="M129" s="208" t="str">
        <f t="shared" si="42"/>
        <v/>
      </c>
      <c r="N129" s="608" t="str">
        <f>IF($D$3="", "", IFERROR(VLOOKUP(L129,'PIPE INCENTIVE'!$B$4:$E$19,2,FALSE),""))</f>
        <v/>
      </c>
      <c r="O129" s="608" t="str">
        <f t="shared" si="43"/>
        <v/>
      </c>
      <c r="P129" s="208" t="str">
        <f t="shared" si="44"/>
        <v/>
      </c>
      <c r="Q129" s="208" t="str">
        <f t="shared" si="31"/>
        <v/>
      </c>
      <c r="R129" s="609" t="str">
        <f t="shared" si="32"/>
        <v/>
      </c>
      <c r="S129" s="609" t="str">
        <f t="shared" si="33"/>
        <v/>
      </c>
      <c r="T129" s="609" t="str">
        <f t="shared" si="34"/>
        <v/>
      </c>
      <c r="U129" s="609" t="str" cm="1">
        <f t="array" ref="U129">IFERROR(IF($D$3="","",_xlfn.LET(_xlpm.Mixed,AND(COUNTIF($G$34:$G$533,"Heating_Hot_Water")&gt;0,(COUNTIF($G$34:$G$533,"Steam_Low_Pressure") + COUNTIF($G$34:$G$533,"Steam_Medium_Pressure") + COUNTIF($G$34:$G$533,"Steam_High_Pressure"))&gt;0),_xlpm.fluid, G129,_xlpm.fuel, K129,_xlpm.load,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29" s="609" t="str">
        <f t="shared" si="45"/>
        <v/>
      </c>
      <c r="W129" s="482"/>
      <c r="X129" s="397" t="str" cm="1">
        <f t="array" ref="X129">IFERROR(IF($D$3="","", _xlfn.XLOOKUP(1,($AR$36:$AR$53=F129)*($AS$36:$AS$53=G129), INDEX($AT$36:$BJ$53,,_xlfn.XMATCH(E129,$AT$35:$BJ$35)))),"")</f>
        <v/>
      </c>
      <c r="Y129" s="480"/>
      <c r="Z129" s="482"/>
      <c r="AA129" s="607" t="str" cm="1">
        <f t="array" ref="AA129">IFERROR(IF($D$3="", "", _xlfn.LET(_xlpm.dia, E129, _xlpm.thk, Z129, _xlpm.temp, I129,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29" s="397" t="str" cm="1">
        <f t="array" ref="AB129">IFERROR(IF($D$3="", "", _xlfn.XLOOKUP(1,($AR$57:$AR$76=Y129)*($AS$57:$AS$76=Z129), INDEX($AT$57:$BJ$76,,_xlfn.XMATCH(E129,$AT$56:$BJ$56)))),"")</f>
        <v/>
      </c>
      <c r="AC129" s="208" t="str">
        <f t="shared" si="35"/>
        <v/>
      </c>
      <c r="AD129" s="397" t="str">
        <f t="shared" si="36"/>
        <v/>
      </c>
      <c r="AE129" s="610" t="str">
        <f t="shared" si="37"/>
        <v/>
      </c>
      <c r="AF129" s="610" t="str">
        <f t="shared" si="38"/>
        <v/>
      </c>
      <c r="AG129" s="610" t="str">
        <f t="shared" si="39"/>
        <v/>
      </c>
      <c r="AH129" s="608" t="str">
        <f t="shared" si="40"/>
        <v/>
      </c>
      <c r="AI129" s="610" t="str">
        <f t="shared" si="41"/>
        <v/>
      </c>
      <c r="AM129" s="688" t="s">
        <v>301</v>
      </c>
      <c r="AN129" s="486" t="e">
        <f>VLOOKUP(IF($D$7="Large C &amp; I (LCI)","LCI","SMB") &amp; "_Electric_" &amp; $D$8 &amp; "_DAC" &amp; $D$9,'PIPE INCENTIVE'!$B$4:$D$19,3,FALSE)</f>
        <v>#N/A</v>
      </c>
      <c r="AQ129" s="76" t="s">
        <v>302</v>
      </c>
      <c r="AS129" s="682" t="s">
        <v>259</v>
      </c>
      <c r="AT129" s="678" t="s">
        <v>192</v>
      </c>
    </row>
    <row r="130" spans="2:46" x14ac:dyDescent="0.25">
      <c r="B130" s="209">
        <v>97</v>
      </c>
      <c r="C130" s="480"/>
      <c r="D130" s="480"/>
      <c r="E130" s="481"/>
      <c r="F130" s="480"/>
      <c r="G130" s="480"/>
      <c r="H130" s="607" t="str">
        <f t="shared" si="26"/>
        <v/>
      </c>
      <c r="I130" s="607" t="str">
        <f t="shared" si="27"/>
        <v/>
      </c>
      <c r="J130" s="607" t="str">
        <f t="shared" si="28"/>
        <v/>
      </c>
      <c r="K130" s="208" t="str">
        <f t="shared" si="29"/>
        <v/>
      </c>
      <c r="L130" s="208" t="str">
        <f t="shared" si="30"/>
        <v/>
      </c>
      <c r="M130" s="208" t="str">
        <f t="shared" si="42"/>
        <v/>
      </c>
      <c r="N130" s="608" t="str">
        <f>IF($D$3="", "", IFERROR(VLOOKUP(L130,'PIPE INCENTIVE'!$B$4:$E$19,2,FALSE),""))</f>
        <v/>
      </c>
      <c r="O130" s="608" t="str">
        <f t="shared" si="43"/>
        <v/>
      </c>
      <c r="P130" s="208" t="str">
        <f t="shared" si="44"/>
        <v/>
      </c>
      <c r="Q130" s="208" t="str">
        <f t="shared" si="31"/>
        <v/>
      </c>
      <c r="R130" s="609" t="str">
        <f t="shared" si="32"/>
        <v/>
      </c>
      <c r="S130" s="609" t="str">
        <f t="shared" si="33"/>
        <v/>
      </c>
      <c r="T130" s="609" t="str">
        <f t="shared" si="34"/>
        <v/>
      </c>
      <c r="U130" s="609" t="str" cm="1">
        <f t="array" ref="U130">IFERROR(IF($D$3="","",_xlfn.LET(_xlpm.Mixed,AND(COUNTIF($G$34:$G$533,"Heating_Hot_Water")&gt;0,(COUNTIF($G$34:$G$533,"Steam_Low_Pressure") + COUNTIF($G$34:$G$533,"Steam_Medium_Pressure") + COUNTIF($G$34:$G$533,"Steam_High_Pressure"))&gt;0),_xlpm.fluid, G130,_xlpm.fuel, K130,_xlpm.load,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0" s="609" t="str">
        <f t="shared" si="45"/>
        <v/>
      </c>
      <c r="W130" s="482"/>
      <c r="X130" s="397" t="str" cm="1">
        <f t="array" ref="X130">IFERROR(IF($D$3="","", _xlfn.XLOOKUP(1,($AR$36:$AR$53=F130)*($AS$36:$AS$53=G130), INDEX($AT$36:$BJ$53,,_xlfn.XMATCH(E130,$AT$35:$BJ$35)))),"")</f>
        <v/>
      </c>
      <c r="Y130" s="480"/>
      <c r="Z130" s="482"/>
      <c r="AA130" s="607" t="str" cm="1">
        <f t="array" ref="AA130">IFERROR(IF($D$3="", "", _xlfn.LET(_xlpm.dia, E130, _xlpm.thk, Z130, _xlpm.temp, I130,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0" s="397" t="str" cm="1">
        <f t="array" ref="AB130">IFERROR(IF($D$3="", "", _xlfn.XLOOKUP(1,($AR$57:$AR$76=Y130)*($AS$57:$AS$76=Z130), INDEX($AT$57:$BJ$76,,_xlfn.XMATCH(E130,$AT$56:$BJ$56)))),"")</f>
        <v/>
      </c>
      <c r="AC130" s="208" t="str">
        <f t="shared" si="35"/>
        <v/>
      </c>
      <c r="AD130" s="397" t="str">
        <f t="shared" si="36"/>
        <v/>
      </c>
      <c r="AE130" s="610" t="str">
        <f t="shared" si="37"/>
        <v/>
      </c>
      <c r="AF130" s="610" t="str">
        <f t="shared" si="38"/>
        <v/>
      </c>
      <c r="AG130" s="610" t="str">
        <f t="shared" si="39"/>
        <v/>
      </c>
      <c r="AH130" s="608" t="str">
        <f t="shared" si="40"/>
        <v/>
      </c>
      <c r="AI130" s="610" t="str">
        <f t="shared" si="41"/>
        <v/>
      </c>
      <c r="AM130" s="688" t="s">
        <v>303</v>
      </c>
      <c r="AN130" s="486" t="e">
        <f>VLOOKUP(IF($D$7="Large C &amp; I (LCI)","LCI","SMB") &amp; "_Gas_" &amp; $D$8 &amp; "_DAC" &amp; $D$9,'PIPE INCENTIVE'!$B$4:$D$19,3,FALSE)</f>
        <v>#N/A</v>
      </c>
      <c r="AQ130" s="76" t="s">
        <v>304</v>
      </c>
      <c r="AS130" s="694" t="s">
        <v>195</v>
      </c>
      <c r="AT130" s="695" t="s">
        <v>195</v>
      </c>
    </row>
    <row r="131" spans="2:46" x14ac:dyDescent="0.25">
      <c r="B131" s="209">
        <v>98</v>
      </c>
      <c r="C131" s="480"/>
      <c r="D131" s="480"/>
      <c r="E131" s="481"/>
      <c r="F131" s="480"/>
      <c r="G131" s="480"/>
      <c r="H131" s="607" t="str">
        <f t="shared" si="26"/>
        <v/>
      </c>
      <c r="I131" s="607" t="str">
        <f t="shared" si="27"/>
        <v/>
      </c>
      <c r="J131" s="607" t="str">
        <f t="shared" si="28"/>
        <v/>
      </c>
      <c r="K131" s="208" t="str">
        <f t="shared" si="29"/>
        <v/>
      </c>
      <c r="L131" s="208" t="str">
        <f t="shared" si="30"/>
        <v/>
      </c>
      <c r="M131" s="208" t="str">
        <f t="shared" si="42"/>
        <v/>
      </c>
      <c r="N131" s="608" t="str">
        <f>IF($D$3="", "", IFERROR(VLOOKUP(L131,'PIPE INCENTIVE'!$B$4:$E$19,2,FALSE),""))</f>
        <v/>
      </c>
      <c r="O131" s="608" t="str">
        <f t="shared" si="43"/>
        <v/>
      </c>
      <c r="P131" s="208" t="str">
        <f t="shared" si="44"/>
        <v/>
      </c>
      <c r="Q131" s="208" t="str">
        <f t="shared" si="31"/>
        <v/>
      </c>
      <c r="R131" s="609" t="str">
        <f t="shared" si="32"/>
        <v/>
      </c>
      <c r="S131" s="609" t="str">
        <f t="shared" si="33"/>
        <v/>
      </c>
      <c r="T131" s="609" t="str">
        <f t="shared" si="34"/>
        <v/>
      </c>
      <c r="U131" s="609" t="str" cm="1">
        <f t="array" ref="U131">IFERROR(IF($D$3="","",_xlfn.LET(_xlpm.Mixed,AND(COUNTIF($G$34:$G$533,"Heating_Hot_Water")&gt;0,(COUNTIF($G$34:$G$533,"Steam_Low_Pressure") + COUNTIF($G$34:$G$533,"Steam_Medium_Pressure") + COUNTIF($G$34:$G$533,"Steam_High_Pressure"))&gt;0),_xlpm.fluid, G131,_xlpm.fuel, K131,_xlpm.load,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1" s="609" t="str">
        <f t="shared" si="45"/>
        <v/>
      </c>
      <c r="W131" s="482"/>
      <c r="X131" s="397" t="str" cm="1">
        <f t="array" ref="X131">IFERROR(IF($D$3="","", _xlfn.XLOOKUP(1,($AR$36:$AR$53=F131)*($AS$36:$AS$53=G131), INDEX($AT$36:$BJ$53,,_xlfn.XMATCH(E131,$AT$35:$BJ$35)))),"")</f>
        <v/>
      </c>
      <c r="Y131" s="480"/>
      <c r="Z131" s="482"/>
      <c r="AA131" s="607" t="str" cm="1">
        <f t="array" ref="AA131">IFERROR(IF($D$3="", "", _xlfn.LET(_xlpm.dia, E131, _xlpm.thk, Z131, _xlpm.temp, I131,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1" s="397" t="str" cm="1">
        <f t="array" ref="AB131">IFERROR(IF($D$3="", "", _xlfn.XLOOKUP(1,($AR$57:$AR$76=Y131)*($AS$57:$AS$76=Z131), INDEX($AT$57:$BJ$76,,_xlfn.XMATCH(E131,$AT$56:$BJ$56)))),"")</f>
        <v/>
      </c>
      <c r="AC131" s="208" t="str">
        <f t="shared" si="35"/>
        <v/>
      </c>
      <c r="AD131" s="397" t="str">
        <f t="shared" si="36"/>
        <v/>
      </c>
      <c r="AE131" s="610" t="str">
        <f t="shared" si="37"/>
        <v/>
      </c>
      <c r="AF131" s="610" t="str">
        <f t="shared" si="38"/>
        <v/>
      </c>
      <c r="AG131" s="610" t="str">
        <f t="shared" si="39"/>
        <v/>
      </c>
      <c r="AH131" s="608" t="str">
        <f t="shared" si="40"/>
        <v/>
      </c>
      <c r="AI131" s="610" t="str">
        <f t="shared" si="41"/>
        <v/>
      </c>
      <c r="AM131" s="81"/>
      <c r="AQ131" s="76" t="s">
        <v>305</v>
      </c>
      <c r="AS131" s="72" t="s">
        <v>306</v>
      </c>
      <c r="AT131" s="72" t="e">
        <f>VLOOKUP($D$17,$AS$125:$AT$130,2,FALSE)</f>
        <v>#N/A</v>
      </c>
    </row>
    <row r="132" spans="2:46" x14ac:dyDescent="0.25">
      <c r="B132" s="209">
        <v>99</v>
      </c>
      <c r="C132" s="480"/>
      <c r="D132" s="480"/>
      <c r="E132" s="481"/>
      <c r="F132" s="480"/>
      <c r="G132" s="480"/>
      <c r="H132" s="607" t="str">
        <f t="shared" si="26"/>
        <v/>
      </c>
      <c r="I132" s="607" t="str">
        <f t="shared" si="27"/>
        <v/>
      </c>
      <c r="J132" s="607" t="str">
        <f t="shared" si="28"/>
        <v/>
      </c>
      <c r="K132" s="208" t="str">
        <f t="shared" si="29"/>
        <v/>
      </c>
      <c r="L132" s="208" t="str">
        <f t="shared" si="30"/>
        <v/>
      </c>
      <c r="M132" s="208" t="str">
        <f t="shared" si="42"/>
        <v/>
      </c>
      <c r="N132" s="608" t="str">
        <f>IF($D$3="", "", IFERROR(VLOOKUP(L132,'PIPE INCENTIVE'!$B$4:$E$19,2,FALSE),""))</f>
        <v/>
      </c>
      <c r="O132" s="608" t="str">
        <f t="shared" si="43"/>
        <v/>
      </c>
      <c r="P132" s="208" t="str">
        <f t="shared" si="44"/>
        <v/>
      </c>
      <c r="Q132" s="208" t="str">
        <f t="shared" si="31"/>
        <v/>
      </c>
      <c r="R132" s="609" t="str">
        <f t="shared" si="32"/>
        <v/>
      </c>
      <c r="S132" s="609" t="str">
        <f t="shared" si="33"/>
        <v/>
      </c>
      <c r="T132" s="609" t="str">
        <f t="shared" si="34"/>
        <v/>
      </c>
      <c r="U132" s="609" t="str" cm="1">
        <f t="array" ref="U132">IFERROR(IF($D$3="","",_xlfn.LET(_xlpm.Mixed,AND(COUNTIF($G$34:$G$533,"Heating_Hot_Water")&gt;0,(COUNTIF($G$34:$G$533,"Steam_Low_Pressure") + COUNTIF($G$34:$G$533,"Steam_Medium_Pressure") + COUNTIF($G$34:$G$533,"Steam_High_Pressure"))&gt;0),_xlpm.fluid, G132,_xlpm.fuel, K132,_xlpm.load,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2" s="609" t="str">
        <f t="shared" si="45"/>
        <v/>
      </c>
      <c r="W132" s="482"/>
      <c r="X132" s="397" t="str" cm="1">
        <f t="array" ref="X132">IFERROR(IF($D$3="","", _xlfn.XLOOKUP(1,($AR$36:$AR$53=F132)*($AS$36:$AS$53=G132), INDEX($AT$36:$BJ$53,,_xlfn.XMATCH(E132,$AT$35:$BJ$35)))),"")</f>
        <v/>
      </c>
      <c r="Y132" s="480"/>
      <c r="Z132" s="482"/>
      <c r="AA132" s="607" t="str" cm="1">
        <f t="array" ref="AA132">IFERROR(IF($D$3="", "", _xlfn.LET(_xlpm.dia, E132, _xlpm.thk, Z132, _xlpm.temp, I132,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2" s="397" t="str" cm="1">
        <f t="array" ref="AB132">IFERROR(IF($D$3="", "", _xlfn.XLOOKUP(1,($AR$57:$AR$76=Y132)*($AS$57:$AS$76=Z132), INDEX($AT$57:$BJ$76,,_xlfn.XMATCH(E132,$AT$56:$BJ$56)))),"")</f>
        <v/>
      </c>
      <c r="AC132" s="208" t="str">
        <f t="shared" si="35"/>
        <v/>
      </c>
      <c r="AD132" s="397" t="str">
        <f t="shared" si="36"/>
        <v/>
      </c>
      <c r="AE132" s="610" t="str">
        <f t="shared" si="37"/>
        <v/>
      </c>
      <c r="AF132" s="610" t="str">
        <f t="shared" si="38"/>
        <v/>
      </c>
      <c r="AG132" s="610" t="str">
        <f t="shared" si="39"/>
        <v/>
      </c>
      <c r="AH132" s="608" t="str">
        <f t="shared" si="40"/>
        <v/>
      </c>
      <c r="AI132" s="610" t="str">
        <f t="shared" si="41"/>
        <v/>
      </c>
      <c r="AM132" s="686" t="s">
        <v>307</v>
      </c>
      <c r="AN132" s="696" t="e">
        <f>AN124*AN129</f>
        <v>#DIV/0!</v>
      </c>
      <c r="AQ132" s="76" t="s">
        <v>308</v>
      </c>
    </row>
    <row r="133" spans="2:46" x14ac:dyDescent="0.25">
      <c r="B133" s="209">
        <v>100</v>
      </c>
      <c r="C133" s="480"/>
      <c r="D133" s="480"/>
      <c r="E133" s="481"/>
      <c r="F133" s="480"/>
      <c r="G133" s="480"/>
      <c r="H133" s="607" t="str">
        <f t="shared" si="26"/>
        <v/>
      </c>
      <c r="I133" s="607" t="str">
        <f t="shared" si="27"/>
        <v/>
      </c>
      <c r="J133" s="607" t="str">
        <f t="shared" si="28"/>
        <v/>
      </c>
      <c r="K133" s="208" t="str">
        <f t="shared" si="29"/>
        <v/>
      </c>
      <c r="L133" s="208" t="str">
        <f t="shared" si="30"/>
        <v/>
      </c>
      <c r="M133" s="208" t="str">
        <f t="shared" si="42"/>
        <v/>
      </c>
      <c r="N133" s="608" t="str">
        <f>IF($D$3="", "", IFERROR(VLOOKUP(L133,'PIPE INCENTIVE'!$B$4:$E$19,2,FALSE),""))</f>
        <v/>
      </c>
      <c r="O133" s="608" t="str">
        <f t="shared" si="43"/>
        <v/>
      </c>
      <c r="P133" s="208" t="str">
        <f t="shared" si="44"/>
        <v/>
      </c>
      <c r="Q133" s="208" t="str">
        <f t="shared" si="31"/>
        <v/>
      </c>
      <c r="R133" s="609" t="str">
        <f t="shared" si="32"/>
        <v/>
      </c>
      <c r="S133" s="609" t="str">
        <f t="shared" si="33"/>
        <v/>
      </c>
      <c r="T133" s="609" t="str">
        <f t="shared" si="34"/>
        <v/>
      </c>
      <c r="U133" s="609" t="str" cm="1">
        <f t="array" ref="U133">IFERROR(IF($D$3="","",_xlfn.LET(_xlpm.Mixed,AND(COUNTIF($G$34:$G$533,"Heating_Hot_Water")&gt;0,(COUNTIF($G$34:$G$533,"Steam_Low_Pressure") + COUNTIF($G$34:$G$533,"Steam_Medium_Pressure") + COUNTIF($G$34:$G$533,"Steam_High_Pressure"))&gt;0),_xlpm.fluid, G133,_xlpm.fuel, K133,_xlpm.load,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3" s="609" t="str">
        <f t="shared" si="45"/>
        <v/>
      </c>
      <c r="W133" s="482"/>
      <c r="X133" s="397" t="str" cm="1">
        <f t="array" ref="X133">IFERROR(IF($D$3="","", _xlfn.XLOOKUP(1,($AR$36:$AR$53=F133)*($AS$36:$AS$53=G133), INDEX($AT$36:$BJ$53,,_xlfn.XMATCH(E133,$AT$35:$BJ$35)))),"")</f>
        <v/>
      </c>
      <c r="Y133" s="480"/>
      <c r="Z133" s="482"/>
      <c r="AA133" s="607" t="str" cm="1">
        <f t="array" ref="AA133">IFERROR(IF($D$3="", "", _xlfn.LET(_xlpm.dia, E133, _xlpm.thk, Z133, _xlpm.temp, I133,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3" s="397" t="str" cm="1">
        <f t="array" ref="AB133">IFERROR(IF($D$3="", "", _xlfn.XLOOKUP(1,($AR$57:$AR$76=Y133)*($AS$57:$AS$76=Z133), INDEX($AT$57:$BJ$76,,_xlfn.XMATCH(E133,$AT$56:$BJ$56)))),"")</f>
        <v/>
      </c>
      <c r="AC133" s="208" t="str">
        <f t="shared" si="35"/>
        <v/>
      </c>
      <c r="AD133" s="397" t="str">
        <f t="shared" si="36"/>
        <v/>
      </c>
      <c r="AE133" s="610" t="str">
        <f t="shared" si="37"/>
        <v/>
      </c>
      <c r="AF133" s="610" t="str">
        <f t="shared" si="38"/>
        <v/>
      </c>
      <c r="AG133" s="610" t="str">
        <f t="shared" si="39"/>
        <v/>
      </c>
      <c r="AH133" s="608" t="str">
        <f t="shared" si="40"/>
        <v/>
      </c>
      <c r="AI133" s="610" t="str">
        <f t="shared" si="41"/>
        <v/>
      </c>
      <c r="AM133" s="687" t="s">
        <v>309</v>
      </c>
      <c r="AN133" s="697" t="e">
        <f>AN125*AN130</f>
        <v>#DIV/0!</v>
      </c>
      <c r="AQ133" s="76" t="s">
        <v>310</v>
      </c>
    </row>
    <row r="134" spans="2:46" x14ac:dyDescent="0.25">
      <c r="B134" s="209">
        <v>101</v>
      </c>
      <c r="C134" s="480"/>
      <c r="D134" s="480"/>
      <c r="E134" s="481"/>
      <c r="F134" s="480"/>
      <c r="G134" s="480"/>
      <c r="H134" s="607" t="str">
        <f t="shared" si="26"/>
        <v/>
      </c>
      <c r="I134" s="607" t="str">
        <f t="shared" si="27"/>
        <v/>
      </c>
      <c r="J134" s="607" t="str">
        <f t="shared" si="28"/>
        <v/>
      </c>
      <c r="K134" s="208" t="str">
        <f t="shared" si="29"/>
        <v/>
      </c>
      <c r="L134" s="208" t="str">
        <f t="shared" si="30"/>
        <v/>
      </c>
      <c r="M134" s="208" t="str">
        <f t="shared" si="42"/>
        <v/>
      </c>
      <c r="N134" s="608" t="str">
        <f>IF($D$3="", "", IFERROR(VLOOKUP(L134,'PIPE INCENTIVE'!$B$4:$E$19,2,FALSE),""))</f>
        <v/>
      </c>
      <c r="O134" s="608" t="str">
        <f t="shared" si="43"/>
        <v/>
      </c>
      <c r="P134" s="208" t="str">
        <f t="shared" si="44"/>
        <v/>
      </c>
      <c r="Q134" s="208" t="str">
        <f t="shared" si="31"/>
        <v/>
      </c>
      <c r="R134" s="609" t="str">
        <f t="shared" si="32"/>
        <v/>
      </c>
      <c r="S134" s="609" t="str">
        <f t="shared" si="33"/>
        <v/>
      </c>
      <c r="T134" s="609" t="str">
        <f t="shared" si="34"/>
        <v/>
      </c>
      <c r="U134" s="609" t="str" cm="1">
        <f t="array" ref="U134">IFERROR(IF($D$3="","",_xlfn.LET(_xlpm.Mixed,AND(COUNTIF($G$34:$G$533,"Heating_Hot_Water")&gt;0,(COUNTIF($G$34:$G$533,"Steam_Low_Pressure") + COUNTIF($G$34:$G$533,"Steam_Medium_Pressure") + COUNTIF($G$34:$G$533,"Steam_High_Pressure"))&gt;0),_xlpm.fluid, G134,_xlpm.fuel, K134,_xlpm.load,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4" s="609" t="str">
        <f t="shared" si="45"/>
        <v/>
      </c>
      <c r="W134" s="482"/>
      <c r="X134" s="397" t="str" cm="1">
        <f t="array" ref="X134">IFERROR(IF($D$3="","", _xlfn.XLOOKUP(1,($AR$36:$AR$53=F134)*($AS$36:$AS$53=G134), INDEX($AT$36:$BJ$53,,_xlfn.XMATCH(E134,$AT$35:$BJ$35)))),"")</f>
        <v/>
      </c>
      <c r="Y134" s="480"/>
      <c r="Z134" s="482"/>
      <c r="AA134" s="607" t="str" cm="1">
        <f t="array" ref="AA134">IFERROR(IF($D$3="", "", _xlfn.LET(_xlpm.dia, E134, _xlpm.thk, Z134, _xlpm.temp, I134,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4" s="397" t="str" cm="1">
        <f t="array" ref="AB134">IFERROR(IF($D$3="", "", _xlfn.XLOOKUP(1,($AR$57:$AR$76=Y134)*($AS$57:$AS$76=Z134), INDEX($AT$57:$BJ$76,,_xlfn.XMATCH(E134,$AT$56:$BJ$56)))),"")</f>
        <v/>
      </c>
      <c r="AC134" s="208" t="str">
        <f t="shared" si="35"/>
        <v/>
      </c>
      <c r="AD134" s="397" t="str">
        <f t="shared" si="36"/>
        <v/>
      </c>
      <c r="AE134" s="610" t="str">
        <f t="shared" si="37"/>
        <v/>
      </c>
      <c r="AF134" s="610" t="str">
        <f t="shared" si="38"/>
        <v/>
      </c>
      <c r="AG134" s="610" t="str">
        <f t="shared" si="39"/>
        <v/>
      </c>
      <c r="AH134" s="608" t="str">
        <f t="shared" si="40"/>
        <v/>
      </c>
      <c r="AI134" s="610" t="str">
        <f t="shared" si="41"/>
        <v/>
      </c>
      <c r="AM134" s="81"/>
      <c r="AQ134" s="76" t="s">
        <v>311</v>
      </c>
    </row>
    <row r="135" spans="2:46" x14ac:dyDescent="0.25">
      <c r="B135" s="209">
        <v>102</v>
      </c>
      <c r="C135" s="480"/>
      <c r="D135" s="480"/>
      <c r="E135" s="481"/>
      <c r="F135" s="480"/>
      <c r="G135" s="480"/>
      <c r="H135" s="607" t="str">
        <f t="shared" si="26"/>
        <v/>
      </c>
      <c r="I135" s="607" t="str">
        <f t="shared" si="27"/>
        <v/>
      </c>
      <c r="J135" s="607" t="str">
        <f t="shared" si="28"/>
        <v/>
      </c>
      <c r="K135" s="208" t="str">
        <f t="shared" si="29"/>
        <v/>
      </c>
      <c r="L135" s="208" t="str">
        <f t="shared" si="30"/>
        <v/>
      </c>
      <c r="M135" s="208" t="str">
        <f t="shared" si="42"/>
        <v/>
      </c>
      <c r="N135" s="608" t="str">
        <f>IF($D$3="", "", IFERROR(VLOOKUP(L135,'PIPE INCENTIVE'!$B$4:$E$19,2,FALSE),""))</f>
        <v/>
      </c>
      <c r="O135" s="608" t="str">
        <f t="shared" si="43"/>
        <v/>
      </c>
      <c r="P135" s="208" t="str">
        <f t="shared" si="44"/>
        <v/>
      </c>
      <c r="Q135" s="208" t="str">
        <f t="shared" si="31"/>
        <v/>
      </c>
      <c r="R135" s="609" t="str">
        <f t="shared" si="32"/>
        <v/>
      </c>
      <c r="S135" s="609" t="str">
        <f t="shared" si="33"/>
        <v/>
      </c>
      <c r="T135" s="609" t="str">
        <f t="shared" si="34"/>
        <v/>
      </c>
      <c r="U135" s="609" t="str" cm="1">
        <f t="array" ref="U135">IFERROR(IF($D$3="","",_xlfn.LET(_xlpm.Mixed,AND(COUNTIF($G$34:$G$533,"Heating_Hot_Water")&gt;0,(COUNTIF($G$34:$G$533,"Steam_Low_Pressure") + COUNTIF($G$34:$G$533,"Steam_Medium_Pressure") + COUNTIF($G$34:$G$533,"Steam_High_Pressure"))&gt;0),_xlpm.fluid, G135,_xlpm.fuel, K135,_xlpm.load,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5" s="609" t="str">
        <f t="shared" si="45"/>
        <v/>
      </c>
      <c r="W135" s="482"/>
      <c r="X135" s="397" t="str" cm="1">
        <f t="array" ref="X135">IFERROR(IF($D$3="","", _xlfn.XLOOKUP(1,($AR$36:$AR$53=F135)*($AS$36:$AS$53=G135), INDEX($AT$36:$BJ$53,,_xlfn.XMATCH(E135,$AT$35:$BJ$35)))),"")</f>
        <v/>
      </c>
      <c r="Y135" s="480"/>
      <c r="Z135" s="482"/>
      <c r="AA135" s="607" t="str" cm="1">
        <f t="array" ref="AA135">IFERROR(IF($D$3="", "", _xlfn.LET(_xlpm.dia, E135, _xlpm.thk, Z135, _xlpm.temp, I135,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5" s="397" t="str" cm="1">
        <f t="array" ref="AB135">IFERROR(IF($D$3="", "", _xlfn.XLOOKUP(1,($AR$57:$AR$76=Y135)*($AS$57:$AS$76=Z135), INDEX($AT$57:$BJ$76,,_xlfn.XMATCH(E135,$AT$56:$BJ$56)))),"")</f>
        <v/>
      </c>
      <c r="AC135" s="208" t="str">
        <f t="shared" si="35"/>
        <v/>
      </c>
      <c r="AD135" s="397" t="str">
        <f t="shared" si="36"/>
        <v/>
      </c>
      <c r="AE135" s="610" t="str">
        <f t="shared" si="37"/>
        <v/>
      </c>
      <c r="AF135" s="610" t="str">
        <f t="shared" si="38"/>
        <v/>
      </c>
      <c r="AG135" s="610" t="str">
        <f t="shared" si="39"/>
        <v/>
      </c>
      <c r="AH135" s="608" t="str">
        <f t="shared" si="40"/>
        <v/>
      </c>
      <c r="AI135" s="610" t="str">
        <f t="shared" si="41"/>
        <v/>
      </c>
      <c r="AM135" s="686" t="s">
        <v>312</v>
      </c>
      <c r="AN135" s="696">
        <f>SUMIF($O$34:$O$533,"Electric",$AH$34:$AH$533)</f>
        <v>0</v>
      </c>
      <c r="AQ135" s="76" t="s">
        <v>313</v>
      </c>
    </row>
    <row r="136" spans="2:46" x14ac:dyDescent="0.25">
      <c r="B136" s="209">
        <v>103</v>
      </c>
      <c r="C136" s="480"/>
      <c r="D136" s="480"/>
      <c r="E136" s="481"/>
      <c r="F136" s="480"/>
      <c r="G136" s="480"/>
      <c r="H136" s="607" t="str">
        <f t="shared" si="26"/>
        <v/>
      </c>
      <c r="I136" s="607" t="str">
        <f t="shared" si="27"/>
        <v/>
      </c>
      <c r="J136" s="607" t="str">
        <f t="shared" si="28"/>
        <v/>
      </c>
      <c r="K136" s="208" t="str">
        <f t="shared" si="29"/>
        <v/>
      </c>
      <c r="L136" s="208" t="str">
        <f t="shared" si="30"/>
        <v/>
      </c>
      <c r="M136" s="208" t="str">
        <f t="shared" si="42"/>
        <v/>
      </c>
      <c r="N136" s="608" t="str">
        <f>IF($D$3="", "", IFERROR(VLOOKUP(L136,'PIPE INCENTIVE'!$B$4:$E$19,2,FALSE),""))</f>
        <v/>
      </c>
      <c r="O136" s="608" t="str">
        <f t="shared" si="43"/>
        <v/>
      </c>
      <c r="P136" s="208" t="str">
        <f t="shared" si="44"/>
        <v/>
      </c>
      <c r="Q136" s="208" t="str">
        <f t="shared" si="31"/>
        <v/>
      </c>
      <c r="R136" s="609" t="str">
        <f t="shared" si="32"/>
        <v/>
      </c>
      <c r="S136" s="609" t="str">
        <f t="shared" si="33"/>
        <v/>
      </c>
      <c r="T136" s="609" t="str">
        <f t="shared" si="34"/>
        <v/>
      </c>
      <c r="U136" s="609" t="str" cm="1">
        <f t="array" ref="U136">IFERROR(IF($D$3="","",_xlfn.LET(_xlpm.Mixed,AND(COUNTIF($G$34:$G$533,"Heating_Hot_Water")&gt;0,(COUNTIF($G$34:$G$533,"Steam_Low_Pressure") + COUNTIF($G$34:$G$533,"Steam_Medium_Pressure") + COUNTIF($G$34:$G$533,"Steam_High_Pressure"))&gt;0),_xlpm.fluid, G136,_xlpm.fuel, K136,_xlpm.load,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6" s="609" t="str">
        <f t="shared" si="45"/>
        <v/>
      </c>
      <c r="W136" s="482"/>
      <c r="X136" s="397" t="str" cm="1">
        <f t="array" ref="X136">IFERROR(IF($D$3="","", _xlfn.XLOOKUP(1,($AR$36:$AR$53=F136)*($AS$36:$AS$53=G136), INDEX($AT$36:$BJ$53,,_xlfn.XMATCH(E136,$AT$35:$BJ$35)))),"")</f>
        <v/>
      </c>
      <c r="Y136" s="480"/>
      <c r="Z136" s="482"/>
      <c r="AA136" s="607" t="str" cm="1">
        <f t="array" ref="AA136">IFERROR(IF($D$3="", "", _xlfn.LET(_xlpm.dia, E136, _xlpm.thk, Z136, _xlpm.temp, I136,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6" s="397" t="str" cm="1">
        <f t="array" ref="AB136">IFERROR(IF($D$3="", "", _xlfn.XLOOKUP(1,($AR$57:$AR$76=Y136)*($AS$57:$AS$76=Z136), INDEX($AT$57:$BJ$76,,_xlfn.XMATCH(E136,$AT$56:$BJ$56)))),"")</f>
        <v/>
      </c>
      <c r="AC136" s="208" t="str">
        <f t="shared" si="35"/>
        <v/>
      </c>
      <c r="AD136" s="397" t="str">
        <f t="shared" si="36"/>
        <v/>
      </c>
      <c r="AE136" s="610" t="str">
        <f t="shared" si="37"/>
        <v/>
      </c>
      <c r="AF136" s="610" t="str">
        <f t="shared" si="38"/>
        <v/>
      </c>
      <c r="AG136" s="610" t="str">
        <f t="shared" si="39"/>
        <v/>
      </c>
      <c r="AH136" s="608" t="str">
        <f t="shared" si="40"/>
        <v/>
      </c>
      <c r="AI136" s="610" t="str">
        <f t="shared" si="41"/>
        <v/>
      </c>
      <c r="AM136" s="687" t="s">
        <v>314</v>
      </c>
      <c r="AN136" s="697">
        <f>SUMIF($O$34:$O$533,"Gas",$AH$34:$AH$533)</f>
        <v>0</v>
      </c>
    </row>
    <row r="137" spans="2:46" x14ac:dyDescent="0.25">
      <c r="B137" s="209">
        <v>104</v>
      </c>
      <c r="C137" s="480"/>
      <c r="D137" s="480"/>
      <c r="E137" s="481"/>
      <c r="F137" s="480"/>
      <c r="G137" s="480"/>
      <c r="H137" s="607" t="str">
        <f t="shared" si="26"/>
        <v/>
      </c>
      <c r="I137" s="607" t="str">
        <f t="shared" si="27"/>
        <v/>
      </c>
      <c r="J137" s="607" t="str">
        <f t="shared" si="28"/>
        <v/>
      </c>
      <c r="K137" s="208" t="str">
        <f t="shared" si="29"/>
        <v/>
      </c>
      <c r="L137" s="208" t="str">
        <f t="shared" si="30"/>
        <v/>
      </c>
      <c r="M137" s="208" t="str">
        <f t="shared" si="42"/>
        <v/>
      </c>
      <c r="N137" s="608" t="str">
        <f>IF($D$3="", "", IFERROR(VLOOKUP(L137,'PIPE INCENTIVE'!$B$4:$E$19,2,FALSE),""))</f>
        <v/>
      </c>
      <c r="O137" s="608" t="str">
        <f t="shared" si="43"/>
        <v/>
      </c>
      <c r="P137" s="208" t="str">
        <f t="shared" si="44"/>
        <v/>
      </c>
      <c r="Q137" s="208" t="str">
        <f t="shared" si="31"/>
        <v/>
      </c>
      <c r="R137" s="609" t="str">
        <f t="shared" si="32"/>
        <v/>
      </c>
      <c r="S137" s="609" t="str">
        <f t="shared" si="33"/>
        <v/>
      </c>
      <c r="T137" s="609" t="str">
        <f t="shared" si="34"/>
        <v/>
      </c>
      <c r="U137" s="609" t="str" cm="1">
        <f t="array" ref="U137">IFERROR(IF($D$3="","",_xlfn.LET(_xlpm.Mixed,AND(COUNTIF($G$34:$G$533,"Heating_Hot_Water")&gt;0,(COUNTIF($G$34:$G$533,"Steam_Low_Pressure") + COUNTIF($G$34:$G$533,"Steam_Medium_Pressure") + COUNTIF($G$34:$G$533,"Steam_High_Pressure"))&gt;0),_xlpm.fluid, G137,_xlpm.fuel, K137,_xlpm.load,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7" s="609" t="str">
        <f t="shared" si="45"/>
        <v/>
      </c>
      <c r="W137" s="482"/>
      <c r="X137" s="397" t="str" cm="1">
        <f t="array" ref="X137">IFERROR(IF($D$3="","", _xlfn.XLOOKUP(1,($AR$36:$AR$53=F137)*($AS$36:$AS$53=G137), INDEX($AT$36:$BJ$53,,_xlfn.XMATCH(E137,$AT$35:$BJ$35)))),"")</f>
        <v/>
      </c>
      <c r="Y137" s="480"/>
      <c r="Z137" s="482"/>
      <c r="AA137" s="607" t="str" cm="1">
        <f t="array" ref="AA137">IFERROR(IF($D$3="", "", _xlfn.LET(_xlpm.dia, E137, _xlpm.thk, Z137, _xlpm.temp, I137,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7" s="397" t="str" cm="1">
        <f t="array" ref="AB137">IFERROR(IF($D$3="", "", _xlfn.XLOOKUP(1,($AR$57:$AR$76=Y137)*($AS$57:$AS$76=Z137), INDEX($AT$57:$BJ$76,,_xlfn.XMATCH(E137,$AT$56:$BJ$56)))),"")</f>
        <v/>
      </c>
      <c r="AC137" s="208" t="str">
        <f t="shared" si="35"/>
        <v/>
      </c>
      <c r="AD137" s="397" t="str">
        <f t="shared" si="36"/>
        <v/>
      </c>
      <c r="AE137" s="610" t="str">
        <f t="shared" si="37"/>
        <v/>
      </c>
      <c r="AF137" s="610" t="str">
        <f t="shared" si="38"/>
        <v/>
      </c>
      <c r="AG137" s="610" t="str">
        <f t="shared" si="39"/>
        <v/>
      </c>
      <c r="AH137" s="608" t="str">
        <f t="shared" si="40"/>
        <v/>
      </c>
      <c r="AI137" s="610" t="str">
        <f t="shared" si="41"/>
        <v/>
      </c>
    </row>
    <row r="138" spans="2:46" x14ac:dyDescent="0.25">
      <c r="B138" s="209">
        <v>105</v>
      </c>
      <c r="C138" s="480"/>
      <c r="D138" s="480"/>
      <c r="E138" s="481"/>
      <c r="F138" s="480"/>
      <c r="G138" s="480"/>
      <c r="H138" s="607" t="str">
        <f t="shared" si="26"/>
        <v/>
      </c>
      <c r="I138" s="607" t="str">
        <f t="shared" si="27"/>
        <v/>
      </c>
      <c r="J138" s="607" t="str">
        <f t="shared" si="28"/>
        <v/>
      </c>
      <c r="K138" s="208" t="str">
        <f t="shared" si="29"/>
        <v/>
      </c>
      <c r="L138" s="208" t="str">
        <f t="shared" si="30"/>
        <v/>
      </c>
      <c r="M138" s="208" t="str">
        <f t="shared" si="42"/>
        <v/>
      </c>
      <c r="N138" s="608" t="str">
        <f>IF($D$3="", "", IFERROR(VLOOKUP(L138,'PIPE INCENTIVE'!$B$4:$E$19,2,FALSE),""))</f>
        <v/>
      </c>
      <c r="O138" s="608" t="str">
        <f t="shared" si="43"/>
        <v/>
      </c>
      <c r="P138" s="208" t="str">
        <f t="shared" si="44"/>
        <v/>
      </c>
      <c r="Q138" s="208" t="str">
        <f t="shared" si="31"/>
        <v/>
      </c>
      <c r="R138" s="609" t="str">
        <f t="shared" si="32"/>
        <v/>
      </c>
      <c r="S138" s="609" t="str">
        <f t="shared" si="33"/>
        <v/>
      </c>
      <c r="T138" s="609" t="str">
        <f t="shared" si="34"/>
        <v/>
      </c>
      <c r="U138" s="609" t="str" cm="1">
        <f t="array" ref="U138">IFERROR(IF($D$3="","",_xlfn.LET(_xlpm.Mixed,AND(COUNTIF($G$34:$G$533,"Heating_Hot_Water")&gt;0,(COUNTIF($G$34:$G$533,"Steam_Low_Pressure") + COUNTIF($G$34:$G$533,"Steam_Medium_Pressure") + COUNTIF($G$34:$G$533,"Steam_High_Pressure"))&gt;0),_xlpm.fluid, G138,_xlpm.fuel, K138,_xlpm.load,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8" s="609" t="str">
        <f t="shared" si="45"/>
        <v/>
      </c>
      <c r="W138" s="482"/>
      <c r="X138" s="397" t="str" cm="1">
        <f t="array" ref="X138">IFERROR(IF($D$3="","", _xlfn.XLOOKUP(1,($AR$36:$AR$53=F138)*($AS$36:$AS$53=G138), INDEX($AT$36:$BJ$53,,_xlfn.XMATCH(E138,$AT$35:$BJ$35)))),"")</f>
        <v/>
      </c>
      <c r="Y138" s="480"/>
      <c r="Z138" s="482"/>
      <c r="AA138" s="607" t="str" cm="1">
        <f t="array" ref="AA138">IFERROR(IF($D$3="", "", _xlfn.LET(_xlpm.dia, E138, _xlpm.thk, Z138, _xlpm.temp, I138,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8" s="397" t="str" cm="1">
        <f t="array" ref="AB138">IFERROR(IF($D$3="", "", _xlfn.XLOOKUP(1,($AR$57:$AR$76=Y138)*($AS$57:$AS$76=Z138), INDEX($AT$57:$BJ$76,,_xlfn.XMATCH(E138,$AT$56:$BJ$56)))),"")</f>
        <v/>
      </c>
      <c r="AC138" s="208" t="str">
        <f t="shared" si="35"/>
        <v/>
      </c>
      <c r="AD138" s="397" t="str">
        <f t="shared" si="36"/>
        <v/>
      </c>
      <c r="AE138" s="610" t="str">
        <f t="shared" si="37"/>
        <v/>
      </c>
      <c r="AF138" s="610" t="str">
        <f t="shared" si="38"/>
        <v/>
      </c>
      <c r="AG138" s="610" t="str">
        <f t="shared" si="39"/>
        <v/>
      </c>
      <c r="AH138" s="608" t="str">
        <f t="shared" si="40"/>
        <v/>
      </c>
      <c r="AI138" s="610" t="str">
        <f t="shared" si="41"/>
        <v/>
      </c>
      <c r="AM138" s="688" t="s">
        <v>315</v>
      </c>
      <c r="AN138" s="693">
        <f>IF(LEFT($L$34,3)="LCI",'PIPE INCENTIVE'!$E$8,'PIPE INCENTIVE'!$E$16)</f>
        <v>50000</v>
      </c>
    </row>
    <row r="139" spans="2:46" x14ac:dyDescent="0.25">
      <c r="B139" s="209">
        <v>106</v>
      </c>
      <c r="C139" s="480"/>
      <c r="D139" s="480"/>
      <c r="E139" s="481"/>
      <c r="F139" s="480"/>
      <c r="G139" s="480"/>
      <c r="H139" s="607" t="str">
        <f t="shared" si="26"/>
        <v/>
      </c>
      <c r="I139" s="607" t="str">
        <f t="shared" si="27"/>
        <v/>
      </c>
      <c r="J139" s="607" t="str">
        <f t="shared" si="28"/>
        <v/>
      </c>
      <c r="K139" s="208" t="str">
        <f t="shared" si="29"/>
        <v/>
      </c>
      <c r="L139" s="208" t="str">
        <f t="shared" si="30"/>
        <v/>
      </c>
      <c r="M139" s="208" t="str">
        <f t="shared" si="42"/>
        <v/>
      </c>
      <c r="N139" s="608" t="str">
        <f>IF($D$3="", "", IFERROR(VLOOKUP(L139,'PIPE INCENTIVE'!$B$4:$E$19,2,FALSE),""))</f>
        <v/>
      </c>
      <c r="O139" s="608" t="str">
        <f t="shared" si="43"/>
        <v/>
      </c>
      <c r="P139" s="208" t="str">
        <f t="shared" si="44"/>
        <v/>
      </c>
      <c r="Q139" s="208" t="str">
        <f t="shared" si="31"/>
        <v/>
      </c>
      <c r="R139" s="609" t="str">
        <f t="shared" si="32"/>
        <v/>
      </c>
      <c r="S139" s="609" t="str">
        <f t="shared" si="33"/>
        <v/>
      </c>
      <c r="T139" s="609" t="str">
        <f t="shared" si="34"/>
        <v/>
      </c>
      <c r="U139" s="609" t="str" cm="1">
        <f t="array" ref="U139">IFERROR(IF($D$3="","",_xlfn.LET(_xlpm.Mixed,AND(COUNTIF($G$34:$G$533,"Heating_Hot_Water")&gt;0,(COUNTIF($G$34:$G$533,"Steam_Low_Pressure") + COUNTIF($G$34:$G$533,"Steam_Medium_Pressure") + COUNTIF($G$34:$G$533,"Steam_High_Pressure"))&gt;0),_xlpm.fluid, G139,_xlpm.fuel, K139,_xlpm.load,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39" s="609" t="str">
        <f t="shared" si="45"/>
        <v/>
      </c>
      <c r="W139" s="482"/>
      <c r="X139" s="397" t="str" cm="1">
        <f t="array" ref="X139">IFERROR(IF($D$3="","", _xlfn.XLOOKUP(1,($AR$36:$AR$53=F139)*($AS$36:$AS$53=G139), INDEX($AT$36:$BJ$53,,_xlfn.XMATCH(E139,$AT$35:$BJ$35)))),"")</f>
        <v/>
      </c>
      <c r="Y139" s="480"/>
      <c r="Z139" s="482"/>
      <c r="AA139" s="607" t="str" cm="1">
        <f t="array" ref="AA139">IFERROR(IF($D$3="", "", _xlfn.LET(_xlpm.dia, E139, _xlpm.thk, Z139, _xlpm.temp, I139,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39" s="397" t="str" cm="1">
        <f t="array" ref="AB139">IFERROR(IF($D$3="", "", _xlfn.XLOOKUP(1,($AR$57:$AR$76=Y139)*($AS$57:$AS$76=Z139), INDEX($AT$57:$BJ$76,,_xlfn.XMATCH(E139,$AT$56:$BJ$56)))),"")</f>
        <v/>
      </c>
      <c r="AC139" s="208" t="str">
        <f t="shared" si="35"/>
        <v/>
      </c>
      <c r="AD139" s="397" t="str">
        <f t="shared" si="36"/>
        <v/>
      </c>
      <c r="AE139" s="610" t="str">
        <f t="shared" si="37"/>
        <v/>
      </c>
      <c r="AF139" s="610" t="str">
        <f t="shared" si="38"/>
        <v/>
      </c>
      <c r="AG139" s="610" t="str">
        <f t="shared" si="39"/>
        <v/>
      </c>
      <c r="AH139" s="608" t="str">
        <f t="shared" si="40"/>
        <v/>
      </c>
      <c r="AI139" s="610" t="str">
        <f t="shared" si="41"/>
        <v/>
      </c>
      <c r="AM139" s="687" t="s">
        <v>316</v>
      </c>
      <c r="AN139" s="131">
        <f>IF(LEFT($L$34,3)="LCI",'PIPE INCENTIVE'!$E$4,'PIPE INCENTIVE'!$E$12)</f>
        <v>50000</v>
      </c>
    </row>
    <row r="140" spans="2:46" x14ac:dyDescent="0.25">
      <c r="B140" s="209">
        <v>107</v>
      </c>
      <c r="C140" s="480"/>
      <c r="D140" s="480"/>
      <c r="E140" s="481"/>
      <c r="F140" s="480"/>
      <c r="G140" s="480"/>
      <c r="H140" s="607" t="str">
        <f t="shared" si="26"/>
        <v/>
      </c>
      <c r="I140" s="607" t="str">
        <f t="shared" si="27"/>
        <v/>
      </c>
      <c r="J140" s="607" t="str">
        <f t="shared" si="28"/>
        <v/>
      </c>
      <c r="K140" s="208" t="str">
        <f t="shared" si="29"/>
        <v/>
      </c>
      <c r="L140" s="208" t="str">
        <f t="shared" si="30"/>
        <v/>
      </c>
      <c r="M140" s="208" t="str">
        <f t="shared" si="42"/>
        <v/>
      </c>
      <c r="N140" s="608" t="str">
        <f>IF($D$3="", "", IFERROR(VLOOKUP(L140,'PIPE INCENTIVE'!$B$4:$E$19,2,FALSE),""))</f>
        <v/>
      </c>
      <c r="O140" s="608" t="str">
        <f t="shared" si="43"/>
        <v/>
      </c>
      <c r="P140" s="208" t="str">
        <f t="shared" si="44"/>
        <v/>
      </c>
      <c r="Q140" s="208" t="str">
        <f t="shared" si="31"/>
        <v/>
      </c>
      <c r="R140" s="609" t="str">
        <f t="shared" si="32"/>
        <v/>
      </c>
      <c r="S140" s="609" t="str">
        <f t="shared" si="33"/>
        <v/>
      </c>
      <c r="T140" s="609" t="str">
        <f t="shared" si="34"/>
        <v/>
      </c>
      <c r="U140" s="609" t="str" cm="1">
        <f t="array" ref="U140">IFERROR(IF($D$3="","",_xlfn.LET(_xlpm.Mixed,AND(COUNTIF($G$34:$G$533,"Heating_Hot_Water")&gt;0,(COUNTIF($G$34:$G$533,"Steam_Low_Pressure") + COUNTIF($G$34:$G$533,"Steam_Medium_Pressure") + COUNTIF($G$34:$G$533,"Steam_High_Pressure"))&gt;0),_xlpm.fluid, G140,_xlpm.fuel, K140,_xlpm.load,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0" s="609" t="str">
        <f t="shared" si="45"/>
        <v/>
      </c>
      <c r="W140" s="482"/>
      <c r="X140" s="397" t="str" cm="1">
        <f t="array" ref="X140">IFERROR(IF($D$3="","", _xlfn.XLOOKUP(1,($AR$36:$AR$53=F140)*($AS$36:$AS$53=G140), INDEX($AT$36:$BJ$53,,_xlfn.XMATCH(E140,$AT$35:$BJ$35)))),"")</f>
        <v/>
      </c>
      <c r="Y140" s="480"/>
      <c r="Z140" s="482"/>
      <c r="AA140" s="607" t="str" cm="1">
        <f t="array" ref="AA140">IFERROR(IF($D$3="", "", _xlfn.LET(_xlpm.dia, E140, _xlpm.thk, Z140, _xlpm.temp, I140,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0" s="397" t="str" cm="1">
        <f t="array" ref="AB140">IFERROR(IF($D$3="", "", _xlfn.XLOOKUP(1,($AR$57:$AR$76=Y140)*($AS$57:$AS$76=Z140), INDEX($AT$57:$BJ$76,,_xlfn.XMATCH(E140,$AT$56:$BJ$56)))),"")</f>
        <v/>
      </c>
      <c r="AC140" s="208" t="str">
        <f t="shared" si="35"/>
        <v/>
      </c>
      <c r="AD140" s="397" t="str">
        <f t="shared" si="36"/>
        <v/>
      </c>
      <c r="AE140" s="610" t="str">
        <f t="shared" si="37"/>
        <v/>
      </c>
      <c r="AF140" s="610" t="str">
        <f t="shared" si="38"/>
        <v/>
      </c>
      <c r="AG140" s="610" t="str">
        <f t="shared" si="39"/>
        <v/>
      </c>
      <c r="AH140" s="608" t="str">
        <f t="shared" si="40"/>
        <v/>
      </c>
      <c r="AI140" s="610" t="str">
        <f t="shared" si="41"/>
        <v/>
      </c>
    </row>
    <row r="141" spans="2:46" x14ac:dyDescent="0.25">
      <c r="B141" s="209">
        <v>108</v>
      </c>
      <c r="C141" s="480"/>
      <c r="D141" s="480"/>
      <c r="E141" s="481"/>
      <c r="F141" s="480"/>
      <c r="G141" s="480"/>
      <c r="H141" s="607" t="str">
        <f t="shared" si="26"/>
        <v/>
      </c>
      <c r="I141" s="607" t="str">
        <f t="shared" si="27"/>
        <v/>
      </c>
      <c r="J141" s="607" t="str">
        <f t="shared" si="28"/>
        <v/>
      </c>
      <c r="K141" s="208" t="str">
        <f t="shared" si="29"/>
        <v/>
      </c>
      <c r="L141" s="208" t="str">
        <f t="shared" si="30"/>
        <v/>
      </c>
      <c r="M141" s="208" t="str">
        <f t="shared" si="42"/>
        <v/>
      </c>
      <c r="N141" s="608" t="str">
        <f>IF($D$3="", "", IFERROR(VLOOKUP(L141,'PIPE INCENTIVE'!$B$4:$E$19,2,FALSE),""))</f>
        <v/>
      </c>
      <c r="O141" s="608" t="str">
        <f t="shared" si="43"/>
        <v/>
      </c>
      <c r="P141" s="208" t="str">
        <f t="shared" si="44"/>
        <v/>
      </c>
      <c r="Q141" s="208" t="str">
        <f t="shared" si="31"/>
        <v/>
      </c>
      <c r="R141" s="609" t="str">
        <f t="shared" si="32"/>
        <v/>
      </c>
      <c r="S141" s="609" t="str">
        <f t="shared" si="33"/>
        <v/>
      </c>
      <c r="T141" s="609" t="str">
        <f t="shared" si="34"/>
        <v/>
      </c>
      <c r="U141" s="609" t="str" cm="1">
        <f t="array" ref="U141">IFERROR(IF($D$3="","",_xlfn.LET(_xlpm.Mixed,AND(COUNTIF($G$34:$G$533,"Heating_Hot_Water")&gt;0,(COUNTIF($G$34:$G$533,"Steam_Low_Pressure") + COUNTIF($G$34:$G$533,"Steam_Medium_Pressure") + COUNTIF($G$34:$G$533,"Steam_High_Pressure"))&gt;0),_xlpm.fluid, G141,_xlpm.fuel, K141,_xlpm.load,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1" s="609" t="str">
        <f t="shared" si="45"/>
        <v/>
      </c>
      <c r="W141" s="482"/>
      <c r="X141" s="397" t="str" cm="1">
        <f t="array" ref="X141">IFERROR(IF($D$3="","", _xlfn.XLOOKUP(1,($AR$36:$AR$53=F141)*($AS$36:$AS$53=G141), INDEX($AT$36:$BJ$53,,_xlfn.XMATCH(E141,$AT$35:$BJ$35)))),"")</f>
        <v/>
      </c>
      <c r="Y141" s="480"/>
      <c r="Z141" s="482"/>
      <c r="AA141" s="607" t="str" cm="1">
        <f t="array" ref="AA141">IFERROR(IF($D$3="", "", _xlfn.LET(_xlpm.dia, E141, _xlpm.thk, Z141, _xlpm.temp, I141,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1" s="397" t="str" cm="1">
        <f t="array" ref="AB141">IFERROR(IF($D$3="", "", _xlfn.XLOOKUP(1,($AR$57:$AR$76=Y141)*($AS$57:$AS$76=Z141), INDEX($AT$57:$BJ$76,,_xlfn.XMATCH(E141,$AT$56:$BJ$56)))),"")</f>
        <v/>
      </c>
      <c r="AC141" s="208" t="str">
        <f t="shared" si="35"/>
        <v/>
      </c>
      <c r="AD141" s="397" t="str">
        <f t="shared" si="36"/>
        <v/>
      </c>
      <c r="AE141" s="610" t="str">
        <f t="shared" si="37"/>
        <v/>
      </c>
      <c r="AF141" s="610" t="str">
        <f t="shared" si="38"/>
        <v/>
      </c>
      <c r="AG141" s="610" t="str">
        <f t="shared" si="39"/>
        <v/>
      </c>
      <c r="AH141" s="608" t="str">
        <f t="shared" si="40"/>
        <v/>
      </c>
      <c r="AI141" s="610" t="str">
        <f t="shared" si="41"/>
        <v/>
      </c>
      <c r="AM141" s="668" t="s">
        <v>317</v>
      </c>
      <c r="AN141" s="383"/>
    </row>
    <row r="142" spans="2:46" x14ac:dyDescent="0.25">
      <c r="B142" s="209">
        <v>109</v>
      </c>
      <c r="C142" s="480"/>
      <c r="D142" s="480"/>
      <c r="E142" s="481"/>
      <c r="F142" s="480"/>
      <c r="G142" s="480"/>
      <c r="H142" s="607" t="str">
        <f t="shared" si="26"/>
        <v/>
      </c>
      <c r="I142" s="607" t="str">
        <f t="shared" si="27"/>
        <v/>
      </c>
      <c r="J142" s="607" t="str">
        <f t="shared" si="28"/>
        <v/>
      </c>
      <c r="K142" s="208" t="str">
        <f t="shared" si="29"/>
        <v/>
      </c>
      <c r="L142" s="208" t="str">
        <f t="shared" si="30"/>
        <v/>
      </c>
      <c r="M142" s="208" t="str">
        <f t="shared" si="42"/>
        <v/>
      </c>
      <c r="N142" s="608" t="str">
        <f>IF($D$3="", "", IFERROR(VLOOKUP(L142,'PIPE INCENTIVE'!$B$4:$E$19,2,FALSE),""))</f>
        <v/>
      </c>
      <c r="O142" s="608" t="str">
        <f t="shared" si="43"/>
        <v/>
      </c>
      <c r="P142" s="208" t="str">
        <f t="shared" si="44"/>
        <v/>
      </c>
      <c r="Q142" s="208" t="str">
        <f t="shared" si="31"/>
        <v/>
      </c>
      <c r="R142" s="609" t="str">
        <f t="shared" si="32"/>
        <v/>
      </c>
      <c r="S142" s="609" t="str">
        <f t="shared" si="33"/>
        <v/>
      </c>
      <c r="T142" s="609" t="str">
        <f t="shared" si="34"/>
        <v/>
      </c>
      <c r="U142" s="609" t="str" cm="1">
        <f t="array" ref="U142">IFERROR(IF($D$3="","",_xlfn.LET(_xlpm.Mixed,AND(COUNTIF($G$34:$G$533,"Heating_Hot_Water")&gt;0,(COUNTIF($G$34:$G$533,"Steam_Low_Pressure") + COUNTIF($G$34:$G$533,"Steam_Medium_Pressure") + COUNTIF($G$34:$G$533,"Steam_High_Pressure"))&gt;0),_xlpm.fluid, G142,_xlpm.fuel, K142,_xlpm.load,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2" s="609" t="str">
        <f t="shared" si="45"/>
        <v/>
      </c>
      <c r="W142" s="482"/>
      <c r="X142" s="397" t="str" cm="1">
        <f t="array" ref="X142">IFERROR(IF($D$3="","", _xlfn.XLOOKUP(1,($AR$36:$AR$53=F142)*($AS$36:$AS$53=G142), INDEX($AT$36:$BJ$53,,_xlfn.XMATCH(E142,$AT$35:$BJ$35)))),"")</f>
        <v/>
      </c>
      <c r="Y142" s="480"/>
      <c r="Z142" s="482"/>
      <c r="AA142" s="607" t="str" cm="1">
        <f t="array" ref="AA142">IFERROR(IF($D$3="", "", _xlfn.LET(_xlpm.dia, E142, _xlpm.thk, Z142, _xlpm.temp, I142,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2" s="397" t="str" cm="1">
        <f t="array" ref="AB142">IFERROR(IF($D$3="", "", _xlfn.XLOOKUP(1,($AR$57:$AR$76=Y142)*($AS$57:$AS$76=Z142), INDEX($AT$57:$BJ$76,,_xlfn.XMATCH(E142,$AT$56:$BJ$56)))),"")</f>
        <v/>
      </c>
      <c r="AC142" s="208" t="str">
        <f t="shared" si="35"/>
        <v/>
      </c>
      <c r="AD142" s="397" t="str">
        <f t="shared" si="36"/>
        <v/>
      </c>
      <c r="AE142" s="610" t="str">
        <f t="shared" si="37"/>
        <v/>
      </c>
      <c r="AF142" s="610" t="str">
        <f t="shared" si="38"/>
        <v/>
      </c>
      <c r="AG142" s="610" t="str">
        <f t="shared" si="39"/>
        <v/>
      </c>
      <c r="AH142" s="608" t="str">
        <f t="shared" si="40"/>
        <v/>
      </c>
      <c r="AI142" s="610" t="str">
        <f t="shared" si="41"/>
        <v/>
      </c>
      <c r="AM142" s="76" t="s">
        <v>171</v>
      </c>
      <c r="AN142" s="76" t="s">
        <v>318</v>
      </c>
    </row>
    <row r="143" spans="2:46" x14ac:dyDescent="0.25">
      <c r="B143" s="209">
        <v>110</v>
      </c>
      <c r="C143" s="480"/>
      <c r="D143" s="480"/>
      <c r="E143" s="481"/>
      <c r="F143" s="480"/>
      <c r="G143" s="480"/>
      <c r="H143" s="607" t="str">
        <f t="shared" si="26"/>
        <v/>
      </c>
      <c r="I143" s="607" t="str">
        <f t="shared" si="27"/>
        <v/>
      </c>
      <c r="J143" s="607" t="str">
        <f t="shared" si="28"/>
        <v/>
      </c>
      <c r="K143" s="208" t="str">
        <f t="shared" si="29"/>
        <v/>
      </c>
      <c r="L143" s="208" t="str">
        <f t="shared" si="30"/>
        <v/>
      </c>
      <c r="M143" s="208" t="str">
        <f t="shared" si="42"/>
        <v/>
      </c>
      <c r="N143" s="608" t="str">
        <f>IF($D$3="", "", IFERROR(VLOOKUP(L143,'PIPE INCENTIVE'!$B$4:$E$19,2,FALSE),""))</f>
        <v/>
      </c>
      <c r="O143" s="608" t="str">
        <f t="shared" si="43"/>
        <v/>
      </c>
      <c r="P143" s="208" t="str">
        <f t="shared" si="44"/>
        <v/>
      </c>
      <c r="Q143" s="208" t="str">
        <f t="shared" si="31"/>
        <v/>
      </c>
      <c r="R143" s="609" t="str">
        <f t="shared" si="32"/>
        <v/>
      </c>
      <c r="S143" s="609" t="str">
        <f t="shared" si="33"/>
        <v/>
      </c>
      <c r="T143" s="609" t="str">
        <f t="shared" si="34"/>
        <v/>
      </c>
      <c r="U143" s="609" t="str" cm="1">
        <f t="array" ref="U143">IFERROR(IF($D$3="","",_xlfn.LET(_xlpm.Mixed,AND(COUNTIF($G$34:$G$533,"Heating_Hot_Water")&gt;0,(COUNTIF($G$34:$G$533,"Steam_Low_Pressure") + COUNTIF($G$34:$G$533,"Steam_Medium_Pressure") + COUNTIF($G$34:$G$533,"Steam_High_Pressure"))&gt;0),_xlpm.fluid, G143,_xlpm.fuel, K143,_xlpm.load,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3" s="609" t="str">
        <f t="shared" si="45"/>
        <v/>
      </c>
      <c r="W143" s="482"/>
      <c r="X143" s="397" t="str" cm="1">
        <f t="array" ref="X143">IFERROR(IF($D$3="","", _xlfn.XLOOKUP(1,($AR$36:$AR$53=F143)*($AS$36:$AS$53=G143), INDEX($AT$36:$BJ$53,,_xlfn.XMATCH(E143,$AT$35:$BJ$35)))),"")</f>
        <v/>
      </c>
      <c r="Y143" s="480"/>
      <c r="Z143" s="482"/>
      <c r="AA143" s="607" t="str" cm="1">
        <f t="array" ref="AA143">IFERROR(IF($D$3="", "", _xlfn.LET(_xlpm.dia, E143, _xlpm.thk, Z143, _xlpm.temp, I143,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3" s="397" t="str" cm="1">
        <f t="array" ref="AB143">IFERROR(IF($D$3="", "", _xlfn.XLOOKUP(1,($AR$57:$AR$76=Y143)*($AS$57:$AS$76=Z143), INDEX($AT$57:$BJ$76,,_xlfn.XMATCH(E143,$AT$56:$BJ$56)))),"")</f>
        <v/>
      </c>
      <c r="AC143" s="208" t="str">
        <f t="shared" si="35"/>
        <v/>
      </c>
      <c r="AD143" s="397" t="str">
        <f t="shared" si="36"/>
        <v/>
      </c>
      <c r="AE143" s="610" t="str">
        <f t="shared" si="37"/>
        <v/>
      </c>
      <c r="AF143" s="610" t="str">
        <f t="shared" si="38"/>
        <v/>
      </c>
      <c r="AG143" s="610" t="str">
        <f t="shared" si="39"/>
        <v/>
      </c>
      <c r="AH143" s="608" t="str">
        <f t="shared" si="40"/>
        <v/>
      </c>
      <c r="AI143" s="610" t="str">
        <f t="shared" si="41"/>
        <v/>
      </c>
      <c r="AM143" s="76" t="s">
        <v>172</v>
      </c>
      <c r="AN143" s="76" t="s">
        <v>319</v>
      </c>
    </row>
    <row r="144" spans="2:46" x14ac:dyDescent="0.25">
      <c r="B144" s="209">
        <v>111</v>
      </c>
      <c r="C144" s="480"/>
      <c r="D144" s="480"/>
      <c r="E144" s="481"/>
      <c r="F144" s="480"/>
      <c r="G144" s="480"/>
      <c r="H144" s="607" t="str">
        <f t="shared" si="26"/>
        <v/>
      </c>
      <c r="I144" s="607" t="str">
        <f t="shared" si="27"/>
        <v/>
      </c>
      <c r="J144" s="607" t="str">
        <f t="shared" si="28"/>
        <v/>
      </c>
      <c r="K144" s="208" t="str">
        <f t="shared" si="29"/>
        <v/>
      </c>
      <c r="L144" s="208" t="str">
        <f t="shared" si="30"/>
        <v/>
      </c>
      <c r="M144" s="208" t="str">
        <f t="shared" si="42"/>
        <v/>
      </c>
      <c r="N144" s="608" t="str">
        <f>IF($D$3="", "", IFERROR(VLOOKUP(L144,'PIPE INCENTIVE'!$B$4:$E$19,2,FALSE),""))</f>
        <v/>
      </c>
      <c r="O144" s="608" t="str">
        <f t="shared" si="43"/>
        <v/>
      </c>
      <c r="P144" s="208" t="str">
        <f t="shared" si="44"/>
        <v/>
      </c>
      <c r="Q144" s="208" t="str">
        <f t="shared" si="31"/>
        <v/>
      </c>
      <c r="R144" s="609" t="str">
        <f t="shared" si="32"/>
        <v/>
      </c>
      <c r="S144" s="609" t="str">
        <f t="shared" si="33"/>
        <v/>
      </c>
      <c r="T144" s="609" t="str">
        <f t="shared" si="34"/>
        <v/>
      </c>
      <c r="U144" s="609" t="str" cm="1">
        <f t="array" ref="U144">IFERROR(IF($D$3="","",_xlfn.LET(_xlpm.Mixed,AND(COUNTIF($G$34:$G$533,"Heating_Hot_Water")&gt;0,(COUNTIF($G$34:$G$533,"Steam_Low_Pressure") + COUNTIF($G$34:$G$533,"Steam_Medium_Pressure") + COUNTIF($G$34:$G$533,"Steam_High_Pressure"))&gt;0),_xlpm.fluid, G144,_xlpm.fuel, K144,_xlpm.load,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4" s="609" t="str">
        <f t="shared" si="45"/>
        <v/>
      </c>
      <c r="W144" s="482"/>
      <c r="X144" s="397" t="str" cm="1">
        <f t="array" ref="X144">IFERROR(IF($D$3="","", _xlfn.XLOOKUP(1,($AR$36:$AR$53=F144)*($AS$36:$AS$53=G144), INDEX($AT$36:$BJ$53,,_xlfn.XMATCH(E144,$AT$35:$BJ$35)))),"")</f>
        <v/>
      </c>
      <c r="Y144" s="480"/>
      <c r="Z144" s="482"/>
      <c r="AA144" s="607" t="str" cm="1">
        <f t="array" ref="AA144">IFERROR(IF($D$3="", "", _xlfn.LET(_xlpm.dia, E144, _xlpm.thk, Z144, _xlpm.temp, I144,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4" s="397" t="str" cm="1">
        <f t="array" ref="AB144">IFERROR(IF($D$3="", "", _xlfn.XLOOKUP(1,($AR$57:$AR$76=Y144)*($AS$57:$AS$76=Z144), INDEX($AT$57:$BJ$76,,_xlfn.XMATCH(E144,$AT$56:$BJ$56)))),"")</f>
        <v/>
      </c>
      <c r="AC144" s="208" t="str">
        <f t="shared" si="35"/>
        <v/>
      </c>
      <c r="AD144" s="397" t="str">
        <f t="shared" si="36"/>
        <v/>
      </c>
      <c r="AE144" s="610" t="str">
        <f t="shared" si="37"/>
        <v/>
      </c>
      <c r="AF144" s="610" t="str">
        <f t="shared" si="38"/>
        <v/>
      </c>
      <c r="AG144" s="610" t="str">
        <f t="shared" si="39"/>
        <v/>
      </c>
      <c r="AH144" s="608" t="str">
        <f t="shared" si="40"/>
        <v/>
      </c>
      <c r="AI144" s="610" t="str">
        <f t="shared" si="41"/>
        <v/>
      </c>
      <c r="AM144" s="76" t="s">
        <v>175</v>
      </c>
      <c r="AN144" s="76" t="s">
        <v>320</v>
      </c>
    </row>
    <row r="145" spans="2:40" x14ac:dyDescent="0.25">
      <c r="B145" s="209">
        <v>112</v>
      </c>
      <c r="C145" s="480"/>
      <c r="D145" s="480"/>
      <c r="E145" s="481"/>
      <c r="F145" s="480"/>
      <c r="G145" s="480"/>
      <c r="H145" s="607" t="str">
        <f t="shared" si="26"/>
        <v/>
      </c>
      <c r="I145" s="607" t="str">
        <f t="shared" si="27"/>
        <v/>
      </c>
      <c r="J145" s="607" t="str">
        <f t="shared" si="28"/>
        <v/>
      </c>
      <c r="K145" s="208" t="str">
        <f t="shared" si="29"/>
        <v/>
      </c>
      <c r="L145" s="208" t="str">
        <f t="shared" si="30"/>
        <v/>
      </c>
      <c r="M145" s="208" t="str">
        <f t="shared" si="42"/>
        <v/>
      </c>
      <c r="N145" s="608" t="str">
        <f>IF($D$3="", "", IFERROR(VLOOKUP(L145,'PIPE INCENTIVE'!$B$4:$E$19,2,FALSE),""))</f>
        <v/>
      </c>
      <c r="O145" s="608" t="str">
        <f t="shared" si="43"/>
        <v/>
      </c>
      <c r="P145" s="208" t="str">
        <f t="shared" si="44"/>
        <v/>
      </c>
      <c r="Q145" s="208" t="str">
        <f t="shared" si="31"/>
        <v/>
      </c>
      <c r="R145" s="609" t="str">
        <f t="shared" si="32"/>
        <v/>
      </c>
      <c r="S145" s="609" t="str">
        <f t="shared" si="33"/>
        <v/>
      </c>
      <c r="T145" s="609" t="str">
        <f t="shared" si="34"/>
        <v/>
      </c>
      <c r="U145" s="609" t="str" cm="1">
        <f t="array" ref="U145">IFERROR(IF($D$3="","",_xlfn.LET(_xlpm.Mixed,AND(COUNTIF($G$34:$G$533,"Heating_Hot_Water")&gt;0,(COUNTIF($G$34:$G$533,"Steam_Low_Pressure") + COUNTIF($G$34:$G$533,"Steam_Medium_Pressure") + COUNTIF($G$34:$G$533,"Steam_High_Pressure"))&gt;0),_xlpm.fluid, G145,_xlpm.fuel, K145,_xlpm.load,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5" s="609" t="str">
        <f t="shared" si="45"/>
        <v/>
      </c>
      <c r="W145" s="482"/>
      <c r="X145" s="397" t="str" cm="1">
        <f t="array" ref="X145">IFERROR(IF($D$3="","", _xlfn.XLOOKUP(1,($AR$36:$AR$53=F145)*($AS$36:$AS$53=G145), INDEX($AT$36:$BJ$53,,_xlfn.XMATCH(E145,$AT$35:$BJ$35)))),"")</f>
        <v/>
      </c>
      <c r="Y145" s="480"/>
      <c r="Z145" s="482"/>
      <c r="AA145" s="607" t="str" cm="1">
        <f t="array" ref="AA145">IFERROR(IF($D$3="", "", _xlfn.LET(_xlpm.dia, E145, _xlpm.thk, Z145, _xlpm.temp, I145,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5" s="397" t="str" cm="1">
        <f t="array" ref="AB145">IFERROR(IF($D$3="", "", _xlfn.XLOOKUP(1,($AR$57:$AR$76=Y145)*($AS$57:$AS$76=Z145), INDEX($AT$57:$BJ$76,,_xlfn.XMATCH(E145,$AT$56:$BJ$56)))),"")</f>
        <v/>
      </c>
      <c r="AC145" s="208" t="str">
        <f t="shared" si="35"/>
        <v/>
      </c>
      <c r="AD145" s="397" t="str">
        <f t="shared" si="36"/>
        <v/>
      </c>
      <c r="AE145" s="610" t="str">
        <f t="shared" si="37"/>
        <v/>
      </c>
      <c r="AF145" s="610" t="str">
        <f t="shared" si="38"/>
        <v/>
      </c>
      <c r="AG145" s="610" t="str">
        <f t="shared" si="39"/>
        <v/>
      </c>
      <c r="AH145" s="608" t="str">
        <f t="shared" si="40"/>
        <v/>
      </c>
      <c r="AI145" s="610" t="str">
        <f t="shared" si="41"/>
        <v/>
      </c>
      <c r="AM145" s="76" t="s">
        <v>177</v>
      </c>
      <c r="AN145" s="76" t="s">
        <v>321</v>
      </c>
    </row>
    <row r="146" spans="2:40" x14ac:dyDescent="0.25">
      <c r="B146" s="209">
        <v>113</v>
      </c>
      <c r="C146" s="480"/>
      <c r="D146" s="480"/>
      <c r="E146" s="481"/>
      <c r="F146" s="480"/>
      <c r="G146" s="480"/>
      <c r="H146" s="607" t="str">
        <f t="shared" si="26"/>
        <v/>
      </c>
      <c r="I146" s="607" t="str">
        <f t="shared" si="27"/>
        <v/>
      </c>
      <c r="J146" s="607" t="str">
        <f t="shared" si="28"/>
        <v/>
      </c>
      <c r="K146" s="208" t="str">
        <f t="shared" si="29"/>
        <v/>
      </c>
      <c r="L146" s="208" t="str">
        <f t="shared" si="30"/>
        <v/>
      </c>
      <c r="M146" s="208" t="str">
        <f t="shared" si="42"/>
        <v/>
      </c>
      <c r="N146" s="608" t="str">
        <f>IF($D$3="", "", IFERROR(VLOOKUP(L146,'PIPE INCENTIVE'!$B$4:$E$19,2,FALSE),""))</f>
        <v/>
      </c>
      <c r="O146" s="608" t="str">
        <f t="shared" si="43"/>
        <v/>
      </c>
      <c r="P146" s="208" t="str">
        <f t="shared" si="44"/>
        <v/>
      </c>
      <c r="Q146" s="208" t="str">
        <f t="shared" si="31"/>
        <v/>
      </c>
      <c r="R146" s="609" t="str">
        <f t="shared" si="32"/>
        <v/>
      </c>
      <c r="S146" s="609" t="str">
        <f t="shared" si="33"/>
        <v/>
      </c>
      <c r="T146" s="609" t="str">
        <f t="shared" si="34"/>
        <v/>
      </c>
      <c r="U146" s="609" t="str" cm="1">
        <f t="array" ref="U146">IFERROR(IF($D$3="","",_xlfn.LET(_xlpm.Mixed,AND(COUNTIF($G$34:$G$533,"Heating_Hot_Water")&gt;0,(COUNTIF($G$34:$G$533,"Steam_Low_Pressure") + COUNTIF($G$34:$G$533,"Steam_Medium_Pressure") + COUNTIF($G$34:$G$533,"Steam_High_Pressure"))&gt;0),_xlpm.fluid, G146,_xlpm.fuel, K146,_xlpm.load,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6" s="609" t="str">
        <f t="shared" si="45"/>
        <v/>
      </c>
      <c r="W146" s="482"/>
      <c r="X146" s="397" t="str" cm="1">
        <f t="array" ref="X146">IFERROR(IF($D$3="","", _xlfn.XLOOKUP(1,($AR$36:$AR$53=F146)*($AS$36:$AS$53=G146), INDEX($AT$36:$BJ$53,,_xlfn.XMATCH(E146,$AT$35:$BJ$35)))),"")</f>
        <v/>
      </c>
      <c r="Y146" s="480"/>
      <c r="Z146" s="482"/>
      <c r="AA146" s="607" t="str" cm="1">
        <f t="array" ref="AA146">IFERROR(IF($D$3="", "", _xlfn.LET(_xlpm.dia, E146, _xlpm.thk, Z146, _xlpm.temp, I146,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6" s="397" t="str" cm="1">
        <f t="array" ref="AB146">IFERROR(IF($D$3="", "", _xlfn.XLOOKUP(1,($AR$57:$AR$76=Y146)*($AS$57:$AS$76=Z146), INDEX($AT$57:$BJ$76,,_xlfn.XMATCH(E146,$AT$56:$BJ$56)))),"")</f>
        <v/>
      </c>
      <c r="AC146" s="208" t="str">
        <f t="shared" si="35"/>
        <v/>
      </c>
      <c r="AD146" s="397" t="str">
        <f t="shared" si="36"/>
        <v/>
      </c>
      <c r="AE146" s="610" t="str">
        <f t="shared" si="37"/>
        <v/>
      </c>
      <c r="AF146" s="610" t="str">
        <f t="shared" si="38"/>
        <v/>
      </c>
      <c r="AG146" s="610" t="str">
        <f t="shared" si="39"/>
        <v/>
      </c>
      <c r="AH146" s="608" t="str">
        <f t="shared" si="40"/>
        <v/>
      </c>
      <c r="AI146" s="610" t="str">
        <f t="shared" si="41"/>
        <v/>
      </c>
      <c r="AM146" s="76" t="s">
        <v>179</v>
      </c>
      <c r="AN146" s="76" t="s">
        <v>322</v>
      </c>
    </row>
    <row r="147" spans="2:40" x14ac:dyDescent="0.25">
      <c r="B147" s="209">
        <v>114</v>
      </c>
      <c r="C147" s="480"/>
      <c r="D147" s="480"/>
      <c r="E147" s="481"/>
      <c r="F147" s="480"/>
      <c r="G147" s="480"/>
      <c r="H147" s="607" t="str">
        <f t="shared" si="26"/>
        <v/>
      </c>
      <c r="I147" s="607" t="str">
        <f t="shared" si="27"/>
        <v/>
      </c>
      <c r="J147" s="607" t="str">
        <f t="shared" si="28"/>
        <v/>
      </c>
      <c r="K147" s="208" t="str">
        <f t="shared" si="29"/>
        <v/>
      </c>
      <c r="L147" s="208" t="str">
        <f t="shared" si="30"/>
        <v/>
      </c>
      <c r="M147" s="208" t="str">
        <f t="shared" si="42"/>
        <v/>
      </c>
      <c r="N147" s="608" t="str">
        <f>IF($D$3="", "", IFERROR(VLOOKUP(L147,'PIPE INCENTIVE'!$B$4:$E$19,2,FALSE),""))</f>
        <v/>
      </c>
      <c r="O147" s="608" t="str">
        <f t="shared" si="43"/>
        <v/>
      </c>
      <c r="P147" s="208" t="str">
        <f t="shared" si="44"/>
        <v/>
      </c>
      <c r="Q147" s="208" t="str">
        <f t="shared" si="31"/>
        <v/>
      </c>
      <c r="R147" s="609" t="str">
        <f t="shared" si="32"/>
        <v/>
      </c>
      <c r="S147" s="609" t="str">
        <f t="shared" si="33"/>
        <v/>
      </c>
      <c r="T147" s="609" t="str">
        <f t="shared" si="34"/>
        <v/>
      </c>
      <c r="U147" s="609" t="str" cm="1">
        <f t="array" ref="U147">IFERROR(IF($D$3="","",_xlfn.LET(_xlpm.Mixed,AND(COUNTIF($G$34:$G$533,"Heating_Hot_Water")&gt;0,(COUNTIF($G$34:$G$533,"Steam_Low_Pressure") + COUNTIF($G$34:$G$533,"Steam_Medium_Pressure") + COUNTIF($G$34:$G$533,"Steam_High_Pressure"))&gt;0),_xlpm.fluid, G147,_xlpm.fuel, K147,_xlpm.load,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7" s="609" t="str">
        <f t="shared" si="45"/>
        <v/>
      </c>
      <c r="W147" s="482"/>
      <c r="X147" s="397" t="str" cm="1">
        <f t="array" ref="X147">IFERROR(IF($D$3="","", _xlfn.XLOOKUP(1,($AR$36:$AR$53=F147)*($AS$36:$AS$53=G147), INDEX($AT$36:$BJ$53,,_xlfn.XMATCH(E147,$AT$35:$BJ$35)))),"")</f>
        <v/>
      </c>
      <c r="Y147" s="480"/>
      <c r="Z147" s="482"/>
      <c r="AA147" s="607" t="str" cm="1">
        <f t="array" ref="AA147">IFERROR(IF($D$3="", "", _xlfn.LET(_xlpm.dia, E147, _xlpm.thk, Z147, _xlpm.temp, I147,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7" s="397" t="str" cm="1">
        <f t="array" ref="AB147">IFERROR(IF($D$3="", "", _xlfn.XLOOKUP(1,($AR$57:$AR$76=Y147)*($AS$57:$AS$76=Z147), INDEX($AT$57:$BJ$76,,_xlfn.XMATCH(E147,$AT$56:$BJ$56)))),"")</f>
        <v/>
      </c>
      <c r="AC147" s="208" t="str">
        <f t="shared" si="35"/>
        <v/>
      </c>
      <c r="AD147" s="397" t="str">
        <f t="shared" si="36"/>
        <v/>
      </c>
      <c r="AE147" s="610" t="str">
        <f t="shared" si="37"/>
        <v/>
      </c>
      <c r="AF147" s="610" t="str">
        <f t="shared" si="38"/>
        <v/>
      </c>
      <c r="AG147" s="610" t="str">
        <f t="shared" si="39"/>
        <v/>
      </c>
      <c r="AH147" s="608" t="str">
        <f t="shared" si="40"/>
        <v/>
      </c>
      <c r="AI147" s="610" t="str">
        <f t="shared" si="41"/>
        <v/>
      </c>
      <c r="AM147" s="76" t="s">
        <v>181</v>
      </c>
      <c r="AN147" s="76" t="s">
        <v>323</v>
      </c>
    </row>
    <row r="148" spans="2:40" x14ac:dyDescent="0.25">
      <c r="B148" s="209">
        <v>115</v>
      </c>
      <c r="C148" s="480"/>
      <c r="D148" s="480"/>
      <c r="E148" s="481"/>
      <c r="F148" s="480"/>
      <c r="G148" s="480"/>
      <c r="H148" s="607" t="str">
        <f t="shared" si="26"/>
        <v/>
      </c>
      <c r="I148" s="607" t="str">
        <f t="shared" si="27"/>
        <v/>
      </c>
      <c r="J148" s="607" t="str">
        <f t="shared" si="28"/>
        <v/>
      </c>
      <c r="K148" s="208" t="str">
        <f t="shared" si="29"/>
        <v/>
      </c>
      <c r="L148" s="208" t="str">
        <f t="shared" si="30"/>
        <v/>
      </c>
      <c r="M148" s="208" t="str">
        <f t="shared" si="42"/>
        <v/>
      </c>
      <c r="N148" s="608" t="str">
        <f>IF($D$3="", "", IFERROR(VLOOKUP(L148,'PIPE INCENTIVE'!$B$4:$E$19,2,FALSE),""))</f>
        <v/>
      </c>
      <c r="O148" s="608" t="str">
        <f t="shared" si="43"/>
        <v/>
      </c>
      <c r="P148" s="208" t="str">
        <f t="shared" si="44"/>
        <v/>
      </c>
      <c r="Q148" s="208" t="str">
        <f t="shared" si="31"/>
        <v/>
      </c>
      <c r="R148" s="609" t="str">
        <f t="shared" si="32"/>
        <v/>
      </c>
      <c r="S148" s="609" t="str">
        <f t="shared" si="33"/>
        <v/>
      </c>
      <c r="T148" s="609" t="str">
        <f t="shared" si="34"/>
        <v/>
      </c>
      <c r="U148" s="609" t="str" cm="1">
        <f t="array" ref="U148">IFERROR(IF($D$3="","",_xlfn.LET(_xlpm.Mixed,AND(COUNTIF($G$34:$G$533,"Heating_Hot_Water")&gt;0,(COUNTIF($G$34:$G$533,"Steam_Low_Pressure") + COUNTIF($G$34:$G$533,"Steam_Medium_Pressure") + COUNTIF($G$34:$G$533,"Steam_High_Pressure"))&gt;0),_xlpm.fluid, G148,_xlpm.fuel, K148,_xlpm.load,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8" s="609" t="str">
        <f t="shared" si="45"/>
        <v/>
      </c>
      <c r="W148" s="482"/>
      <c r="X148" s="397" t="str" cm="1">
        <f t="array" ref="X148">IFERROR(IF($D$3="","", _xlfn.XLOOKUP(1,($AR$36:$AR$53=F148)*($AS$36:$AS$53=G148), INDEX($AT$36:$BJ$53,,_xlfn.XMATCH(E148,$AT$35:$BJ$35)))),"")</f>
        <v/>
      </c>
      <c r="Y148" s="480"/>
      <c r="Z148" s="482"/>
      <c r="AA148" s="607" t="str" cm="1">
        <f t="array" ref="AA148">IFERROR(IF($D$3="", "", _xlfn.LET(_xlpm.dia, E148, _xlpm.thk, Z148, _xlpm.temp, I148,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8" s="397" t="str" cm="1">
        <f t="array" ref="AB148">IFERROR(IF($D$3="", "", _xlfn.XLOOKUP(1,($AR$57:$AR$76=Y148)*($AS$57:$AS$76=Z148), INDEX($AT$57:$BJ$76,,_xlfn.XMATCH(E148,$AT$56:$BJ$56)))),"")</f>
        <v/>
      </c>
      <c r="AC148" s="208" t="str">
        <f t="shared" si="35"/>
        <v/>
      </c>
      <c r="AD148" s="397" t="str">
        <f t="shared" si="36"/>
        <v/>
      </c>
      <c r="AE148" s="610" t="str">
        <f t="shared" si="37"/>
        <v/>
      </c>
      <c r="AF148" s="610" t="str">
        <f t="shared" si="38"/>
        <v/>
      </c>
      <c r="AG148" s="610" t="str">
        <f t="shared" si="39"/>
        <v/>
      </c>
      <c r="AH148" s="608" t="str">
        <f t="shared" si="40"/>
        <v/>
      </c>
      <c r="AI148" s="610" t="str">
        <f t="shared" si="41"/>
        <v/>
      </c>
      <c r="AM148" s="76" t="s">
        <v>178</v>
      </c>
      <c r="AN148" s="76" t="s">
        <v>324</v>
      </c>
    </row>
    <row r="149" spans="2:40" x14ac:dyDescent="0.25">
      <c r="B149" s="209">
        <v>116</v>
      </c>
      <c r="C149" s="480"/>
      <c r="D149" s="480"/>
      <c r="E149" s="481"/>
      <c r="F149" s="480"/>
      <c r="G149" s="480"/>
      <c r="H149" s="607" t="str">
        <f t="shared" si="26"/>
        <v/>
      </c>
      <c r="I149" s="607" t="str">
        <f t="shared" si="27"/>
        <v/>
      </c>
      <c r="J149" s="607" t="str">
        <f t="shared" si="28"/>
        <v/>
      </c>
      <c r="K149" s="208" t="str">
        <f t="shared" si="29"/>
        <v/>
      </c>
      <c r="L149" s="208" t="str">
        <f t="shared" si="30"/>
        <v/>
      </c>
      <c r="M149" s="208" t="str">
        <f t="shared" si="42"/>
        <v/>
      </c>
      <c r="N149" s="608" t="str">
        <f>IF($D$3="", "", IFERROR(VLOOKUP(L149,'PIPE INCENTIVE'!$B$4:$E$19,2,FALSE),""))</f>
        <v/>
      </c>
      <c r="O149" s="608" t="str">
        <f t="shared" si="43"/>
        <v/>
      </c>
      <c r="P149" s="208" t="str">
        <f t="shared" si="44"/>
        <v/>
      </c>
      <c r="Q149" s="208" t="str">
        <f t="shared" si="31"/>
        <v/>
      </c>
      <c r="R149" s="609" t="str">
        <f t="shared" si="32"/>
        <v/>
      </c>
      <c r="S149" s="609" t="str">
        <f t="shared" si="33"/>
        <v/>
      </c>
      <c r="T149" s="609" t="str">
        <f t="shared" si="34"/>
        <v/>
      </c>
      <c r="U149" s="609" t="str" cm="1">
        <f t="array" ref="U149">IFERROR(IF($D$3="","",_xlfn.LET(_xlpm.Mixed,AND(COUNTIF($G$34:$G$533,"Heating_Hot_Water")&gt;0,(COUNTIF($G$34:$G$533,"Steam_Low_Pressure") + COUNTIF($G$34:$G$533,"Steam_Medium_Pressure") + COUNTIF($G$34:$G$533,"Steam_High_Pressure"))&gt;0),_xlpm.fluid, G149,_xlpm.fuel, K149,_xlpm.load,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49" s="609" t="str">
        <f t="shared" si="45"/>
        <v/>
      </c>
      <c r="W149" s="482"/>
      <c r="X149" s="397" t="str" cm="1">
        <f t="array" ref="X149">IFERROR(IF($D$3="","", _xlfn.XLOOKUP(1,($AR$36:$AR$53=F149)*($AS$36:$AS$53=G149), INDEX($AT$36:$BJ$53,,_xlfn.XMATCH(E149,$AT$35:$BJ$35)))),"")</f>
        <v/>
      </c>
      <c r="Y149" s="480"/>
      <c r="Z149" s="482"/>
      <c r="AA149" s="607" t="str" cm="1">
        <f t="array" ref="AA149">IFERROR(IF($D$3="", "", _xlfn.LET(_xlpm.dia, E149, _xlpm.thk, Z149, _xlpm.temp, I149,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49" s="397" t="str" cm="1">
        <f t="array" ref="AB149">IFERROR(IF($D$3="", "", _xlfn.XLOOKUP(1,($AR$57:$AR$76=Y149)*($AS$57:$AS$76=Z149), INDEX($AT$57:$BJ$76,,_xlfn.XMATCH(E149,$AT$56:$BJ$56)))),"")</f>
        <v/>
      </c>
      <c r="AC149" s="208" t="str">
        <f t="shared" si="35"/>
        <v/>
      </c>
      <c r="AD149" s="397" t="str">
        <f t="shared" si="36"/>
        <v/>
      </c>
      <c r="AE149" s="610" t="str">
        <f t="shared" si="37"/>
        <v/>
      </c>
      <c r="AF149" s="610" t="str">
        <f t="shared" si="38"/>
        <v/>
      </c>
      <c r="AG149" s="610" t="str">
        <f t="shared" si="39"/>
        <v/>
      </c>
      <c r="AH149" s="608" t="str">
        <f t="shared" si="40"/>
        <v/>
      </c>
      <c r="AI149" s="610" t="str">
        <f t="shared" si="41"/>
        <v/>
      </c>
      <c r="AM149" s="76" t="s">
        <v>180</v>
      </c>
      <c r="AN149" s="76" t="s">
        <v>325</v>
      </c>
    </row>
    <row r="150" spans="2:40" x14ac:dyDescent="0.25">
      <c r="B150" s="209">
        <v>117</v>
      </c>
      <c r="C150" s="480"/>
      <c r="D150" s="480"/>
      <c r="E150" s="481"/>
      <c r="F150" s="480"/>
      <c r="G150" s="480"/>
      <c r="H150" s="607" t="str">
        <f t="shared" si="26"/>
        <v/>
      </c>
      <c r="I150" s="607" t="str">
        <f t="shared" si="27"/>
        <v/>
      </c>
      <c r="J150" s="607" t="str">
        <f t="shared" si="28"/>
        <v/>
      </c>
      <c r="K150" s="208" t="str">
        <f t="shared" si="29"/>
        <v/>
      </c>
      <c r="L150" s="208" t="str">
        <f t="shared" si="30"/>
        <v/>
      </c>
      <c r="M150" s="208" t="str">
        <f t="shared" si="42"/>
        <v/>
      </c>
      <c r="N150" s="608" t="str">
        <f>IF($D$3="", "", IFERROR(VLOOKUP(L150,'PIPE INCENTIVE'!$B$4:$E$19,2,FALSE),""))</f>
        <v/>
      </c>
      <c r="O150" s="608" t="str">
        <f t="shared" si="43"/>
        <v/>
      </c>
      <c r="P150" s="208" t="str">
        <f t="shared" si="44"/>
        <v/>
      </c>
      <c r="Q150" s="208" t="str">
        <f t="shared" si="31"/>
        <v/>
      </c>
      <c r="R150" s="609" t="str">
        <f t="shared" si="32"/>
        <v/>
      </c>
      <c r="S150" s="609" t="str">
        <f t="shared" si="33"/>
        <v/>
      </c>
      <c r="T150" s="609" t="str">
        <f t="shared" si="34"/>
        <v/>
      </c>
      <c r="U150" s="609" t="str" cm="1">
        <f t="array" ref="U150">IFERROR(IF($D$3="","",_xlfn.LET(_xlpm.Mixed,AND(COUNTIF($G$34:$G$533,"Heating_Hot_Water")&gt;0,(COUNTIF($G$34:$G$533,"Steam_Low_Pressure") + COUNTIF($G$34:$G$533,"Steam_Medium_Pressure") + COUNTIF($G$34:$G$533,"Steam_High_Pressure"))&gt;0),_xlpm.fluid, G150,_xlpm.fuel, K150,_xlpm.load,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0" s="609" t="str">
        <f t="shared" si="45"/>
        <v/>
      </c>
      <c r="W150" s="482"/>
      <c r="X150" s="397" t="str" cm="1">
        <f t="array" ref="X150">IFERROR(IF($D$3="","", _xlfn.XLOOKUP(1,($AR$36:$AR$53=F150)*($AS$36:$AS$53=G150), INDEX($AT$36:$BJ$53,,_xlfn.XMATCH(E150,$AT$35:$BJ$35)))),"")</f>
        <v/>
      </c>
      <c r="Y150" s="480"/>
      <c r="Z150" s="482"/>
      <c r="AA150" s="607" t="str" cm="1">
        <f t="array" ref="AA150">IFERROR(IF($D$3="", "", _xlfn.LET(_xlpm.dia, E150, _xlpm.thk, Z150, _xlpm.temp, I150,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0" s="397" t="str" cm="1">
        <f t="array" ref="AB150">IFERROR(IF($D$3="", "", _xlfn.XLOOKUP(1,($AR$57:$AR$76=Y150)*($AS$57:$AS$76=Z150), INDEX($AT$57:$BJ$76,,_xlfn.XMATCH(E150,$AT$56:$BJ$56)))),"")</f>
        <v/>
      </c>
      <c r="AC150" s="208" t="str">
        <f t="shared" si="35"/>
        <v/>
      </c>
      <c r="AD150" s="397" t="str">
        <f t="shared" si="36"/>
        <v/>
      </c>
      <c r="AE150" s="610" t="str">
        <f t="shared" si="37"/>
        <v/>
      </c>
      <c r="AF150" s="610" t="str">
        <f t="shared" si="38"/>
        <v/>
      </c>
      <c r="AG150" s="610" t="str">
        <f t="shared" si="39"/>
        <v/>
      </c>
      <c r="AH150" s="608" t="str">
        <f t="shared" si="40"/>
        <v/>
      </c>
      <c r="AI150" s="610" t="str">
        <f t="shared" si="41"/>
        <v/>
      </c>
    </row>
    <row r="151" spans="2:40" x14ac:dyDescent="0.25">
      <c r="B151" s="209">
        <v>118</v>
      </c>
      <c r="C151" s="480"/>
      <c r="D151" s="480"/>
      <c r="E151" s="481"/>
      <c r="F151" s="480"/>
      <c r="G151" s="480"/>
      <c r="H151" s="607" t="str">
        <f t="shared" si="26"/>
        <v/>
      </c>
      <c r="I151" s="607" t="str">
        <f t="shared" si="27"/>
        <v/>
      </c>
      <c r="J151" s="607" t="str">
        <f t="shared" si="28"/>
        <v/>
      </c>
      <c r="K151" s="208" t="str">
        <f t="shared" si="29"/>
        <v/>
      </c>
      <c r="L151" s="208" t="str">
        <f t="shared" si="30"/>
        <v/>
      </c>
      <c r="M151" s="208" t="str">
        <f t="shared" si="42"/>
        <v/>
      </c>
      <c r="N151" s="608" t="str">
        <f>IF($D$3="", "", IFERROR(VLOOKUP(L151,'PIPE INCENTIVE'!$B$4:$E$19,2,FALSE),""))</f>
        <v/>
      </c>
      <c r="O151" s="608" t="str">
        <f t="shared" si="43"/>
        <v/>
      </c>
      <c r="P151" s="208" t="str">
        <f t="shared" si="44"/>
        <v/>
      </c>
      <c r="Q151" s="208" t="str">
        <f t="shared" si="31"/>
        <v/>
      </c>
      <c r="R151" s="609" t="str">
        <f t="shared" si="32"/>
        <v/>
      </c>
      <c r="S151" s="609" t="str">
        <f t="shared" si="33"/>
        <v/>
      </c>
      <c r="T151" s="609" t="str">
        <f t="shared" si="34"/>
        <v/>
      </c>
      <c r="U151" s="609" t="str" cm="1">
        <f t="array" ref="U151">IFERROR(IF($D$3="","",_xlfn.LET(_xlpm.Mixed,AND(COUNTIF($G$34:$G$533,"Heating_Hot_Water")&gt;0,(COUNTIF($G$34:$G$533,"Steam_Low_Pressure") + COUNTIF($G$34:$G$533,"Steam_Medium_Pressure") + COUNTIF($G$34:$G$533,"Steam_High_Pressure"))&gt;0),_xlpm.fluid, G151,_xlpm.fuel, K151,_xlpm.load,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1" s="609" t="str">
        <f t="shared" si="45"/>
        <v/>
      </c>
      <c r="W151" s="482"/>
      <c r="X151" s="397" t="str" cm="1">
        <f t="array" ref="X151">IFERROR(IF($D$3="","", _xlfn.XLOOKUP(1,($AR$36:$AR$53=F151)*($AS$36:$AS$53=G151), INDEX($AT$36:$BJ$53,,_xlfn.XMATCH(E151,$AT$35:$BJ$35)))),"")</f>
        <v/>
      </c>
      <c r="Y151" s="480"/>
      <c r="Z151" s="482"/>
      <c r="AA151" s="607" t="str" cm="1">
        <f t="array" ref="AA151">IFERROR(IF($D$3="", "", _xlfn.LET(_xlpm.dia, E151, _xlpm.thk, Z151, _xlpm.temp, I151,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1" s="397" t="str" cm="1">
        <f t="array" ref="AB151">IFERROR(IF($D$3="", "", _xlfn.XLOOKUP(1,($AR$57:$AR$76=Y151)*($AS$57:$AS$76=Z151), INDEX($AT$57:$BJ$76,,_xlfn.XMATCH(E151,$AT$56:$BJ$56)))),"")</f>
        <v/>
      </c>
      <c r="AC151" s="208" t="str">
        <f t="shared" si="35"/>
        <v/>
      </c>
      <c r="AD151" s="397" t="str">
        <f t="shared" si="36"/>
        <v/>
      </c>
      <c r="AE151" s="610" t="str">
        <f t="shared" si="37"/>
        <v/>
      </c>
      <c r="AF151" s="610" t="str">
        <f t="shared" si="38"/>
        <v/>
      </c>
      <c r="AG151" s="610" t="str">
        <f t="shared" si="39"/>
        <v/>
      </c>
      <c r="AH151" s="608" t="str">
        <f t="shared" si="40"/>
        <v/>
      </c>
      <c r="AI151" s="610" t="str">
        <f t="shared" si="41"/>
        <v/>
      </c>
      <c r="AM151" s="668" t="s">
        <v>317</v>
      </c>
      <c r="AN151" s="383"/>
    </row>
    <row r="152" spans="2:40" x14ac:dyDescent="0.25">
      <c r="B152" s="209">
        <v>119</v>
      </c>
      <c r="C152" s="480"/>
      <c r="D152" s="480"/>
      <c r="E152" s="481"/>
      <c r="F152" s="480"/>
      <c r="G152" s="480"/>
      <c r="H152" s="607" t="str">
        <f t="shared" si="26"/>
        <v/>
      </c>
      <c r="I152" s="607" t="str">
        <f t="shared" si="27"/>
        <v/>
      </c>
      <c r="J152" s="607" t="str">
        <f t="shared" si="28"/>
        <v/>
      </c>
      <c r="K152" s="208" t="str">
        <f t="shared" si="29"/>
        <v/>
      </c>
      <c r="L152" s="208" t="str">
        <f t="shared" si="30"/>
        <v/>
      </c>
      <c r="M152" s="208" t="str">
        <f t="shared" si="42"/>
        <v/>
      </c>
      <c r="N152" s="608" t="str">
        <f>IF($D$3="", "", IFERROR(VLOOKUP(L152,'PIPE INCENTIVE'!$B$4:$E$19,2,FALSE),""))</f>
        <v/>
      </c>
      <c r="O152" s="608" t="str">
        <f t="shared" si="43"/>
        <v/>
      </c>
      <c r="P152" s="208" t="str">
        <f t="shared" si="44"/>
        <v/>
      </c>
      <c r="Q152" s="208" t="str">
        <f t="shared" si="31"/>
        <v/>
      </c>
      <c r="R152" s="609" t="str">
        <f t="shared" si="32"/>
        <v/>
      </c>
      <c r="S152" s="609" t="str">
        <f t="shared" si="33"/>
        <v/>
      </c>
      <c r="T152" s="609" t="str">
        <f t="shared" si="34"/>
        <v/>
      </c>
      <c r="U152" s="609" t="str" cm="1">
        <f t="array" ref="U152">IFERROR(IF($D$3="","",_xlfn.LET(_xlpm.Mixed,AND(COUNTIF($G$34:$G$533,"Heating_Hot_Water")&gt;0,(COUNTIF($G$34:$G$533,"Steam_Low_Pressure") + COUNTIF($G$34:$G$533,"Steam_Medium_Pressure") + COUNTIF($G$34:$G$533,"Steam_High_Pressure"))&gt;0),_xlpm.fluid, G152,_xlpm.fuel, K152,_xlpm.load,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2" s="609" t="str">
        <f t="shared" si="45"/>
        <v/>
      </c>
      <c r="W152" s="482"/>
      <c r="X152" s="397" t="str" cm="1">
        <f t="array" ref="X152">IFERROR(IF($D$3="","", _xlfn.XLOOKUP(1,($AR$36:$AR$53=F152)*($AS$36:$AS$53=G152), INDEX($AT$36:$BJ$53,,_xlfn.XMATCH(E152,$AT$35:$BJ$35)))),"")</f>
        <v/>
      </c>
      <c r="Y152" s="480"/>
      <c r="Z152" s="482"/>
      <c r="AA152" s="607" t="str" cm="1">
        <f t="array" ref="AA152">IFERROR(IF($D$3="", "", _xlfn.LET(_xlpm.dia, E152, _xlpm.thk, Z152, _xlpm.temp, I152,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2" s="397" t="str" cm="1">
        <f t="array" ref="AB152">IFERROR(IF($D$3="", "", _xlfn.XLOOKUP(1,($AR$57:$AR$76=Y152)*($AS$57:$AS$76=Z152), INDEX($AT$57:$BJ$76,,_xlfn.XMATCH(E152,$AT$56:$BJ$56)))),"")</f>
        <v/>
      </c>
      <c r="AC152" s="208" t="str">
        <f t="shared" si="35"/>
        <v/>
      </c>
      <c r="AD152" s="397" t="str">
        <f t="shared" si="36"/>
        <v/>
      </c>
      <c r="AE152" s="610" t="str">
        <f t="shared" si="37"/>
        <v/>
      </c>
      <c r="AF152" s="610" t="str">
        <f t="shared" si="38"/>
        <v/>
      </c>
      <c r="AG152" s="610" t="str">
        <f t="shared" si="39"/>
        <v/>
      </c>
      <c r="AH152" s="608" t="str">
        <f t="shared" si="40"/>
        <v/>
      </c>
      <c r="AI152" s="610" t="str">
        <f t="shared" si="41"/>
        <v/>
      </c>
      <c r="AM152" s="76" t="s">
        <v>186</v>
      </c>
      <c r="AN152" s="76" t="s">
        <v>186</v>
      </c>
    </row>
    <row r="153" spans="2:40" x14ac:dyDescent="0.25">
      <c r="B153" s="209">
        <v>120</v>
      </c>
      <c r="C153" s="480"/>
      <c r="D153" s="480"/>
      <c r="E153" s="481"/>
      <c r="F153" s="480"/>
      <c r="G153" s="480"/>
      <c r="H153" s="607" t="str">
        <f t="shared" si="26"/>
        <v/>
      </c>
      <c r="I153" s="607" t="str">
        <f t="shared" si="27"/>
        <v/>
      </c>
      <c r="J153" s="607" t="str">
        <f t="shared" si="28"/>
        <v/>
      </c>
      <c r="K153" s="208" t="str">
        <f t="shared" si="29"/>
        <v/>
      </c>
      <c r="L153" s="208" t="str">
        <f t="shared" si="30"/>
        <v/>
      </c>
      <c r="M153" s="208" t="str">
        <f t="shared" si="42"/>
        <v/>
      </c>
      <c r="N153" s="608" t="str">
        <f>IF($D$3="", "", IFERROR(VLOOKUP(L153,'PIPE INCENTIVE'!$B$4:$E$19,2,FALSE),""))</f>
        <v/>
      </c>
      <c r="O153" s="608" t="str">
        <f t="shared" si="43"/>
        <v/>
      </c>
      <c r="P153" s="208" t="str">
        <f t="shared" si="44"/>
        <v/>
      </c>
      <c r="Q153" s="208" t="str">
        <f t="shared" si="31"/>
        <v/>
      </c>
      <c r="R153" s="609" t="str">
        <f t="shared" si="32"/>
        <v/>
      </c>
      <c r="S153" s="609" t="str">
        <f t="shared" si="33"/>
        <v/>
      </c>
      <c r="T153" s="609" t="str">
        <f t="shared" si="34"/>
        <v/>
      </c>
      <c r="U153" s="609" t="str" cm="1">
        <f t="array" ref="U153">IFERROR(IF($D$3="","",_xlfn.LET(_xlpm.Mixed,AND(COUNTIF($G$34:$G$533,"Heating_Hot_Water")&gt;0,(COUNTIF($G$34:$G$533,"Steam_Low_Pressure") + COUNTIF($G$34:$G$533,"Steam_Medium_Pressure") + COUNTIF($G$34:$G$533,"Steam_High_Pressure"))&gt;0),_xlpm.fluid, G153,_xlpm.fuel, K153,_xlpm.load,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3" s="609" t="str">
        <f t="shared" si="45"/>
        <v/>
      </c>
      <c r="W153" s="482"/>
      <c r="X153" s="397" t="str" cm="1">
        <f t="array" ref="X153">IFERROR(IF($D$3="","", _xlfn.XLOOKUP(1,($AR$36:$AR$53=F153)*($AS$36:$AS$53=G153), INDEX($AT$36:$BJ$53,,_xlfn.XMATCH(E153,$AT$35:$BJ$35)))),"")</f>
        <v/>
      </c>
      <c r="Y153" s="480"/>
      <c r="Z153" s="482"/>
      <c r="AA153" s="607" t="str" cm="1">
        <f t="array" ref="AA153">IFERROR(IF($D$3="", "", _xlfn.LET(_xlpm.dia, E153, _xlpm.thk, Z153, _xlpm.temp, I153,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3" s="397" t="str" cm="1">
        <f t="array" ref="AB153">IFERROR(IF($D$3="", "", _xlfn.XLOOKUP(1,($AR$57:$AR$76=Y153)*($AS$57:$AS$76=Z153), INDEX($AT$57:$BJ$76,,_xlfn.XMATCH(E153,$AT$56:$BJ$56)))),"")</f>
        <v/>
      </c>
      <c r="AC153" s="208" t="str">
        <f t="shared" si="35"/>
        <v/>
      </c>
      <c r="AD153" s="397" t="str">
        <f t="shared" si="36"/>
        <v/>
      </c>
      <c r="AE153" s="610" t="str">
        <f t="shared" si="37"/>
        <v/>
      </c>
      <c r="AF153" s="610" t="str">
        <f t="shared" si="38"/>
        <v/>
      </c>
      <c r="AG153" s="610" t="str">
        <f t="shared" si="39"/>
        <v/>
      </c>
      <c r="AH153" s="608" t="str">
        <f t="shared" si="40"/>
        <v/>
      </c>
      <c r="AI153" s="610" t="str">
        <f t="shared" si="41"/>
        <v/>
      </c>
      <c r="AM153" s="76" t="s">
        <v>188</v>
      </c>
      <c r="AN153" s="76" t="s">
        <v>326</v>
      </c>
    </row>
    <row r="154" spans="2:40" x14ac:dyDescent="0.25">
      <c r="B154" s="209">
        <v>121</v>
      </c>
      <c r="C154" s="480"/>
      <c r="D154" s="480"/>
      <c r="E154" s="481"/>
      <c r="F154" s="480"/>
      <c r="G154" s="480"/>
      <c r="H154" s="607" t="str">
        <f t="shared" si="26"/>
        <v/>
      </c>
      <c r="I154" s="607" t="str">
        <f t="shared" si="27"/>
        <v/>
      </c>
      <c r="J154" s="607" t="str">
        <f t="shared" si="28"/>
        <v/>
      </c>
      <c r="K154" s="208" t="str">
        <f t="shared" si="29"/>
        <v/>
      </c>
      <c r="L154" s="208" t="str">
        <f t="shared" si="30"/>
        <v/>
      </c>
      <c r="M154" s="208" t="str">
        <f t="shared" si="42"/>
        <v/>
      </c>
      <c r="N154" s="608" t="str">
        <f>IF($D$3="", "", IFERROR(VLOOKUP(L154,'PIPE INCENTIVE'!$B$4:$E$19,2,FALSE),""))</f>
        <v/>
      </c>
      <c r="O154" s="608" t="str">
        <f t="shared" si="43"/>
        <v/>
      </c>
      <c r="P154" s="208" t="str">
        <f t="shared" si="44"/>
        <v/>
      </c>
      <c r="Q154" s="208" t="str">
        <f t="shared" si="31"/>
        <v/>
      </c>
      <c r="R154" s="609" t="str">
        <f t="shared" si="32"/>
        <v/>
      </c>
      <c r="S154" s="609" t="str">
        <f t="shared" si="33"/>
        <v/>
      </c>
      <c r="T154" s="609" t="str">
        <f t="shared" si="34"/>
        <v/>
      </c>
      <c r="U154" s="609" t="str" cm="1">
        <f t="array" ref="U154">IFERROR(IF($D$3="","",_xlfn.LET(_xlpm.Mixed,AND(COUNTIF($G$34:$G$533,"Heating_Hot_Water")&gt;0,(COUNTIF($G$34:$G$533,"Steam_Low_Pressure") + COUNTIF($G$34:$G$533,"Steam_Medium_Pressure") + COUNTIF($G$34:$G$533,"Steam_High_Pressure"))&gt;0),_xlpm.fluid, G154,_xlpm.fuel, K154,_xlpm.load,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4" s="609" t="str">
        <f t="shared" si="45"/>
        <v/>
      </c>
      <c r="W154" s="482"/>
      <c r="X154" s="397" t="str" cm="1">
        <f t="array" ref="X154">IFERROR(IF($D$3="","", _xlfn.XLOOKUP(1,($AR$36:$AR$53=F154)*($AS$36:$AS$53=G154), INDEX($AT$36:$BJ$53,,_xlfn.XMATCH(E154,$AT$35:$BJ$35)))),"")</f>
        <v/>
      </c>
      <c r="Y154" s="480"/>
      <c r="Z154" s="482"/>
      <c r="AA154" s="607" t="str" cm="1">
        <f t="array" ref="AA154">IFERROR(IF($D$3="", "", _xlfn.LET(_xlpm.dia, E154, _xlpm.thk, Z154, _xlpm.temp, I154,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4" s="397" t="str" cm="1">
        <f t="array" ref="AB154">IFERROR(IF($D$3="", "", _xlfn.XLOOKUP(1,($AR$57:$AR$76=Y154)*($AS$57:$AS$76=Z154), INDEX($AT$57:$BJ$76,,_xlfn.XMATCH(E154,$AT$56:$BJ$56)))),"")</f>
        <v/>
      </c>
      <c r="AC154" s="208" t="str">
        <f t="shared" si="35"/>
        <v/>
      </c>
      <c r="AD154" s="397" t="str">
        <f t="shared" si="36"/>
        <v/>
      </c>
      <c r="AE154" s="610" t="str">
        <f t="shared" si="37"/>
        <v/>
      </c>
      <c r="AF154" s="610" t="str">
        <f t="shared" si="38"/>
        <v/>
      </c>
      <c r="AG154" s="610" t="str">
        <f t="shared" si="39"/>
        <v/>
      </c>
      <c r="AH154" s="608" t="str">
        <f t="shared" si="40"/>
        <v/>
      </c>
      <c r="AI154" s="610" t="str">
        <f t="shared" si="41"/>
        <v/>
      </c>
    </row>
    <row r="155" spans="2:40" x14ac:dyDescent="0.25">
      <c r="B155" s="209">
        <v>122</v>
      </c>
      <c r="C155" s="480"/>
      <c r="D155" s="480"/>
      <c r="E155" s="481"/>
      <c r="F155" s="480"/>
      <c r="G155" s="480"/>
      <c r="H155" s="607" t="str">
        <f t="shared" si="26"/>
        <v/>
      </c>
      <c r="I155" s="607" t="str">
        <f t="shared" si="27"/>
        <v/>
      </c>
      <c r="J155" s="607" t="str">
        <f t="shared" si="28"/>
        <v/>
      </c>
      <c r="K155" s="208" t="str">
        <f t="shared" si="29"/>
        <v/>
      </c>
      <c r="L155" s="208" t="str">
        <f t="shared" si="30"/>
        <v/>
      </c>
      <c r="M155" s="208" t="str">
        <f t="shared" si="42"/>
        <v/>
      </c>
      <c r="N155" s="608" t="str">
        <f>IF($D$3="", "", IFERROR(VLOOKUP(L155,'PIPE INCENTIVE'!$B$4:$E$19,2,FALSE),""))</f>
        <v/>
      </c>
      <c r="O155" s="608" t="str">
        <f t="shared" si="43"/>
        <v/>
      </c>
      <c r="P155" s="208" t="str">
        <f t="shared" si="44"/>
        <v/>
      </c>
      <c r="Q155" s="208" t="str">
        <f t="shared" si="31"/>
        <v/>
      </c>
      <c r="R155" s="609" t="str">
        <f t="shared" si="32"/>
        <v/>
      </c>
      <c r="S155" s="609" t="str">
        <f t="shared" si="33"/>
        <v/>
      </c>
      <c r="T155" s="609" t="str">
        <f t="shared" si="34"/>
        <v/>
      </c>
      <c r="U155" s="609" t="str" cm="1">
        <f t="array" ref="U155">IFERROR(IF($D$3="","",_xlfn.LET(_xlpm.Mixed,AND(COUNTIF($G$34:$G$533,"Heating_Hot_Water")&gt;0,(COUNTIF($G$34:$G$533,"Steam_Low_Pressure") + COUNTIF($G$34:$G$533,"Steam_Medium_Pressure") + COUNTIF($G$34:$G$533,"Steam_High_Pressure"))&gt;0),_xlpm.fluid, G155,_xlpm.fuel, K155,_xlpm.load,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5" s="609" t="str">
        <f t="shared" si="45"/>
        <v/>
      </c>
      <c r="W155" s="482"/>
      <c r="X155" s="397" t="str" cm="1">
        <f t="array" ref="X155">IFERROR(IF($D$3="","", _xlfn.XLOOKUP(1,($AR$36:$AR$53=F155)*($AS$36:$AS$53=G155), INDEX($AT$36:$BJ$53,,_xlfn.XMATCH(E155,$AT$35:$BJ$35)))),"")</f>
        <v/>
      </c>
      <c r="Y155" s="480"/>
      <c r="Z155" s="482"/>
      <c r="AA155" s="607" t="str" cm="1">
        <f t="array" ref="AA155">IFERROR(IF($D$3="", "", _xlfn.LET(_xlpm.dia, E155, _xlpm.thk, Z155, _xlpm.temp, I155,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5" s="397" t="str" cm="1">
        <f t="array" ref="AB155">IFERROR(IF($D$3="", "", _xlfn.XLOOKUP(1,($AR$57:$AR$76=Y155)*($AS$57:$AS$76=Z155), INDEX($AT$57:$BJ$76,,_xlfn.XMATCH(E155,$AT$56:$BJ$56)))),"")</f>
        <v/>
      </c>
      <c r="AC155" s="208" t="str">
        <f t="shared" si="35"/>
        <v/>
      </c>
      <c r="AD155" s="397" t="str">
        <f t="shared" si="36"/>
        <v/>
      </c>
      <c r="AE155" s="610" t="str">
        <f t="shared" si="37"/>
        <v/>
      </c>
      <c r="AF155" s="610" t="str">
        <f t="shared" si="38"/>
        <v/>
      </c>
      <c r="AG155" s="610" t="str">
        <f t="shared" si="39"/>
        <v/>
      </c>
      <c r="AH155" s="608" t="str">
        <f t="shared" si="40"/>
        <v/>
      </c>
      <c r="AI155" s="610" t="str">
        <f t="shared" si="41"/>
        <v/>
      </c>
    </row>
    <row r="156" spans="2:40" x14ac:dyDescent="0.25">
      <c r="B156" s="209">
        <v>123</v>
      </c>
      <c r="C156" s="480"/>
      <c r="D156" s="480"/>
      <c r="E156" s="481"/>
      <c r="F156" s="480"/>
      <c r="G156" s="480"/>
      <c r="H156" s="607" t="str">
        <f t="shared" si="26"/>
        <v/>
      </c>
      <c r="I156" s="607" t="str">
        <f t="shared" si="27"/>
        <v/>
      </c>
      <c r="J156" s="607" t="str">
        <f t="shared" si="28"/>
        <v/>
      </c>
      <c r="K156" s="208" t="str">
        <f t="shared" si="29"/>
        <v/>
      </c>
      <c r="L156" s="208" t="str">
        <f t="shared" si="30"/>
        <v/>
      </c>
      <c r="M156" s="208" t="str">
        <f t="shared" si="42"/>
        <v/>
      </c>
      <c r="N156" s="608" t="str">
        <f>IF($D$3="", "", IFERROR(VLOOKUP(L156,'PIPE INCENTIVE'!$B$4:$E$19,2,FALSE),""))</f>
        <v/>
      </c>
      <c r="O156" s="608" t="str">
        <f t="shared" si="43"/>
        <v/>
      </c>
      <c r="P156" s="208" t="str">
        <f t="shared" si="44"/>
        <v/>
      </c>
      <c r="Q156" s="208" t="str">
        <f t="shared" si="31"/>
        <v/>
      </c>
      <c r="R156" s="609" t="str">
        <f t="shared" si="32"/>
        <v/>
      </c>
      <c r="S156" s="609" t="str">
        <f t="shared" si="33"/>
        <v/>
      </c>
      <c r="T156" s="609" t="str">
        <f t="shared" si="34"/>
        <v/>
      </c>
      <c r="U156" s="609" t="str" cm="1">
        <f t="array" ref="U156">IFERROR(IF($D$3="","",_xlfn.LET(_xlpm.Mixed,AND(COUNTIF($G$34:$G$533,"Heating_Hot_Water")&gt;0,(COUNTIF($G$34:$G$533,"Steam_Low_Pressure") + COUNTIF($G$34:$G$533,"Steam_Medium_Pressure") + COUNTIF($G$34:$G$533,"Steam_High_Pressure"))&gt;0),_xlpm.fluid, G156,_xlpm.fuel, K156,_xlpm.load,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6" s="609" t="str">
        <f t="shared" si="45"/>
        <v/>
      </c>
      <c r="W156" s="482"/>
      <c r="X156" s="397" t="str" cm="1">
        <f t="array" ref="X156">IFERROR(IF($D$3="","", _xlfn.XLOOKUP(1,($AR$36:$AR$53=F156)*($AS$36:$AS$53=G156), INDEX($AT$36:$BJ$53,,_xlfn.XMATCH(E156,$AT$35:$BJ$35)))),"")</f>
        <v/>
      </c>
      <c r="Y156" s="480"/>
      <c r="Z156" s="482"/>
      <c r="AA156" s="607" t="str" cm="1">
        <f t="array" ref="AA156">IFERROR(IF($D$3="", "", _xlfn.LET(_xlpm.dia, E156, _xlpm.thk, Z156, _xlpm.temp, I156,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6" s="397" t="str" cm="1">
        <f t="array" ref="AB156">IFERROR(IF($D$3="", "", _xlfn.XLOOKUP(1,($AR$57:$AR$76=Y156)*($AS$57:$AS$76=Z156), INDEX($AT$57:$BJ$76,,_xlfn.XMATCH(E156,$AT$56:$BJ$56)))),"")</f>
        <v/>
      </c>
      <c r="AC156" s="208" t="str">
        <f t="shared" si="35"/>
        <v/>
      </c>
      <c r="AD156" s="397" t="str">
        <f t="shared" si="36"/>
        <v/>
      </c>
      <c r="AE156" s="610" t="str">
        <f t="shared" si="37"/>
        <v/>
      </c>
      <c r="AF156" s="610" t="str">
        <f t="shared" si="38"/>
        <v/>
      </c>
      <c r="AG156" s="610" t="str">
        <f t="shared" si="39"/>
        <v/>
      </c>
      <c r="AH156" s="608" t="str">
        <f t="shared" si="40"/>
        <v/>
      </c>
      <c r="AI156" s="610" t="str">
        <f t="shared" si="41"/>
        <v/>
      </c>
    </row>
    <row r="157" spans="2:40" x14ac:dyDescent="0.25">
      <c r="B157" s="209">
        <v>124</v>
      </c>
      <c r="C157" s="480"/>
      <c r="D157" s="480"/>
      <c r="E157" s="481"/>
      <c r="F157" s="480"/>
      <c r="G157" s="480"/>
      <c r="H157" s="607" t="str">
        <f t="shared" si="26"/>
        <v/>
      </c>
      <c r="I157" s="607" t="str">
        <f t="shared" si="27"/>
        <v/>
      </c>
      <c r="J157" s="607" t="str">
        <f t="shared" si="28"/>
        <v/>
      </c>
      <c r="K157" s="208" t="str">
        <f t="shared" si="29"/>
        <v/>
      </c>
      <c r="L157" s="208" t="str">
        <f t="shared" si="30"/>
        <v/>
      </c>
      <c r="M157" s="208" t="str">
        <f t="shared" si="42"/>
        <v/>
      </c>
      <c r="N157" s="608" t="str">
        <f>IF($D$3="", "", IFERROR(VLOOKUP(L157,'PIPE INCENTIVE'!$B$4:$E$19,2,FALSE),""))</f>
        <v/>
      </c>
      <c r="O157" s="608" t="str">
        <f t="shared" si="43"/>
        <v/>
      </c>
      <c r="P157" s="208" t="str">
        <f t="shared" si="44"/>
        <v/>
      </c>
      <c r="Q157" s="208" t="str">
        <f t="shared" si="31"/>
        <v/>
      </c>
      <c r="R157" s="609" t="str">
        <f t="shared" si="32"/>
        <v/>
      </c>
      <c r="S157" s="609" t="str">
        <f t="shared" si="33"/>
        <v/>
      </c>
      <c r="T157" s="609" t="str">
        <f t="shared" si="34"/>
        <v/>
      </c>
      <c r="U157" s="609" t="str" cm="1">
        <f t="array" ref="U157">IFERROR(IF($D$3="","",_xlfn.LET(_xlpm.Mixed,AND(COUNTIF($G$34:$G$533,"Heating_Hot_Water")&gt;0,(COUNTIF($G$34:$G$533,"Steam_Low_Pressure") + COUNTIF($G$34:$G$533,"Steam_Medium_Pressure") + COUNTIF($G$34:$G$533,"Steam_High_Pressure"))&gt;0),_xlpm.fluid, G157,_xlpm.fuel, K157,_xlpm.load,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7" s="609" t="str">
        <f t="shared" si="45"/>
        <v/>
      </c>
      <c r="W157" s="482"/>
      <c r="X157" s="397" t="str" cm="1">
        <f t="array" ref="X157">IFERROR(IF($D$3="","", _xlfn.XLOOKUP(1,($AR$36:$AR$53=F157)*($AS$36:$AS$53=G157), INDEX($AT$36:$BJ$53,,_xlfn.XMATCH(E157,$AT$35:$BJ$35)))),"")</f>
        <v/>
      </c>
      <c r="Y157" s="480"/>
      <c r="Z157" s="482"/>
      <c r="AA157" s="607" t="str" cm="1">
        <f t="array" ref="AA157">IFERROR(IF($D$3="", "", _xlfn.LET(_xlpm.dia, E157, _xlpm.thk, Z157, _xlpm.temp, I157,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7" s="397" t="str" cm="1">
        <f t="array" ref="AB157">IFERROR(IF($D$3="", "", _xlfn.XLOOKUP(1,($AR$57:$AR$76=Y157)*($AS$57:$AS$76=Z157), INDEX($AT$57:$BJ$76,,_xlfn.XMATCH(E157,$AT$56:$BJ$56)))),"")</f>
        <v/>
      </c>
      <c r="AC157" s="208" t="str">
        <f t="shared" si="35"/>
        <v/>
      </c>
      <c r="AD157" s="397" t="str">
        <f t="shared" si="36"/>
        <v/>
      </c>
      <c r="AE157" s="610" t="str">
        <f t="shared" si="37"/>
        <v/>
      </c>
      <c r="AF157" s="610" t="str">
        <f t="shared" si="38"/>
        <v/>
      </c>
      <c r="AG157" s="610" t="str">
        <f t="shared" si="39"/>
        <v/>
      </c>
      <c r="AH157" s="608" t="str">
        <f t="shared" si="40"/>
        <v/>
      </c>
      <c r="AI157" s="610" t="str">
        <f t="shared" si="41"/>
        <v/>
      </c>
    </row>
    <row r="158" spans="2:40" x14ac:dyDescent="0.25">
      <c r="B158" s="209">
        <v>125</v>
      </c>
      <c r="C158" s="480"/>
      <c r="D158" s="480"/>
      <c r="E158" s="481"/>
      <c r="F158" s="480"/>
      <c r="G158" s="480"/>
      <c r="H158" s="607" t="str">
        <f t="shared" si="26"/>
        <v/>
      </c>
      <c r="I158" s="607" t="str">
        <f t="shared" si="27"/>
        <v/>
      </c>
      <c r="J158" s="607" t="str">
        <f t="shared" si="28"/>
        <v/>
      </c>
      <c r="K158" s="208" t="str">
        <f t="shared" si="29"/>
        <v/>
      </c>
      <c r="L158" s="208" t="str">
        <f t="shared" si="30"/>
        <v/>
      </c>
      <c r="M158" s="208" t="str">
        <f t="shared" si="42"/>
        <v/>
      </c>
      <c r="N158" s="608" t="str">
        <f>IF($D$3="", "", IFERROR(VLOOKUP(L158,'PIPE INCENTIVE'!$B$4:$E$19,2,FALSE),""))</f>
        <v/>
      </c>
      <c r="O158" s="608" t="str">
        <f t="shared" si="43"/>
        <v/>
      </c>
      <c r="P158" s="208" t="str">
        <f t="shared" si="44"/>
        <v/>
      </c>
      <c r="Q158" s="208" t="str">
        <f t="shared" si="31"/>
        <v/>
      </c>
      <c r="R158" s="609" t="str">
        <f t="shared" si="32"/>
        <v/>
      </c>
      <c r="S158" s="609" t="str">
        <f t="shared" si="33"/>
        <v/>
      </c>
      <c r="T158" s="609" t="str">
        <f t="shared" si="34"/>
        <v/>
      </c>
      <c r="U158" s="609" t="str" cm="1">
        <f t="array" ref="U158">IFERROR(IF($D$3="","",_xlfn.LET(_xlpm.Mixed,AND(COUNTIF($G$34:$G$533,"Heating_Hot_Water")&gt;0,(COUNTIF($G$34:$G$533,"Steam_Low_Pressure") + COUNTIF($G$34:$G$533,"Steam_Medium_Pressure") + COUNTIF($G$34:$G$533,"Steam_High_Pressure"))&gt;0),_xlpm.fluid, G158,_xlpm.fuel, K158,_xlpm.load,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8" s="609" t="str">
        <f t="shared" si="45"/>
        <v/>
      </c>
      <c r="W158" s="482"/>
      <c r="X158" s="397" t="str" cm="1">
        <f t="array" ref="X158">IFERROR(IF($D$3="","", _xlfn.XLOOKUP(1,($AR$36:$AR$53=F158)*($AS$36:$AS$53=G158), INDEX($AT$36:$BJ$53,,_xlfn.XMATCH(E158,$AT$35:$BJ$35)))),"")</f>
        <v/>
      </c>
      <c r="Y158" s="480"/>
      <c r="Z158" s="482"/>
      <c r="AA158" s="607" t="str" cm="1">
        <f t="array" ref="AA158">IFERROR(IF($D$3="", "", _xlfn.LET(_xlpm.dia, E158, _xlpm.thk, Z158, _xlpm.temp, I158,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8" s="397" t="str" cm="1">
        <f t="array" ref="AB158">IFERROR(IF($D$3="", "", _xlfn.XLOOKUP(1,($AR$57:$AR$76=Y158)*($AS$57:$AS$76=Z158), INDEX($AT$57:$BJ$76,,_xlfn.XMATCH(E158,$AT$56:$BJ$56)))),"")</f>
        <v/>
      </c>
      <c r="AC158" s="208" t="str">
        <f t="shared" si="35"/>
        <v/>
      </c>
      <c r="AD158" s="397" t="str">
        <f t="shared" si="36"/>
        <v/>
      </c>
      <c r="AE158" s="610" t="str">
        <f t="shared" si="37"/>
        <v/>
      </c>
      <c r="AF158" s="610" t="str">
        <f t="shared" si="38"/>
        <v/>
      </c>
      <c r="AG158" s="610" t="str">
        <f t="shared" si="39"/>
        <v/>
      </c>
      <c r="AH158" s="608" t="str">
        <f t="shared" si="40"/>
        <v/>
      </c>
      <c r="AI158" s="610" t="str">
        <f t="shared" si="41"/>
        <v/>
      </c>
    </row>
    <row r="159" spans="2:40" x14ac:dyDescent="0.25">
      <c r="B159" s="209">
        <v>126</v>
      </c>
      <c r="C159" s="480"/>
      <c r="D159" s="480"/>
      <c r="E159" s="481"/>
      <c r="F159" s="480"/>
      <c r="G159" s="480"/>
      <c r="H159" s="607" t="str">
        <f t="shared" si="26"/>
        <v/>
      </c>
      <c r="I159" s="607" t="str">
        <f t="shared" si="27"/>
        <v/>
      </c>
      <c r="J159" s="607" t="str">
        <f t="shared" si="28"/>
        <v/>
      </c>
      <c r="K159" s="208" t="str">
        <f t="shared" si="29"/>
        <v/>
      </c>
      <c r="L159" s="208" t="str">
        <f t="shared" si="30"/>
        <v/>
      </c>
      <c r="M159" s="208" t="str">
        <f t="shared" si="42"/>
        <v/>
      </c>
      <c r="N159" s="608" t="str">
        <f>IF($D$3="", "", IFERROR(VLOOKUP(L159,'PIPE INCENTIVE'!$B$4:$E$19,2,FALSE),""))</f>
        <v/>
      </c>
      <c r="O159" s="608" t="str">
        <f t="shared" si="43"/>
        <v/>
      </c>
      <c r="P159" s="208" t="str">
        <f t="shared" si="44"/>
        <v/>
      </c>
      <c r="Q159" s="208" t="str">
        <f t="shared" si="31"/>
        <v/>
      </c>
      <c r="R159" s="609" t="str">
        <f t="shared" si="32"/>
        <v/>
      </c>
      <c r="S159" s="609" t="str">
        <f t="shared" si="33"/>
        <v/>
      </c>
      <c r="T159" s="609" t="str">
        <f t="shared" si="34"/>
        <v/>
      </c>
      <c r="U159" s="609" t="str" cm="1">
        <f t="array" ref="U159">IFERROR(IF($D$3="","",_xlfn.LET(_xlpm.Mixed,AND(COUNTIF($G$34:$G$533,"Heating_Hot_Water")&gt;0,(COUNTIF($G$34:$G$533,"Steam_Low_Pressure") + COUNTIF($G$34:$G$533,"Steam_Medium_Pressure") + COUNTIF($G$34:$G$533,"Steam_High_Pressure"))&gt;0),_xlpm.fluid, G159,_xlpm.fuel, K159,_xlpm.load,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59" s="609" t="str">
        <f t="shared" si="45"/>
        <v/>
      </c>
      <c r="W159" s="482"/>
      <c r="X159" s="397" t="str" cm="1">
        <f t="array" ref="X159">IFERROR(IF($D$3="","", _xlfn.XLOOKUP(1,($AR$36:$AR$53=F159)*($AS$36:$AS$53=G159), INDEX($AT$36:$BJ$53,,_xlfn.XMATCH(E159,$AT$35:$BJ$35)))),"")</f>
        <v/>
      </c>
      <c r="Y159" s="480"/>
      <c r="Z159" s="482"/>
      <c r="AA159" s="607" t="str" cm="1">
        <f t="array" ref="AA159">IFERROR(IF($D$3="", "", _xlfn.LET(_xlpm.dia, E159, _xlpm.thk, Z159, _xlpm.temp, I159,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59" s="397" t="str" cm="1">
        <f t="array" ref="AB159">IFERROR(IF($D$3="", "", _xlfn.XLOOKUP(1,($AR$57:$AR$76=Y159)*($AS$57:$AS$76=Z159), INDEX($AT$57:$BJ$76,,_xlfn.XMATCH(E159,$AT$56:$BJ$56)))),"")</f>
        <v/>
      </c>
      <c r="AC159" s="208" t="str">
        <f t="shared" si="35"/>
        <v/>
      </c>
      <c r="AD159" s="397" t="str">
        <f t="shared" si="36"/>
        <v/>
      </c>
      <c r="AE159" s="610" t="str">
        <f t="shared" si="37"/>
        <v/>
      </c>
      <c r="AF159" s="610" t="str">
        <f t="shared" si="38"/>
        <v/>
      </c>
      <c r="AG159" s="610" t="str">
        <f t="shared" si="39"/>
        <v/>
      </c>
      <c r="AH159" s="608" t="str">
        <f t="shared" si="40"/>
        <v/>
      </c>
      <c r="AI159" s="610" t="str">
        <f t="shared" si="41"/>
        <v/>
      </c>
    </row>
    <row r="160" spans="2:40" x14ac:dyDescent="0.25">
      <c r="B160" s="209">
        <v>127</v>
      </c>
      <c r="C160" s="480"/>
      <c r="D160" s="480"/>
      <c r="E160" s="481"/>
      <c r="F160" s="480"/>
      <c r="G160" s="480"/>
      <c r="H160" s="607" t="str">
        <f t="shared" si="26"/>
        <v/>
      </c>
      <c r="I160" s="607" t="str">
        <f t="shared" si="27"/>
        <v/>
      </c>
      <c r="J160" s="607" t="str">
        <f t="shared" si="28"/>
        <v/>
      </c>
      <c r="K160" s="208" t="str">
        <f t="shared" si="29"/>
        <v/>
      </c>
      <c r="L160" s="208" t="str">
        <f t="shared" si="30"/>
        <v/>
      </c>
      <c r="M160" s="208" t="str">
        <f t="shared" si="42"/>
        <v/>
      </c>
      <c r="N160" s="608" t="str">
        <f>IF($D$3="", "", IFERROR(VLOOKUP(L160,'PIPE INCENTIVE'!$B$4:$E$19,2,FALSE),""))</f>
        <v/>
      </c>
      <c r="O160" s="608" t="str">
        <f t="shared" si="43"/>
        <v/>
      </c>
      <c r="P160" s="208" t="str">
        <f t="shared" si="44"/>
        <v/>
      </c>
      <c r="Q160" s="208" t="str">
        <f t="shared" si="31"/>
        <v/>
      </c>
      <c r="R160" s="609" t="str">
        <f t="shared" si="32"/>
        <v/>
      </c>
      <c r="S160" s="609" t="str">
        <f t="shared" si="33"/>
        <v/>
      </c>
      <c r="T160" s="609" t="str">
        <f t="shared" si="34"/>
        <v/>
      </c>
      <c r="U160" s="609" t="str" cm="1">
        <f t="array" ref="U160">IFERROR(IF($D$3="","",_xlfn.LET(_xlpm.Mixed,AND(COUNTIF($G$34:$G$533,"Heating_Hot_Water")&gt;0,(COUNTIF($G$34:$G$533,"Steam_Low_Pressure") + COUNTIF($G$34:$G$533,"Steam_Medium_Pressure") + COUNTIF($G$34:$G$533,"Steam_High_Pressure"))&gt;0),_xlpm.fluid, G160,_xlpm.fuel, K160,_xlpm.load,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0" s="609" t="str">
        <f t="shared" si="45"/>
        <v/>
      </c>
      <c r="W160" s="482"/>
      <c r="X160" s="397" t="str" cm="1">
        <f t="array" ref="X160">IFERROR(IF($D$3="","", _xlfn.XLOOKUP(1,($AR$36:$AR$53=F160)*($AS$36:$AS$53=G160), INDEX($AT$36:$BJ$53,,_xlfn.XMATCH(E160,$AT$35:$BJ$35)))),"")</f>
        <v/>
      </c>
      <c r="Y160" s="480"/>
      <c r="Z160" s="482"/>
      <c r="AA160" s="607" t="str" cm="1">
        <f t="array" ref="AA160">IFERROR(IF($D$3="", "", _xlfn.LET(_xlpm.dia, E160, _xlpm.thk, Z160, _xlpm.temp, I160,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0" s="397" t="str" cm="1">
        <f t="array" ref="AB160">IFERROR(IF($D$3="", "", _xlfn.XLOOKUP(1,($AR$57:$AR$76=Y160)*($AS$57:$AS$76=Z160), INDEX($AT$57:$BJ$76,,_xlfn.XMATCH(E160,$AT$56:$BJ$56)))),"")</f>
        <v/>
      </c>
      <c r="AC160" s="208" t="str">
        <f t="shared" si="35"/>
        <v/>
      </c>
      <c r="AD160" s="397" t="str">
        <f t="shared" si="36"/>
        <v/>
      </c>
      <c r="AE160" s="610" t="str">
        <f t="shared" si="37"/>
        <v/>
      </c>
      <c r="AF160" s="610" t="str">
        <f t="shared" si="38"/>
        <v/>
      </c>
      <c r="AG160" s="610" t="str">
        <f t="shared" si="39"/>
        <v/>
      </c>
      <c r="AH160" s="608" t="str">
        <f t="shared" si="40"/>
        <v/>
      </c>
      <c r="AI160" s="610" t="str">
        <f t="shared" si="41"/>
        <v/>
      </c>
    </row>
    <row r="161" spans="2:35" x14ac:dyDescent="0.25">
      <c r="B161" s="209">
        <v>128</v>
      </c>
      <c r="C161" s="480"/>
      <c r="D161" s="480"/>
      <c r="E161" s="481"/>
      <c r="F161" s="480"/>
      <c r="G161" s="480"/>
      <c r="H161" s="607" t="str">
        <f t="shared" si="26"/>
        <v/>
      </c>
      <c r="I161" s="607" t="str">
        <f t="shared" si="27"/>
        <v/>
      </c>
      <c r="J161" s="607" t="str">
        <f t="shared" si="28"/>
        <v/>
      </c>
      <c r="K161" s="208" t="str">
        <f t="shared" si="29"/>
        <v/>
      </c>
      <c r="L161" s="208" t="str">
        <f t="shared" si="30"/>
        <v/>
      </c>
      <c r="M161" s="208" t="str">
        <f t="shared" si="42"/>
        <v/>
      </c>
      <c r="N161" s="608" t="str">
        <f>IF($D$3="", "", IFERROR(VLOOKUP(L161,'PIPE INCENTIVE'!$B$4:$E$19,2,FALSE),""))</f>
        <v/>
      </c>
      <c r="O161" s="608" t="str">
        <f t="shared" si="43"/>
        <v/>
      </c>
      <c r="P161" s="208" t="str">
        <f t="shared" si="44"/>
        <v/>
      </c>
      <c r="Q161" s="208" t="str">
        <f t="shared" si="31"/>
        <v/>
      </c>
      <c r="R161" s="609" t="str">
        <f t="shared" si="32"/>
        <v/>
      </c>
      <c r="S161" s="609" t="str">
        <f t="shared" si="33"/>
        <v/>
      </c>
      <c r="T161" s="609" t="str">
        <f t="shared" si="34"/>
        <v/>
      </c>
      <c r="U161" s="609" t="str" cm="1">
        <f t="array" ref="U161">IFERROR(IF($D$3="","",_xlfn.LET(_xlpm.Mixed,AND(COUNTIF($G$34:$G$533,"Heating_Hot_Water")&gt;0,(COUNTIF($G$34:$G$533,"Steam_Low_Pressure") + COUNTIF($G$34:$G$533,"Steam_Medium_Pressure") + COUNTIF($G$34:$G$533,"Steam_High_Pressure"))&gt;0),_xlpm.fluid, G161,_xlpm.fuel, K161,_xlpm.load,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1" s="609" t="str">
        <f t="shared" si="45"/>
        <v/>
      </c>
      <c r="W161" s="482"/>
      <c r="X161" s="397" t="str" cm="1">
        <f t="array" ref="X161">IFERROR(IF($D$3="","", _xlfn.XLOOKUP(1,($AR$36:$AR$53=F161)*($AS$36:$AS$53=G161), INDEX($AT$36:$BJ$53,,_xlfn.XMATCH(E161,$AT$35:$BJ$35)))),"")</f>
        <v/>
      </c>
      <c r="Y161" s="480"/>
      <c r="Z161" s="482"/>
      <c r="AA161" s="607" t="str" cm="1">
        <f t="array" ref="AA161">IFERROR(IF($D$3="", "", _xlfn.LET(_xlpm.dia, E161, _xlpm.thk, Z161, _xlpm.temp, I161,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1" s="397" t="str" cm="1">
        <f t="array" ref="AB161">IFERROR(IF($D$3="", "", _xlfn.XLOOKUP(1,($AR$57:$AR$76=Y161)*($AS$57:$AS$76=Z161), INDEX($AT$57:$BJ$76,,_xlfn.XMATCH(E161,$AT$56:$BJ$56)))),"")</f>
        <v/>
      </c>
      <c r="AC161" s="208" t="str">
        <f t="shared" si="35"/>
        <v/>
      </c>
      <c r="AD161" s="397" t="str">
        <f t="shared" si="36"/>
        <v/>
      </c>
      <c r="AE161" s="610" t="str">
        <f t="shared" si="37"/>
        <v/>
      </c>
      <c r="AF161" s="610" t="str">
        <f t="shared" si="38"/>
        <v/>
      </c>
      <c r="AG161" s="610" t="str">
        <f t="shared" si="39"/>
        <v/>
      </c>
      <c r="AH161" s="608" t="str">
        <f t="shared" si="40"/>
        <v/>
      </c>
      <c r="AI161" s="610" t="str">
        <f t="shared" si="41"/>
        <v/>
      </c>
    </row>
    <row r="162" spans="2:35" x14ac:dyDescent="0.25">
      <c r="B162" s="209">
        <v>129</v>
      </c>
      <c r="C162" s="480"/>
      <c r="D162" s="480"/>
      <c r="E162" s="481"/>
      <c r="F162" s="480"/>
      <c r="G162" s="480"/>
      <c r="H162" s="607" t="str">
        <f t="shared" ref="H162:H225" si="46">IFERROR(IF($D$3="", "", VLOOKUP(G162,$AM$53:$AN$60,2,FALSE)),"")</f>
        <v/>
      </c>
      <c r="I162" s="607" t="str">
        <f t="shared" ref="I162:I225" si="47">IFERROR(IF($D$3 = "", "", VLOOKUP(G162,$AM$64:$AN$71,2,FALSE)),"")</f>
        <v/>
      </c>
      <c r="J162" s="607" t="str">
        <f t="shared" ref="J162:J225" si="48">IFERROR(IF($D$3="", "", ABS(I162-H162)),"")</f>
        <v/>
      </c>
      <c r="K162" s="208" t="str">
        <f t="shared" ref="K162:K225" si="49">IFERROR(IF($D$3="", "", IF(OR(G162="Steam_Low_Pressure", G162="Steam_Medium_Pressure",G162="Steam_High_Pressure", G162="Heating_Hot_Water", G162="Steam_Condensate"), "Heating"&amp;$AT$115, IF(G162="Domestic_Hot_Water", G162&amp;$AT$131, IF(OR(G162="CoolingSupply", G162="CoolingReturn"), G162&amp;$AT$122,"")))),"")</f>
        <v/>
      </c>
      <c r="L162" s="208" t="str">
        <f t="shared" ref="L162:L225" si="50">IF($D$3="","", IFERROR(IF($D$7="Large C &amp; I (LCI)", "LCI", "SMB")&amp;"_"&amp;IF(RIGHT(K162, 6)="Fossil", "Gas_", "Electric_")&amp;$D$8&amp;"_"&amp;IF($D$9="No", "DACNo", "DACYes"),""))</f>
        <v/>
      </c>
      <c r="M162" s="208" t="str">
        <f t="shared" si="42"/>
        <v/>
      </c>
      <c r="N162" s="608" t="str">
        <f>IF($D$3="", "", IFERROR(VLOOKUP(L162,'PIPE INCENTIVE'!$B$4:$E$19,2,FALSE),""))</f>
        <v/>
      </c>
      <c r="O162" s="608" t="str">
        <f t="shared" si="43"/>
        <v/>
      </c>
      <c r="P162" s="208" t="str">
        <f t="shared" si="44"/>
        <v/>
      </c>
      <c r="Q162" s="208" t="str">
        <f t="shared" ref="Q162:Q225" si="51">IFERROR(IF($D$3="","",IF(P162="Domestic_Hot_Water_AY",8760,IF(P162="Domestic_Hot_Water_HSO",VLOOKUP($D$5,$AM$74:$AN$81,2,FALSE),IF(P162="NOTDHW",IF($D$21="Yes",IF(OR(G162="CoolingSupply",G162="CoolingReturn"), $D$23, $D$22),IF(OR(G162="CoolingSupply",G162="CoolingReturn"), $AP$44, $AP$43)),"")))),"")</f>
        <v/>
      </c>
      <c r="R162" s="609" t="str">
        <f t="shared" ref="R162:R225" si="52">IFERROR(IF($D$3="", "", VLOOKUP(K162,$AM$86:$AN$96,2, FALSE)),"")</f>
        <v/>
      </c>
      <c r="S162" s="609" t="str">
        <f t="shared" ref="S162:S225" si="53">IFERROR(IF($D$3="", "", VLOOKUP(K162,$AM$100:$AN$110,2, FALSE)),"")</f>
        <v/>
      </c>
      <c r="T162" s="609" t="str">
        <f t="shared" ref="T162:T225" si="54">IF($D$3="","",IFERROR(IF(OR(K162="CoolingSupplyElectric",K162="CoolingReturnElectric"),IF($D$20&lt;&gt;"",$D$20, _xlfn.XLOOKUP(K162,$AR$102:$AR$107,$AS$102:$AS$107)),IF(OR(K162="HeatingElectric",K162="Domestic_Hot_WaterElectric",K162="Domestic_Hot_WaterUnknown"),0.98,0.98)),""))</f>
        <v/>
      </c>
      <c r="U162" s="609" t="str" cm="1">
        <f t="array" ref="U162">IFERROR(IF($D$3="","",_xlfn.LET(_xlpm.Mixed,AND(COUNTIF($G$34:$G$533,"Heating_Hot_Water")&gt;0,(COUNTIF($G$34:$G$533,"Steam_Low_Pressure") + COUNTIF($G$34:$G$533,"Steam_Medium_Pressure") + COUNTIF($G$34:$G$533,"Steam_High_Pressure"))&gt;0),_xlpm.fluid, G162,_xlpm.fuel, K162,_xlpm.load,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2" s="609" t="str">
        <f t="shared" si="45"/>
        <v/>
      </c>
      <c r="W162" s="482"/>
      <c r="X162" s="397" t="str" cm="1">
        <f t="array" ref="X162">IFERROR(IF($D$3="","", _xlfn.XLOOKUP(1,($AR$36:$AR$53=F162)*($AS$36:$AS$53=G162), INDEX($AT$36:$BJ$53,,_xlfn.XMATCH(E162,$AT$35:$BJ$35)))),"")</f>
        <v/>
      </c>
      <c r="Y162" s="480"/>
      <c r="Z162" s="482"/>
      <c r="AA162" s="607" t="str" cm="1">
        <f t="array" ref="AA162">IFERROR(IF($D$3="", "", _xlfn.LET(_xlpm.dia, E162, _xlpm.thk, Z162, _xlpm.temp, I162,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2" s="397" t="str" cm="1">
        <f t="array" ref="AB162">IFERROR(IF($D$3="", "", _xlfn.XLOOKUP(1,($AR$57:$AR$76=Y162)*($AS$57:$AS$76=Z162), INDEX($AT$57:$BJ$76,,_xlfn.XMATCH(E162,$AT$56:$BJ$56)))),"")</f>
        <v/>
      </c>
      <c r="AC162" s="208" t="str">
        <f t="shared" ref="AC162:AC225" si="55">IFERROR(IF($D$3="", "", IF(AND($AT$115="Fossil", $AT$122="Fossil", $AT$131="Fossil"), 0, ((X162-AB162)/(T162*3412))*W162*J162*Q162*R162)),"")</f>
        <v/>
      </c>
      <c r="AD162" s="397" t="str">
        <f t="shared" ref="AD162:AD225" si="56">IFERROR(IF($D$3="", "", AC162*V162/8760),"")</f>
        <v/>
      </c>
      <c r="AE162" s="610" t="str">
        <f t="shared" ref="AE162:AE225" si="57">IFERROR(IF(AF162="", "", AF162*10),"")</f>
        <v/>
      </c>
      <c r="AF162" s="610" t="str">
        <f t="shared" ref="AF162:AF225" si="58">IFERROR(IF($D$3="", "", IF(AND($AT$115="Electric", $AT$122="Electric", $AT$131="Electric"), 0, ((X162-AB162)/(U162*1000000))*W162*J162*Q162*S162)),"")</f>
        <v/>
      </c>
      <c r="AG162" s="610" t="str">
        <f t="shared" ref="AG162:AG225" si="59">IFERROR(IF(AC162&lt;&gt;0, AC162*3412/1000000, 0),"")</f>
        <v/>
      </c>
      <c r="AH162" s="608" t="str">
        <f t="shared" ref="AH162:AH225" si="60">IFERROR(IF($D$3="","",IF(OR(AND(ISNUMBER(SEARCH("Domestic_Hot_Water",$K162)),OR(ISNUMBER(SEARCH("Not National Grid",$D$17)),ISNUMBER(SEARCH("Oil/Propane/Wood",$D$17)))),AND(ISNUMBER(SEARCH("Cooling",$K162)),ISNUMBER(SEARCH("Not National Grid",$D$16))),AND(NOT(ISNUMBER(SEARCH("Domestic_Hot_Water",$K162))),NOT(ISNUMBER(SEARCH("Cooling",$K162))),OR(ISNUMBER(SEARCH("Not National Grid",$D$15)),ISNUMBER(SEARCH("Oil/Propane/Wood",$D$15))))),0,IF(AA162="No",0,IF(M162="PERTHERM",N162*AE162,N162*W162)))),"")</f>
        <v/>
      </c>
      <c r="AI162" s="610" t="str">
        <f t="shared" ref="AI162:AI225" si="61">IFERROR(AG162+AF162,"")</f>
        <v/>
      </c>
    </row>
    <row r="163" spans="2:35" x14ac:dyDescent="0.25">
      <c r="B163" s="209">
        <v>130</v>
      </c>
      <c r="C163" s="480"/>
      <c r="D163" s="480"/>
      <c r="E163" s="481"/>
      <c r="F163" s="480"/>
      <c r="G163" s="480"/>
      <c r="H163" s="607" t="str">
        <f t="shared" si="46"/>
        <v/>
      </c>
      <c r="I163" s="607" t="str">
        <f t="shared" si="47"/>
        <v/>
      </c>
      <c r="J163" s="607" t="str">
        <f t="shared" si="48"/>
        <v/>
      </c>
      <c r="K163" s="208" t="str">
        <f t="shared" si="49"/>
        <v/>
      </c>
      <c r="L163" s="208" t="str">
        <f t="shared" si="50"/>
        <v/>
      </c>
      <c r="M163" s="208" t="str">
        <f t="shared" ref="M163:M226" si="62">IF($D$3="","",IFERROR(IF(LEFT(L163,7)="LCI_Gas","PERTHERM","PERLF"),""))</f>
        <v/>
      </c>
      <c r="N163" s="608" t="str">
        <f>IF($D$3="", "", IFERROR(VLOOKUP(L163,'PIPE INCENTIVE'!$B$4:$E$19,2,FALSE),""))</f>
        <v/>
      </c>
      <c r="O163" s="608" t="str">
        <f t="shared" ref="O163:O226" si="63">IF($D$3="", "", IFERROR(IF(RIGHT(K163,6)="Fossil","Gas","Electric"),""))</f>
        <v/>
      </c>
      <c r="P163" s="208" t="str">
        <f t="shared" ref="P163:P226" si="64">IFERROR(IF($D$3="", "", IF(AND(G163="Domestic_Hot_Water",$D$18="All Year"),G163&amp;"_AY",IF(AND(G163="Domestic_Hot_Water",$D$18="Heating Season Only"),G163&amp;"_HSO","NOTDHW"))),"")</f>
        <v/>
      </c>
      <c r="Q163" s="208" t="str">
        <f t="shared" si="51"/>
        <v/>
      </c>
      <c r="R163" s="609" t="str">
        <f t="shared" si="52"/>
        <v/>
      </c>
      <c r="S163" s="609" t="str">
        <f t="shared" si="53"/>
        <v/>
      </c>
      <c r="T163" s="609" t="str">
        <f t="shared" si="54"/>
        <v/>
      </c>
      <c r="U163" s="609" t="str" cm="1">
        <f t="array" ref="U163">IFERROR(IF($D$3="","",_xlfn.LET(_xlpm.Mixed,AND(COUNTIF($G$34:$G$533,"Heating_Hot_Water")&gt;0,(COUNTIF($G$34:$G$533,"Steam_Low_Pressure") + COUNTIF($G$34:$G$533,"Steam_Medium_Pressure") + COUNTIF($G$34:$G$533,"Steam_High_Pressure"))&gt;0),_xlpm.fluid, G163,_xlpm.fuel, K163,_xlpm.load,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3" s="609" t="str">
        <f t="shared" ref="V163:V226" si="65">IFERROR(IF($D$3="", "", IF(K163="Domestic_Hot_WaterElectric", 1, 0)),"")</f>
        <v/>
      </c>
      <c r="W163" s="482"/>
      <c r="X163" s="397" t="str" cm="1">
        <f t="array" ref="X163">IFERROR(IF($D$3="","", _xlfn.XLOOKUP(1,($AR$36:$AR$53=F163)*($AS$36:$AS$53=G163), INDEX($AT$36:$BJ$53,,_xlfn.XMATCH(E163,$AT$35:$BJ$35)))),"")</f>
        <v/>
      </c>
      <c r="Y163" s="480"/>
      <c r="Z163" s="482"/>
      <c r="AA163" s="607" t="str" cm="1">
        <f t="array" ref="AA163">IFERROR(IF($D$3="", "", _xlfn.LET(_xlpm.dia, E163, _xlpm.thk, Z163, _xlpm.temp, I163,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3" s="397" t="str" cm="1">
        <f t="array" ref="AB163">IFERROR(IF($D$3="", "", _xlfn.XLOOKUP(1,($AR$57:$AR$76=Y163)*($AS$57:$AS$76=Z163), INDEX($AT$57:$BJ$76,,_xlfn.XMATCH(E163,$AT$56:$BJ$56)))),"")</f>
        <v/>
      </c>
      <c r="AC163" s="208" t="str">
        <f t="shared" si="55"/>
        <v/>
      </c>
      <c r="AD163" s="397" t="str">
        <f t="shared" si="56"/>
        <v/>
      </c>
      <c r="AE163" s="610" t="str">
        <f t="shared" si="57"/>
        <v/>
      </c>
      <c r="AF163" s="610" t="str">
        <f t="shared" si="58"/>
        <v/>
      </c>
      <c r="AG163" s="610" t="str">
        <f t="shared" si="59"/>
        <v/>
      </c>
      <c r="AH163" s="608" t="str">
        <f t="shared" si="60"/>
        <v/>
      </c>
      <c r="AI163" s="610" t="str">
        <f t="shared" si="61"/>
        <v/>
      </c>
    </row>
    <row r="164" spans="2:35" x14ac:dyDescent="0.25">
      <c r="B164" s="209">
        <v>131</v>
      </c>
      <c r="C164" s="480"/>
      <c r="D164" s="480"/>
      <c r="E164" s="481"/>
      <c r="F164" s="480"/>
      <c r="G164" s="480"/>
      <c r="H164" s="607" t="str">
        <f t="shared" si="46"/>
        <v/>
      </c>
      <c r="I164" s="607" t="str">
        <f t="shared" si="47"/>
        <v/>
      </c>
      <c r="J164" s="607" t="str">
        <f t="shared" si="48"/>
        <v/>
      </c>
      <c r="K164" s="208" t="str">
        <f t="shared" si="49"/>
        <v/>
      </c>
      <c r="L164" s="208" t="str">
        <f t="shared" si="50"/>
        <v/>
      </c>
      <c r="M164" s="208" t="str">
        <f t="shared" si="62"/>
        <v/>
      </c>
      <c r="N164" s="608" t="str">
        <f>IF($D$3="", "", IFERROR(VLOOKUP(L164,'PIPE INCENTIVE'!$B$4:$E$19,2,FALSE),""))</f>
        <v/>
      </c>
      <c r="O164" s="608" t="str">
        <f t="shared" si="63"/>
        <v/>
      </c>
      <c r="P164" s="208" t="str">
        <f t="shared" si="64"/>
        <v/>
      </c>
      <c r="Q164" s="208" t="str">
        <f t="shared" si="51"/>
        <v/>
      </c>
      <c r="R164" s="609" t="str">
        <f t="shared" si="52"/>
        <v/>
      </c>
      <c r="S164" s="609" t="str">
        <f t="shared" si="53"/>
        <v/>
      </c>
      <c r="T164" s="609" t="str">
        <f t="shared" si="54"/>
        <v/>
      </c>
      <c r="U164" s="609" t="str" cm="1">
        <f t="array" ref="U164">IFERROR(IF($D$3="","",_xlfn.LET(_xlpm.Mixed,AND(COUNTIF($G$34:$G$533,"Heating_Hot_Water")&gt;0,(COUNTIF($G$34:$G$533,"Steam_Low_Pressure") + COUNTIF($G$34:$G$533,"Steam_Medium_Pressure") + COUNTIF($G$34:$G$533,"Steam_High_Pressure"))&gt;0),_xlpm.fluid, G164,_xlpm.fuel, K164,_xlpm.load,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4" s="609" t="str">
        <f t="shared" si="65"/>
        <v/>
      </c>
      <c r="W164" s="482"/>
      <c r="X164" s="397" t="str" cm="1">
        <f t="array" ref="X164">IFERROR(IF($D$3="","", _xlfn.XLOOKUP(1,($AR$36:$AR$53=F164)*($AS$36:$AS$53=G164), INDEX($AT$36:$BJ$53,,_xlfn.XMATCH(E164,$AT$35:$BJ$35)))),"")</f>
        <v/>
      </c>
      <c r="Y164" s="480"/>
      <c r="Z164" s="482"/>
      <c r="AA164" s="607" t="str" cm="1">
        <f t="array" ref="AA164">IFERROR(IF($D$3="", "", _xlfn.LET(_xlpm.dia, E164, _xlpm.thk, Z164, _xlpm.temp, I164,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4" s="397" t="str" cm="1">
        <f t="array" ref="AB164">IFERROR(IF($D$3="", "", _xlfn.XLOOKUP(1,($AR$57:$AR$76=Y164)*($AS$57:$AS$76=Z164), INDEX($AT$57:$BJ$76,,_xlfn.XMATCH(E164,$AT$56:$BJ$56)))),"")</f>
        <v/>
      </c>
      <c r="AC164" s="208" t="str">
        <f t="shared" si="55"/>
        <v/>
      </c>
      <c r="AD164" s="397" t="str">
        <f t="shared" si="56"/>
        <v/>
      </c>
      <c r="AE164" s="610" t="str">
        <f t="shared" si="57"/>
        <v/>
      </c>
      <c r="AF164" s="610" t="str">
        <f t="shared" si="58"/>
        <v/>
      </c>
      <c r="AG164" s="610" t="str">
        <f t="shared" si="59"/>
        <v/>
      </c>
      <c r="AH164" s="608" t="str">
        <f t="shared" si="60"/>
        <v/>
      </c>
      <c r="AI164" s="610" t="str">
        <f t="shared" si="61"/>
        <v/>
      </c>
    </row>
    <row r="165" spans="2:35" x14ac:dyDescent="0.25">
      <c r="B165" s="209">
        <v>132</v>
      </c>
      <c r="C165" s="480"/>
      <c r="D165" s="480"/>
      <c r="E165" s="481"/>
      <c r="F165" s="480"/>
      <c r="G165" s="480"/>
      <c r="H165" s="607" t="str">
        <f t="shared" si="46"/>
        <v/>
      </c>
      <c r="I165" s="607" t="str">
        <f t="shared" si="47"/>
        <v/>
      </c>
      <c r="J165" s="607" t="str">
        <f t="shared" si="48"/>
        <v/>
      </c>
      <c r="K165" s="208" t="str">
        <f t="shared" si="49"/>
        <v/>
      </c>
      <c r="L165" s="208" t="str">
        <f t="shared" si="50"/>
        <v/>
      </c>
      <c r="M165" s="208" t="str">
        <f t="shared" si="62"/>
        <v/>
      </c>
      <c r="N165" s="608" t="str">
        <f>IF($D$3="", "", IFERROR(VLOOKUP(L165,'PIPE INCENTIVE'!$B$4:$E$19,2,FALSE),""))</f>
        <v/>
      </c>
      <c r="O165" s="608" t="str">
        <f t="shared" si="63"/>
        <v/>
      </c>
      <c r="P165" s="208" t="str">
        <f t="shared" si="64"/>
        <v/>
      </c>
      <c r="Q165" s="208" t="str">
        <f t="shared" si="51"/>
        <v/>
      </c>
      <c r="R165" s="609" t="str">
        <f t="shared" si="52"/>
        <v/>
      </c>
      <c r="S165" s="609" t="str">
        <f t="shared" si="53"/>
        <v/>
      </c>
      <c r="T165" s="609" t="str">
        <f t="shared" si="54"/>
        <v/>
      </c>
      <c r="U165" s="609" t="str" cm="1">
        <f t="array" ref="U165">IFERROR(IF($D$3="","",_xlfn.LET(_xlpm.Mixed,AND(COUNTIF($G$34:$G$533,"Heating_Hot_Water")&gt;0,(COUNTIF($G$34:$G$533,"Steam_Low_Pressure") + COUNTIF($G$34:$G$533,"Steam_Medium_Pressure") + COUNTIF($G$34:$G$533,"Steam_High_Pressure"))&gt;0),_xlpm.fluid, G165,_xlpm.fuel, K165,_xlpm.load,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5" s="609" t="str">
        <f t="shared" si="65"/>
        <v/>
      </c>
      <c r="W165" s="482"/>
      <c r="X165" s="397" t="str" cm="1">
        <f t="array" ref="X165">IFERROR(IF($D$3="","", _xlfn.XLOOKUP(1,($AR$36:$AR$53=F165)*($AS$36:$AS$53=G165), INDEX($AT$36:$BJ$53,,_xlfn.XMATCH(E165,$AT$35:$BJ$35)))),"")</f>
        <v/>
      </c>
      <c r="Y165" s="480"/>
      <c r="Z165" s="482"/>
      <c r="AA165" s="607" t="str" cm="1">
        <f t="array" ref="AA165">IFERROR(IF($D$3="", "", _xlfn.LET(_xlpm.dia, E165, _xlpm.thk, Z165, _xlpm.temp, I165,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5" s="397" t="str" cm="1">
        <f t="array" ref="AB165">IFERROR(IF($D$3="", "", _xlfn.XLOOKUP(1,($AR$57:$AR$76=Y165)*($AS$57:$AS$76=Z165), INDEX($AT$57:$BJ$76,,_xlfn.XMATCH(E165,$AT$56:$BJ$56)))),"")</f>
        <v/>
      </c>
      <c r="AC165" s="208" t="str">
        <f t="shared" si="55"/>
        <v/>
      </c>
      <c r="AD165" s="397" t="str">
        <f t="shared" si="56"/>
        <v/>
      </c>
      <c r="AE165" s="610" t="str">
        <f t="shared" si="57"/>
        <v/>
      </c>
      <c r="AF165" s="610" t="str">
        <f t="shared" si="58"/>
        <v/>
      </c>
      <c r="AG165" s="610" t="str">
        <f t="shared" si="59"/>
        <v/>
      </c>
      <c r="AH165" s="608" t="str">
        <f t="shared" si="60"/>
        <v/>
      </c>
      <c r="AI165" s="610" t="str">
        <f t="shared" si="61"/>
        <v/>
      </c>
    </row>
    <row r="166" spans="2:35" x14ac:dyDescent="0.25">
      <c r="B166" s="209">
        <v>133</v>
      </c>
      <c r="C166" s="480"/>
      <c r="D166" s="480"/>
      <c r="E166" s="481"/>
      <c r="F166" s="480"/>
      <c r="G166" s="480"/>
      <c r="H166" s="607" t="str">
        <f t="shared" si="46"/>
        <v/>
      </c>
      <c r="I166" s="607" t="str">
        <f t="shared" si="47"/>
        <v/>
      </c>
      <c r="J166" s="607" t="str">
        <f t="shared" si="48"/>
        <v/>
      </c>
      <c r="K166" s="208" t="str">
        <f t="shared" si="49"/>
        <v/>
      </c>
      <c r="L166" s="208" t="str">
        <f t="shared" si="50"/>
        <v/>
      </c>
      <c r="M166" s="208" t="str">
        <f t="shared" si="62"/>
        <v/>
      </c>
      <c r="N166" s="608" t="str">
        <f>IF($D$3="", "", IFERROR(VLOOKUP(L166,'PIPE INCENTIVE'!$B$4:$E$19,2,FALSE),""))</f>
        <v/>
      </c>
      <c r="O166" s="608" t="str">
        <f t="shared" si="63"/>
        <v/>
      </c>
      <c r="P166" s="208" t="str">
        <f t="shared" si="64"/>
        <v/>
      </c>
      <c r="Q166" s="208" t="str">
        <f t="shared" si="51"/>
        <v/>
      </c>
      <c r="R166" s="609" t="str">
        <f t="shared" si="52"/>
        <v/>
      </c>
      <c r="S166" s="609" t="str">
        <f t="shared" si="53"/>
        <v/>
      </c>
      <c r="T166" s="609" t="str">
        <f t="shared" si="54"/>
        <v/>
      </c>
      <c r="U166" s="609" t="str" cm="1">
        <f t="array" ref="U166">IFERROR(IF($D$3="","",_xlfn.LET(_xlpm.Mixed,AND(COUNTIF($G$34:$G$533,"Heating_Hot_Water")&gt;0,(COUNTIF($G$34:$G$533,"Steam_Low_Pressure") + COUNTIF($G$34:$G$533,"Steam_Medium_Pressure") + COUNTIF($G$34:$G$533,"Steam_High_Pressure"))&gt;0),_xlpm.fluid, G166,_xlpm.fuel, K166,_xlpm.load,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6" s="609" t="str">
        <f t="shared" si="65"/>
        <v/>
      </c>
      <c r="W166" s="482"/>
      <c r="X166" s="397" t="str" cm="1">
        <f t="array" ref="X166">IFERROR(IF($D$3="","", _xlfn.XLOOKUP(1,($AR$36:$AR$53=F166)*($AS$36:$AS$53=G166), INDEX($AT$36:$BJ$53,,_xlfn.XMATCH(E166,$AT$35:$BJ$35)))),"")</f>
        <v/>
      </c>
      <c r="Y166" s="480"/>
      <c r="Z166" s="482"/>
      <c r="AA166" s="607" t="str" cm="1">
        <f t="array" ref="AA166">IFERROR(IF($D$3="", "", _xlfn.LET(_xlpm.dia, E166, _xlpm.thk, Z166, _xlpm.temp, I166,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6" s="397" t="str" cm="1">
        <f t="array" ref="AB166">IFERROR(IF($D$3="", "", _xlfn.XLOOKUP(1,($AR$57:$AR$76=Y166)*($AS$57:$AS$76=Z166), INDEX($AT$57:$BJ$76,,_xlfn.XMATCH(E166,$AT$56:$BJ$56)))),"")</f>
        <v/>
      </c>
      <c r="AC166" s="208" t="str">
        <f t="shared" si="55"/>
        <v/>
      </c>
      <c r="AD166" s="397" t="str">
        <f t="shared" si="56"/>
        <v/>
      </c>
      <c r="AE166" s="610" t="str">
        <f t="shared" si="57"/>
        <v/>
      </c>
      <c r="AF166" s="610" t="str">
        <f t="shared" si="58"/>
        <v/>
      </c>
      <c r="AG166" s="610" t="str">
        <f t="shared" si="59"/>
        <v/>
      </c>
      <c r="AH166" s="608" t="str">
        <f t="shared" si="60"/>
        <v/>
      </c>
      <c r="AI166" s="610" t="str">
        <f t="shared" si="61"/>
        <v/>
      </c>
    </row>
    <row r="167" spans="2:35" x14ac:dyDescent="0.25">
      <c r="B167" s="209">
        <v>134</v>
      </c>
      <c r="C167" s="480"/>
      <c r="D167" s="480"/>
      <c r="E167" s="481"/>
      <c r="F167" s="480"/>
      <c r="G167" s="480"/>
      <c r="H167" s="607" t="str">
        <f t="shared" si="46"/>
        <v/>
      </c>
      <c r="I167" s="607" t="str">
        <f t="shared" si="47"/>
        <v/>
      </c>
      <c r="J167" s="607" t="str">
        <f t="shared" si="48"/>
        <v/>
      </c>
      <c r="K167" s="208" t="str">
        <f t="shared" si="49"/>
        <v/>
      </c>
      <c r="L167" s="208" t="str">
        <f t="shared" si="50"/>
        <v/>
      </c>
      <c r="M167" s="208" t="str">
        <f t="shared" si="62"/>
        <v/>
      </c>
      <c r="N167" s="608" t="str">
        <f>IF($D$3="", "", IFERROR(VLOOKUP(L167,'PIPE INCENTIVE'!$B$4:$E$19,2,FALSE),""))</f>
        <v/>
      </c>
      <c r="O167" s="608" t="str">
        <f t="shared" si="63"/>
        <v/>
      </c>
      <c r="P167" s="208" t="str">
        <f t="shared" si="64"/>
        <v/>
      </c>
      <c r="Q167" s="208" t="str">
        <f t="shared" si="51"/>
        <v/>
      </c>
      <c r="R167" s="609" t="str">
        <f t="shared" si="52"/>
        <v/>
      </c>
      <c r="S167" s="609" t="str">
        <f t="shared" si="53"/>
        <v/>
      </c>
      <c r="T167" s="609" t="str">
        <f t="shared" si="54"/>
        <v/>
      </c>
      <c r="U167" s="609" t="str" cm="1">
        <f t="array" ref="U167">IFERROR(IF($D$3="","",_xlfn.LET(_xlpm.Mixed,AND(COUNTIF($G$34:$G$533,"Heating_Hot_Water")&gt;0,(COUNTIF($G$34:$G$533,"Steam_Low_Pressure") + COUNTIF($G$34:$G$533,"Steam_Medium_Pressure") + COUNTIF($G$34:$G$533,"Steam_High_Pressure"))&gt;0),_xlpm.fluid, G167,_xlpm.fuel, K167,_xlpm.load,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7" s="609" t="str">
        <f t="shared" si="65"/>
        <v/>
      </c>
      <c r="W167" s="482"/>
      <c r="X167" s="397" t="str" cm="1">
        <f t="array" ref="X167">IFERROR(IF($D$3="","", _xlfn.XLOOKUP(1,($AR$36:$AR$53=F167)*($AS$36:$AS$53=G167), INDEX($AT$36:$BJ$53,,_xlfn.XMATCH(E167,$AT$35:$BJ$35)))),"")</f>
        <v/>
      </c>
      <c r="Y167" s="480"/>
      <c r="Z167" s="482"/>
      <c r="AA167" s="607" t="str" cm="1">
        <f t="array" ref="AA167">IFERROR(IF($D$3="", "", _xlfn.LET(_xlpm.dia, E167, _xlpm.thk, Z167, _xlpm.temp, I167,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7" s="397" t="str" cm="1">
        <f t="array" ref="AB167">IFERROR(IF($D$3="", "", _xlfn.XLOOKUP(1,($AR$57:$AR$76=Y167)*($AS$57:$AS$76=Z167), INDEX($AT$57:$BJ$76,,_xlfn.XMATCH(E167,$AT$56:$BJ$56)))),"")</f>
        <v/>
      </c>
      <c r="AC167" s="208" t="str">
        <f t="shared" si="55"/>
        <v/>
      </c>
      <c r="AD167" s="397" t="str">
        <f t="shared" si="56"/>
        <v/>
      </c>
      <c r="AE167" s="610" t="str">
        <f t="shared" si="57"/>
        <v/>
      </c>
      <c r="AF167" s="610" t="str">
        <f t="shared" si="58"/>
        <v/>
      </c>
      <c r="AG167" s="610" t="str">
        <f t="shared" si="59"/>
        <v/>
      </c>
      <c r="AH167" s="608" t="str">
        <f t="shared" si="60"/>
        <v/>
      </c>
      <c r="AI167" s="610" t="str">
        <f t="shared" si="61"/>
        <v/>
      </c>
    </row>
    <row r="168" spans="2:35" x14ac:dyDescent="0.25">
      <c r="B168" s="209">
        <v>135</v>
      </c>
      <c r="C168" s="480"/>
      <c r="D168" s="480"/>
      <c r="E168" s="481"/>
      <c r="F168" s="480"/>
      <c r="G168" s="480"/>
      <c r="H168" s="607" t="str">
        <f t="shared" si="46"/>
        <v/>
      </c>
      <c r="I168" s="607" t="str">
        <f t="shared" si="47"/>
        <v/>
      </c>
      <c r="J168" s="607" t="str">
        <f t="shared" si="48"/>
        <v/>
      </c>
      <c r="K168" s="208" t="str">
        <f t="shared" si="49"/>
        <v/>
      </c>
      <c r="L168" s="208" t="str">
        <f t="shared" si="50"/>
        <v/>
      </c>
      <c r="M168" s="208" t="str">
        <f t="shared" si="62"/>
        <v/>
      </c>
      <c r="N168" s="608" t="str">
        <f>IF($D$3="", "", IFERROR(VLOOKUP(L168,'PIPE INCENTIVE'!$B$4:$E$19,2,FALSE),""))</f>
        <v/>
      </c>
      <c r="O168" s="608" t="str">
        <f t="shared" si="63"/>
        <v/>
      </c>
      <c r="P168" s="208" t="str">
        <f t="shared" si="64"/>
        <v/>
      </c>
      <c r="Q168" s="208" t="str">
        <f t="shared" si="51"/>
        <v/>
      </c>
      <c r="R168" s="609" t="str">
        <f t="shared" si="52"/>
        <v/>
      </c>
      <c r="S168" s="609" t="str">
        <f t="shared" si="53"/>
        <v/>
      </c>
      <c r="T168" s="609" t="str">
        <f t="shared" si="54"/>
        <v/>
      </c>
      <c r="U168" s="609" t="str" cm="1">
        <f t="array" ref="U168">IFERROR(IF($D$3="","",_xlfn.LET(_xlpm.Mixed,AND(COUNTIF($G$34:$G$533,"Heating_Hot_Water")&gt;0,(COUNTIF($G$34:$G$533,"Steam_Low_Pressure") + COUNTIF($G$34:$G$533,"Steam_Medium_Pressure") + COUNTIF($G$34:$G$533,"Steam_High_Pressure"))&gt;0),_xlpm.fluid, G168,_xlpm.fuel, K168,_xlpm.load,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8" s="609" t="str">
        <f t="shared" si="65"/>
        <v/>
      </c>
      <c r="W168" s="482"/>
      <c r="X168" s="397" t="str" cm="1">
        <f t="array" ref="X168">IFERROR(IF($D$3="","", _xlfn.XLOOKUP(1,($AR$36:$AR$53=F168)*($AS$36:$AS$53=G168), INDEX($AT$36:$BJ$53,,_xlfn.XMATCH(E168,$AT$35:$BJ$35)))),"")</f>
        <v/>
      </c>
      <c r="Y168" s="480"/>
      <c r="Z168" s="482"/>
      <c r="AA168" s="607" t="str" cm="1">
        <f t="array" ref="AA168">IFERROR(IF($D$3="", "", _xlfn.LET(_xlpm.dia, E168, _xlpm.thk, Z168, _xlpm.temp, I168,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8" s="397" t="str" cm="1">
        <f t="array" ref="AB168">IFERROR(IF($D$3="", "", _xlfn.XLOOKUP(1,($AR$57:$AR$76=Y168)*($AS$57:$AS$76=Z168), INDEX($AT$57:$BJ$76,,_xlfn.XMATCH(E168,$AT$56:$BJ$56)))),"")</f>
        <v/>
      </c>
      <c r="AC168" s="208" t="str">
        <f t="shared" si="55"/>
        <v/>
      </c>
      <c r="AD168" s="397" t="str">
        <f t="shared" si="56"/>
        <v/>
      </c>
      <c r="AE168" s="610" t="str">
        <f t="shared" si="57"/>
        <v/>
      </c>
      <c r="AF168" s="610" t="str">
        <f t="shared" si="58"/>
        <v/>
      </c>
      <c r="AG168" s="610" t="str">
        <f t="shared" si="59"/>
        <v/>
      </c>
      <c r="AH168" s="608" t="str">
        <f t="shared" si="60"/>
        <v/>
      </c>
      <c r="AI168" s="610" t="str">
        <f t="shared" si="61"/>
        <v/>
      </c>
    </row>
    <row r="169" spans="2:35" x14ac:dyDescent="0.25">
      <c r="B169" s="209">
        <v>136</v>
      </c>
      <c r="C169" s="480"/>
      <c r="D169" s="480"/>
      <c r="E169" s="481"/>
      <c r="F169" s="480"/>
      <c r="G169" s="480"/>
      <c r="H169" s="607" t="str">
        <f t="shared" si="46"/>
        <v/>
      </c>
      <c r="I169" s="607" t="str">
        <f t="shared" si="47"/>
        <v/>
      </c>
      <c r="J169" s="607" t="str">
        <f t="shared" si="48"/>
        <v/>
      </c>
      <c r="K169" s="208" t="str">
        <f t="shared" si="49"/>
        <v/>
      </c>
      <c r="L169" s="208" t="str">
        <f t="shared" si="50"/>
        <v/>
      </c>
      <c r="M169" s="208" t="str">
        <f t="shared" si="62"/>
        <v/>
      </c>
      <c r="N169" s="608" t="str">
        <f>IF($D$3="", "", IFERROR(VLOOKUP(L169,'PIPE INCENTIVE'!$B$4:$E$19,2,FALSE),""))</f>
        <v/>
      </c>
      <c r="O169" s="608" t="str">
        <f t="shared" si="63"/>
        <v/>
      </c>
      <c r="P169" s="208" t="str">
        <f t="shared" si="64"/>
        <v/>
      </c>
      <c r="Q169" s="208" t="str">
        <f t="shared" si="51"/>
        <v/>
      </c>
      <c r="R169" s="609" t="str">
        <f t="shared" si="52"/>
        <v/>
      </c>
      <c r="S169" s="609" t="str">
        <f t="shared" si="53"/>
        <v/>
      </c>
      <c r="T169" s="609" t="str">
        <f t="shared" si="54"/>
        <v/>
      </c>
      <c r="U169" s="609" t="str" cm="1">
        <f t="array" ref="U169">IFERROR(IF($D$3="","",_xlfn.LET(_xlpm.Mixed,AND(COUNTIF($G$34:$G$533,"Heating_Hot_Water")&gt;0,(COUNTIF($G$34:$G$533,"Steam_Low_Pressure") + COUNTIF($G$34:$G$533,"Steam_Medium_Pressure") + COUNTIF($G$34:$G$533,"Steam_High_Pressure"))&gt;0),_xlpm.fluid, G169,_xlpm.fuel, K169,_xlpm.load,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69" s="609" t="str">
        <f t="shared" si="65"/>
        <v/>
      </c>
      <c r="W169" s="482"/>
      <c r="X169" s="397" t="str" cm="1">
        <f t="array" ref="X169">IFERROR(IF($D$3="","", _xlfn.XLOOKUP(1,($AR$36:$AR$53=F169)*($AS$36:$AS$53=G169), INDEX($AT$36:$BJ$53,,_xlfn.XMATCH(E169,$AT$35:$BJ$35)))),"")</f>
        <v/>
      </c>
      <c r="Y169" s="480"/>
      <c r="Z169" s="482"/>
      <c r="AA169" s="607" t="str" cm="1">
        <f t="array" ref="AA169">IFERROR(IF($D$3="", "", _xlfn.LET(_xlpm.dia, E169, _xlpm.thk, Z169, _xlpm.temp, I169,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69" s="397" t="str" cm="1">
        <f t="array" ref="AB169">IFERROR(IF($D$3="", "", _xlfn.XLOOKUP(1,($AR$57:$AR$76=Y169)*($AS$57:$AS$76=Z169), INDEX($AT$57:$BJ$76,,_xlfn.XMATCH(E169,$AT$56:$BJ$56)))),"")</f>
        <v/>
      </c>
      <c r="AC169" s="208" t="str">
        <f t="shared" si="55"/>
        <v/>
      </c>
      <c r="AD169" s="397" t="str">
        <f t="shared" si="56"/>
        <v/>
      </c>
      <c r="AE169" s="610" t="str">
        <f t="shared" si="57"/>
        <v/>
      </c>
      <c r="AF169" s="610" t="str">
        <f t="shared" si="58"/>
        <v/>
      </c>
      <c r="AG169" s="610" t="str">
        <f t="shared" si="59"/>
        <v/>
      </c>
      <c r="AH169" s="608" t="str">
        <f t="shared" si="60"/>
        <v/>
      </c>
      <c r="AI169" s="610" t="str">
        <f t="shared" si="61"/>
        <v/>
      </c>
    </row>
    <row r="170" spans="2:35" x14ac:dyDescent="0.25">
      <c r="B170" s="209">
        <v>137</v>
      </c>
      <c r="C170" s="480"/>
      <c r="D170" s="480"/>
      <c r="E170" s="481"/>
      <c r="F170" s="480"/>
      <c r="G170" s="480"/>
      <c r="H170" s="607" t="str">
        <f t="shared" si="46"/>
        <v/>
      </c>
      <c r="I170" s="607" t="str">
        <f t="shared" si="47"/>
        <v/>
      </c>
      <c r="J170" s="607" t="str">
        <f t="shared" si="48"/>
        <v/>
      </c>
      <c r="K170" s="208" t="str">
        <f t="shared" si="49"/>
        <v/>
      </c>
      <c r="L170" s="208" t="str">
        <f t="shared" si="50"/>
        <v/>
      </c>
      <c r="M170" s="208" t="str">
        <f t="shared" si="62"/>
        <v/>
      </c>
      <c r="N170" s="608" t="str">
        <f>IF($D$3="", "", IFERROR(VLOOKUP(L170,'PIPE INCENTIVE'!$B$4:$E$19,2,FALSE),""))</f>
        <v/>
      </c>
      <c r="O170" s="608" t="str">
        <f t="shared" si="63"/>
        <v/>
      </c>
      <c r="P170" s="208" t="str">
        <f t="shared" si="64"/>
        <v/>
      </c>
      <c r="Q170" s="208" t="str">
        <f t="shared" si="51"/>
        <v/>
      </c>
      <c r="R170" s="609" t="str">
        <f t="shared" si="52"/>
        <v/>
      </c>
      <c r="S170" s="609" t="str">
        <f t="shared" si="53"/>
        <v/>
      </c>
      <c r="T170" s="609" t="str">
        <f t="shared" si="54"/>
        <v/>
      </c>
      <c r="U170" s="609" t="str" cm="1">
        <f t="array" ref="U170">IFERROR(IF($D$3="","",_xlfn.LET(_xlpm.Mixed,AND(COUNTIF($G$34:$G$533,"Heating_Hot_Water")&gt;0,(COUNTIF($G$34:$G$533,"Steam_Low_Pressure") + COUNTIF($G$34:$G$533,"Steam_Medium_Pressure") + COUNTIF($G$34:$G$533,"Steam_High_Pressure"))&gt;0),_xlpm.fluid, G170,_xlpm.fuel, K170,_xlpm.load,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0" s="609" t="str">
        <f t="shared" si="65"/>
        <v/>
      </c>
      <c r="W170" s="482"/>
      <c r="X170" s="397" t="str" cm="1">
        <f t="array" ref="X170">IFERROR(IF($D$3="","", _xlfn.XLOOKUP(1,($AR$36:$AR$53=F170)*($AS$36:$AS$53=G170), INDEX($AT$36:$BJ$53,,_xlfn.XMATCH(E170,$AT$35:$BJ$35)))),"")</f>
        <v/>
      </c>
      <c r="Y170" s="480"/>
      <c r="Z170" s="482"/>
      <c r="AA170" s="607" t="str" cm="1">
        <f t="array" ref="AA170">IFERROR(IF($D$3="", "", _xlfn.LET(_xlpm.dia, E170, _xlpm.thk, Z170, _xlpm.temp, I170,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0" s="397" t="str" cm="1">
        <f t="array" ref="AB170">IFERROR(IF($D$3="", "", _xlfn.XLOOKUP(1,($AR$57:$AR$76=Y170)*($AS$57:$AS$76=Z170), INDEX($AT$57:$BJ$76,,_xlfn.XMATCH(E170,$AT$56:$BJ$56)))),"")</f>
        <v/>
      </c>
      <c r="AC170" s="208" t="str">
        <f t="shared" si="55"/>
        <v/>
      </c>
      <c r="AD170" s="397" t="str">
        <f t="shared" si="56"/>
        <v/>
      </c>
      <c r="AE170" s="610" t="str">
        <f t="shared" si="57"/>
        <v/>
      </c>
      <c r="AF170" s="610" t="str">
        <f t="shared" si="58"/>
        <v/>
      </c>
      <c r="AG170" s="610" t="str">
        <f t="shared" si="59"/>
        <v/>
      </c>
      <c r="AH170" s="608" t="str">
        <f t="shared" si="60"/>
        <v/>
      </c>
      <c r="AI170" s="610" t="str">
        <f t="shared" si="61"/>
        <v/>
      </c>
    </row>
    <row r="171" spans="2:35" x14ac:dyDescent="0.25">
      <c r="B171" s="209">
        <v>138</v>
      </c>
      <c r="C171" s="480"/>
      <c r="D171" s="480"/>
      <c r="E171" s="481"/>
      <c r="F171" s="480"/>
      <c r="G171" s="480"/>
      <c r="H171" s="607" t="str">
        <f t="shared" si="46"/>
        <v/>
      </c>
      <c r="I171" s="607" t="str">
        <f t="shared" si="47"/>
        <v/>
      </c>
      <c r="J171" s="607" t="str">
        <f t="shared" si="48"/>
        <v/>
      </c>
      <c r="K171" s="208" t="str">
        <f t="shared" si="49"/>
        <v/>
      </c>
      <c r="L171" s="208" t="str">
        <f t="shared" si="50"/>
        <v/>
      </c>
      <c r="M171" s="208" t="str">
        <f t="shared" si="62"/>
        <v/>
      </c>
      <c r="N171" s="608" t="str">
        <f>IF($D$3="", "", IFERROR(VLOOKUP(L171,'PIPE INCENTIVE'!$B$4:$E$19,2,FALSE),""))</f>
        <v/>
      </c>
      <c r="O171" s="608" t="str">
        <f t="shared" si="63"/>
        <v/>
      </c>
      <c r="P171" s="208" t="str">
        <f t="shared" si="64"/>
        <v/>
      </c>
      <c r="Q171" s="208" t="str">
        <f t="shared" si="51"/>
        <v/>
      </c>
      <c r="R171" s="609" t="str">
        <f t="shared" si="52"/>
        <v/>
      </c>
      <c r="S171" s="609" t="str">
        <f t="shared" si="53"/>
        <v/>
      </c>
      <c r="T171" s="609" t="str">
        <f t="shared" si="54"/>
        <v/>
      </c>
      <c r="U171" s="609" t="str" cm="1">
        <f t="array" ref="U171">IFERROR(IF($D$3="","",_xlfn.LET(_xlpm.Mixed,AND(COUNTIF($G$34:$G$533,"Heating_Hot_Water")&gt;0,(COUNTIF($G$34:$G$533,"Steam_Low_Pressure") + COUNTIF($G$34:$G$533,"Steam_Medium_Pressure") + COUNTIF($G$34:$G$533,"Steam_High_Pressure"))&gt;0),_xlpm.fluid, G171,_xlpm.fuel, K171,_xlpm.load,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1" s="609" t="str">
        <f t="shared" si="65"/>
        <v/>
      </c>
      <c r="W171" s="482"/>
      <c r="X171" s="397" t="str" cm="1">
        <f t="array" ref="X171">IFERROR(IF($D$3="","", _xlfn.XLOOKUP(1,($AR$36:$AR$53=F171)*($AS$36:$AS$53=G171), INDEX($AT$36:$BJ$53,,_xlfn.XMATCH(E171,$AT$35:$BJ$35)))),"")</f>
        <v/>
      </c>
      <c r="Y171" s="480"/>
      <c r="Z171" s="482"/>
      <c r="AA171" s="607" t="str" cm="1">
        <f t="array" ref="AA171">IFERROR(IF($D$3="", "", _xlfn.LET(_xlpm.dia, E171, _xlpm.thk, Z171, _xlpm.temp, I171,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1" s="397" t="str" cm="1">
        <f t="array" ref="AB171">IFERROR(IF($D$3="", "", _xlfn.XLOOKUP(1,($AR$57:$AR$76=Y171)*($AS$57:$AS$76=Z171), INDEX($AT$57:$BJ$76,,_xlfn.XMATCH(E171,$AT$56:$BJ$56)))),"")</f>
        <v/>
      </c>
      <c r="AC171" s="208" t="str">
        <f t="shared" si="55"/>
        <v/>
      </c>
      <c r="AD171" s="397" t="str">
        <f t="shared" si="56"/>
        <v/>
      </c>
      <c r="AE171" s="610" t="str">
        <f t="shared" si="57"/>
        <v/>
      </c>
      <c r="AF171" s="610" t="str">
        <f t="shared" si="58"/>
        <v/>
      </c>
      <c r="AG171" s="610" t="str">
        <f t="shared" si="59"/>
        <v/>
      </c>
      <c r="AH171" s="608" t="str">
        <f t="shared" si="60"/>
        <v/>
      </c>
      <c r="AI171" s="610" t="str">
        <f t="shared" si="61"/>
        <v/>
      </c>
    </row>
    <row r="172" spans="2:35" x14ac:dyDescent="0.25">
      <c r="B172" s="209">
        <v>139</v>
      </c>
      <c r="C172" s="480"/>
      <c r="D172" s="480"/>
      <c r="E172" s="481"/>
      <c r="F172" s="480"/>
      <c r="G172" s="480"/>
      <c r="H172" s="607" t="str">
        <f t="shared" si="46"/>
        <v/>
      </c>
      <c r="I172" s="607" t="str">
        <f t="shared" si="47"/>
        <v/>
      </c>
      <c r="J172" s="607" t="str">
        <f t="shared" si="48"/>
        <v/>
      </c>
      <c r="K172" s="208" t="str">
        <f t="shared" si="49"/>
        <v/>
      </c>
      <c r="L172" s="208" t="str">
        <f t="shared" si="50"/>
        <v/>
      </c>
      <c r="M172" s="208" t="str">
        <f t="shared" si="62"/>
        <v/>
      </c>
      <c r="N172" s="608" t="str">
        <f>IF($D$3="", "", IFERROR(VLOOKUP(L172,'PIPE INCENTIVE'!$B$4:$E$19,2,FALSE),""))</f>
        <v/>
      </c>
      <c r="O172" s="608" t="str">
        <f t="shared" si="63"/>
        <v/>
      </c>
      <c r="P172" s="208" t="str">
        <f t="shared" si="64"/>
        <v/>
      </c>
      <c r="Q172" s="208" t="str">
        <f t="shared" si="51"/>
        <v/>
      </c>
      <c r="R172" s="609" t="str">
        <f t="shared" si="52"/>
        <v/>
      </c>
      <c r="S172" s="609" t="str">
        <f t="shared" si="53"/>
        <v/>
      </c>
      <c r="T172" s="609" t="str">
        <f t="shared" si="54"/>
        <v/>
      </c>
      <c r="U172" s="609" t="str" cm="1">
        <f t="array" ref="U172">IFERROR(IF($D$3="","",_xlfn.LET(_xlpm.Mixed,AND(COUNTIF($G$34:$G$533,"Heating_Hot_Water")&gt;0,(COUNTIF($G$34:$G$533,"Steam_Low_Pressure") + COUNTIF($G$34:$G$533,"Steam_Medium_Pressure") + COUNTIF($G$34:$G$533,"Steam_High_Pressure"))&gt;0),_xlpm.fluid, G172,_xlpm.fuel, K172,_xlpm.load,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2" s="609" t="str">
        <f t="shared" si="65"/>
        <v/>
      </c>
      <c r="W172" s="482"/>
      <c r="X172" s="397" t="str" cm="1">
        <f t="array" ref="X172">IFERROR(IF($D$3="","", _xlfn.XLOOKUP(1,($AR$36:$AR$53=F172)*($AS$36:$AS$53=G172), INDEX($AT$36:$BJ$53,,_xlfn.XMATCH(E172,$AT$35:$BJ$35)))),"")</f>
        <v/>
      </c>
      <c r="Y172" s="480"/>
      <c r="Z172" s="482"/>
      <c r="AA172" s="607" t="str" cm="1">
        <f t="array" ref="AA172">IFERROR(IF($D$3="", "", _xlfn.LET(_xlpm.dia, E172, _xlpm.thk, Z172, _xlpm.temp, I172,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2" s="397" t="str" cm="1">
        <f t="array" ref="AB172">IFERROR(IF($D$3="", "", _xlfn.XLOOKUP(1,($AR$57:$AR$76=Y172)*($AS$57:$AS$76=Z172), INDEX($AT$57:$BJ$76,,_xlfn.XMATCH(E172,$AT$56:$BJ$56)))),"")</f>
        <v/>
      </c>
      <c r="AC172" s="208" t="str">
        <f t="shared" si="55"/>
        <v/>
      </c>
      <c r="AD172" s="397" t="str">
        <f t="shared" si="56"/>
        <v/>
      </c>
      <c r="AE172" s="610" t="str">
        <f t="shared" si="57"/>
        <v/>
      </c>
      <c r="AF172" s="610" t="str">
        <f t="shared" si="58"/>
        <v/>
      </c>
      <c r="AG172" s="610" t="str">
        <f t="shared" si="59"/>
        <v/>
      </c>
      <c r="AH172" s="608" t="str">
        <f t="shared" si="60"/>
        <v/>
      </c>
      <c r="AI172" s="610" t="str">
        <f t="shared" si="61"/>
        <v/>
      </c>
    </row>
    <row r="173" spans="2:35" x14ac:dyDescent="0.25">
      <c r="B173" s="209">
        <v>140</v>
      </c>
      <c r="C173" s="480"/>
      <c r="D173" s="480"/>
      <c r="E173" s="481"/>
      <c r="F173" s="480"/>
      <c r="G173" s="480"/>
      <c r="H173" s="607" t="str">
        <f t="shared" si="46"/>
        <v/>
      </c>
      <c r="I173" s="607" t="str">
        <f t="shared" si="47"/>
        <v/>
      </c>
      <c r="J173" s="607" t="str">
        <f t="shared" si="48"/>
        <v/>
      </c>
      <c r="K173" s="208" t="str">
        <f t="shared" si="49"/>
        <v/>
      </c>
      <c r="L173" s="208" t="str">
        <f t="shared" si="50"/>
        <v/>
      </c>
      <c r="M173" s="208" t="str">
        <f t="shared" si="62"/>
        <v/>
      </c>
      <c r="N173" s="608" t="str">
        <f>IF($D$3="", "", IFERROR(VLOOKUP(L173,'PIPE INCENTIVE'!$B$4:$E$19,2,FALSE),""))</f>
        <v/>
      </c>
      <c r="O173" s="608" t="str">
        <f t="shared" si="63"/>
        <v/>
      </c>
      <c r="P173" s="208" t="str">
        <f t="shared" si="64"/>
        <v/>
      </c>
      <c r="Q173" s="208" t="str">
        <f t="shared" si="51"/>
        <v/>
      </c>
      <c r="R173" s="609" t="str">
        <f t="shared" si="52"/>
        <v/>
      </c>
      <c r="S173" s="609" t="str">
        <f t="shared" si="53"/>
        <v/>
      </c>
      <c r="T173" s="609" t="str">
        <f t="shared" si="54"/>
        <v/>
      </c>
      <c r="U173" s="609" t="str" cm="1">
        <f t="array" ref="U173">IFERROR(IF($D$3="","",_xlfn.LET(_xlpm.Mixed,AND(COUNTIF($G$34:$G$533,"Heating_Hot_Water")&gt;0,(COUNTIF($G$34:$G$533,"Steam_Low_Pressure") + COUNTIF($G$34:$G$533,"Steam_Medium_Pressure") + COUNTIF($G$34:$G$533,"Steam_High_Pressure"))&gt;0),_xlpm.fluid, G173,_xlpm.fuel, K173,_xlpm.load,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3" s="609" t="str">
        <f t="shared" si="65"/>
        <v/>
      </c>
      <c r="W173" s="482"/>
      <c r="X173" s="397" t="str" cm="1">
        <f t="array" ref="X173">IFERROR(IF($D$3="","", _xlfn.XLOOKUP(1,($AR$36:$AR$53=F173)*($AS$36:$AS$53=G173), INDEX($AT$36:$BJ$53,,_xlfn.XMATCH(E173,$AT$35:$BJ$35)))),"")</f>
        <v/>
      </c>
      <c r="Y173" s="480"/>
      <c r="Z173" s="482"/>
      <c r="AA173" s="607" t="str" cm="1">
        <f t="array" ref="AA173">IFERROR(IF($D$3="", "", _xlfn.LET(_xlpm.dia, E173, _xlpm.thk, Z173, _xlpm.temp, I173,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3" s="397" t="str" cm="1">
        <f t="array" ref="AB173">IFERROR(IF($D$3="", "", _xlfn.XLOOKUP(1,($AR$57:$AR$76=Y173)*($AS$57:$AS$76=Z173), INDEX($AT$57:$BJ$76,,_xlfn.XMATCH(E173,$AT$56:$BJ$56)))),"")</f>
        <v/>
      </c>
      <c r="AC173" s="208" t="str">
        <f t="shared" si="55"/>
        <v/>
      </c>
      <c r="AD173" s="397" t="str">
        <f t="shared" si="56"/>
        <v/>
      </c>
      <c r="AE173" s="610" t="str">
        <f t="shared" si="57"/>
        <v/>
      </c>
      <c r="AF173" s="610" t="str">
        <f t="shared" si="58"/>
        <v/>
      </c>
      <c r="AG173" s="610" t="str">
        <f t="shared" si="59"/>
        <v/>
      </c>
      <c r="AH173" s="608" t="str">
        <f t="shared" si="60"/>
        <v/>
      </c>
      <c r="AI173" s="610" t="str">
        <f t="shared" si="61"/>
        <v/>
      </c>
    </row>
    <row r="174" spans="2:35" x14ac:dyDescent="0.25">
      <c r="B174" s="209">
        <v>141</v>
      </c>
      <c r="C174" s="480"/>
      <c r="D174" s="480"/>
      <c r="E174" s="481"/>
      <c r="F174" s="480"/>
      <c r="G174" s="480"/>
      <c r="H174" s="607" t="str">
        <f t="shared" si="46"/>
        <v/>
      </c>
      <c r="I174" s="607" t="str">
        <f t="shared" si="47"/>
        <v/>
      </c>
      <c r="J174" s="607" t="str">
        <f t="shared" si="48"/>
        <v/>
      </c>
      <c r="K174" s="208" t="str">
        <f t="shared" si="49"/>
        <v/>
      </c>
      <c r="L174" s="208" t="str">
        <f t="shared" si="50"/>
        <v/>
      </c>
      <c r="M174" s="208" t="str">
        <f t="shared" si="62"/>
        <v/>
      </c>
      <c r="N174" s="608" t="str">
        <f>IF($D$3="", "", IFERROR(VLOOKUP(L174,'PIPE INCENTIVE'!$B$4:$E$19,2,FALSE),""))</f>
        <v/>
      </c>
      <c r="O174" s="608" t="str">
        <f t="shared" si="63"/>
        <v/>
      </c>
      <c r="P174" s="208" t="str">
        <f t="shared" si="64"/>
        <v/>
      </c>
      <c r="Q174" s="208" t="str">
        <f t="shared" si="51"/>
        <v/>
      </c>
      <c r="R174" s="609" t="str">
        <f t="shared" si="52"/>
        <v/>
      </c>
      <c r="S174" s="609" t="str">
        <f t="shared" si="53"/>
        <v/>
      </c>
      <c r="T174" s="609" t="str">
        <f t="shared" si="54"/>
        <v/>
      </c>
      <c r="U174" s="609" t="str" cm="1">
        <f t="array" ref="U174">IFERROR(IF($D$3="","",_xlfn.LET(_xlpm.Mixed,AND(COUNTIF($G$34:$G$533,"Heating_Hot_Water")&gt;0,(COUNTIF($G$34:$G$533,"Steam_Low_Pressure") + COUNTIF($G$34:$G$533,"Steam_Medium_Pressure") + COUNTIF($G$34:$G$533,"Steam_High_Pressure"))&gt;0),_xlpm.fluid, G174,_xlpm.fuel, K174,_xlpm.load,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4" s="609" t="str">
        <f t="shared" si="65"/>
        <v/>
      </c>
      <c r="W174" s="482"/>
      <c r="X174" s="397" t="str" cm="1">
        <f t="array" ref="X174">IFERROR(IF($D$3="","", _xlfn.XLOOKUP(1,($AR$36:$AR$53=F174)*($AS$36:$AS$53=G174), INDEX($AT$36:$BJ$53,,_xlfn.XMATCH(E174,$AT$35:$BJ$35)))),"")</f>
        <v/>
      </c>
      <c r="Y174" s="480"/>
      <c r="Z174" s="482"/>
      <c r="AA174" s="607" t="str" cm="1">
        <f t="array" ref="AA174">IFERROR(IF($D$3="", "", _xlfn.LET(_xlpm.dia, E174, _xlpm.thk, Z174, _xlpm.temp, I174,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4" s="397" t="str" cm="1">
        <f t="array" ref="AB174">IFERROR(IF($D$3="", "", _xlfn.XLOOKUP(1,($AR$57:$AR$76=Y174)*($AS$57:$AS$76=Z174), INDEX($AT$57:$BJ$76,,_xlfn.XMATCH(E174,$AT$56:$BJ$56)))),"")</f>
        <v/>
      </c>
      <c r="AC174" s="208" t="str">
        <f t="shared" si="55"/>
        <v/>
      </c>
      <c r="AD174" s="397" t="str">
        <f t="shared" si="56"/>
        <v/>
      </c>
      <c r="AE174" s="610" t="str">
        <f t="shared" si="57"/>
        <v/>
      </c>
      <c r="AF174" s="610" t="str">
        <f t="shared" si="58"/>
        <v/>
      </c>
      <c r="AG174" s="610" t="str">
        <f t="shared" si="59"/>
        <v/>
      </c>
      <c r="AH174" s="608" t="str">
        <f t="shared" si="60"/>
        <v/>
      </c>
      <c r="AI174" s="610" t="str">
        <f t="shared" si="61"/>
        <v/>
      </c>
    </row>
    <row r="175" spans="2:35" x14ac:dyDescent="0.25">
      <c r="B175" s="209">
        <v>142</v>
      </c>
      <c r="C175" s="480"/>
      <c r="D175" s="480"/>
      <c r="E175" s="481"/>
      <c r="F175" s="480"/>
      <c r="G175" s="480"/>
      <c r="H175" s="607" t="str">
        <f t="shared" si="46"/>
        <v/>
      </c>
      <c r="I175" s="607" t="str">
        <f t="shared" si="47"/>
        <v/>
      </c>
      <c r="J175" s="607" t="str">
        <f t="shared" si="48"/>
        <v/>
      </c>
      <c r="K175" s="208" t="str">
        <f t="shared" si="49"/>
        <v/>
      </c>
      <c r="L175" s="208" t="str">
        <f t="shared" si="50"/>
        <v/>
      </c>
      <c r="M175" s="208" t="str">
        <f t="shared" si="62"/>
        <v/>
      </c>
      <c r="N175" s="608" t="str">
        <f>IF($D$3="", "", IFERROR(VLOOKUP(L175,'PIPE INCENTIVE'!$B$4:$E$19,2,FALSE),""))</f>
        <v/>
      </c>
      <c r="O175" s="608" t="str">
        <f t="shared" si="63"/>
        <v/>
      </c>
      <c r="P175" s="208" t="str">
        <f t="shared" si="64"/>
        <v/>
      </c>
      <c r="Q175" s="208" t="str">
        <f t="shared" si="51"/>
        <v/>
      </c>
      <c r="R175" s="609" t="str">
        <f t="shared" si="52"/>
        <v/>
      </c>
      <c r="S175" s="609" t="str">
        <f t="shared" si="53"/>
        <v/>
      </c>
      <c r="T175" s="609" t="str">
        <f t="shared" si="54"/>
        <v/>
      </c>
      <c r="U175" s="609" t="str" cm="1">
        <f t="array" ref="U175">IFERROR(IF($D$3="","",_xlfn.LET(_xlpm.Mixed,AND(COUNTIF($G$34:$G$533,"Heating_Hot_Water")&gt;0,(COUNTIF($G$34:$G$533,"Steam_Low_Pressure") + COUNTIF($G$34:$G$533,"Steam_Medium_Pressure") + COUNTIF($G$34:$G$533,"Steam_High_Pressure"))&gt;0),_xlpm.fluid, G175,_xlpm.fuel, K175,_xlpm.load,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5" s="609" t="str">
        <f t="shared" si="65"/>
        <v/>
      </c>
      <c r="W175" s="482"/>
      <c r="X175" s="397" t="str" cm="1">
        <f t="array" ref="X175">IFERROR(IF($D$3="","", _xlfn.XLOOKUP(1,($AR$36:$AR$53=F175)*($AS$36:$AS$53=G175), INDEX($AT$36:$BJ$53,,_xlfn.XMATCH(E175,$AT$35:$BJ$35)))),"")</f>
        <v/>
      </c>
      <c r="Y175" s="480"/>
      <c r="Z175" s="482"/>
      <c r="AA175" s="607" t="str" cm="1">
        <f t="array" ref="AA175">IFERROR(IF($D$3="", "", _xlfn.LET(_xlpm.dia, E175, _xlpm.thk, Z175, _xlpm.temp, I175,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5" s="397" t="str" cm="1">
        <f t="array" ref="AB175">IFERROR(IF($D$3="", "", _xlfn.XLOOKUP(1,($AR$57:$AR$76=Y175)*($AS$57:$AS$76=Z175), INDEX($AT$57:$BJ$76,,_xlfn.XMATCH(E175,$AT$56:$BJ$56)))),"")</f>
        <v/>
      </c>
      <c r="AC175" s="208" t="str">
        <f t="shared" si="55"/>
        <v/>
      </c>
      <c r="AD175" s="397" t="str">
        <f t="shared" si="56"/>
        <v/>
      </c>
      <c r="AE175" s="610" t="str">
        <f t="shared" si="57"/>
        <v/>
      </c>
      <c r="AF175" s="610" t="str">
        <f t="shared" si="58"/>
        <v/>
      </c>
      <c r="AG175" s="610" t="str">
        <f t="shared" si="59"/>
        <v/>
      </c>
      <c r="AH175" s="608" t="str">
        <f t="shared" si="60"/>
        <v/>
      </c>
      <c r="AI175" s="610" t="str">
        <f t="shared" si="61"/>
        <v/>
      </c>
    </row>
    <row r="176" spans="2:35" x14ac:dyDescent="0.25">
      <c r="B176" s="209">
        <v>143</v>
      </c>
      <c r="C176" s="480"/>
      <c r="D176" s="480"/>
      <c r="E176" s="481"/>
      <c r="F176" s="480"/>
      <c r="G176" s="480"/>
      <c r="H176" s="607" t="str">
        <f t="shared" si="46"/>
        <v/>
      </c>
      <c r="I176" s="607" t="str">
        <f t="shared" si="47"/>
        <v/>
      </c>
      <c r="J176" s="607" t="str">
        <f t="shared" si="48"/>
        <v/>
      </c>
      <c r="K176" s="208" t="str">
        <f t="shared" si="49"/>
        <v/>
      </c>
      <c r="L176" s="208" t="str">
        <f t="shared" si="50"/>
        <v/>
      </c>
      <c r="M176" s="208" t="str">
        <f t="shared" si="62"/>
        <v/>
      </c>
      <c r="N176" s="608" t="str">
        <f>IF($D$3="", "", IFERROR(VLOOKUP(L176,'PIPE INCENTIVE'!$B$4:$E$19,2,FALSE),""))</f>
        <v/>
      </c>
      <c r="O176" s="608" t="str">
        <f t="shared" si="63"/>
        <v/>
      </c>
      <c r="P176" s="208" t="str">
        <f t="shared" si="64"/>
        <v/>
      </c>
      <c r="Q176" s="208" t="str">
        <f t="shared" si="51"/>
        <v/>
      </c>
      <c r="R176" s="609" t="str">
        <f t="shared" si="52"/>
        <v/>
      </c>
      <c r="S176" s="609" t="str">
        <f t="shared" si="53"/>
        <v/>
      </c>
      <c r="T176" s="609" t="str">
        <f t="shared" si="54"/>
        <v/>
      </c>
      <c r="U176" s="609" t="str" cm="1">
        <f t="array" ref="U176">IFERROR(IF($D$3="","",_xlfn.LET(_xlpm.Mixed,AND(COUNTIF($G$34:$G$533,"Heating_Hot_Water")&gt;0,(COUNTIF($G$34:$G$533,"Steam_Low_Pressure") + COUNTIF($G$34:$G$533,"Steam_Medium_Pressure") + COUNTIF($G$34:$G$533,"Steam_High_Pressure"))&gt;0),_xlpm.fluid, G176,_xlpm.fuel, K176,_xlpm.load,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6" s="609" t="str">
        <f t="shared" si="65"/>
        <v/>
      </c>
      <c r="W176" s="482"/>
      <c r="X176" s="397" t="str" cm="1">
        <f t="array" ref="X176">IFERROR(IF($D$3="","", _xlfn.XLOOKUP(1,($AR$36:$AR$53=F176)*($AS$36:$AS$53=G176), INDEX($AT$36:$BJ$53,,_xlfn.XMATCH(E176,$AT$35:$BJ$35)))),"")</f>
        <v/>
      </c>
      <c r="Y176" s="480"/>
      <c r="Z176" s="482"/>
      <c r="AA176" s="607" t="str" cm="1">
        <f t="array" ref="AA176">IFERROR(IF($D$3="", "", _xlfn.LET(_xlpm.dia, E176, _xlpm.thk, Z176, _xlpm.temp, I176,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6" s="397" t="str" cm="1">
        <f t="array" ref="AB176">IFERROR(IF($D$3="", "", _xlfn.XLOOKUP(1,($AR$57:$AR$76=Y176)*($AS$57:$AS$76=Z176), INDEX($AT$57:$BJ$76,,_xlfn.XMATCH(E176,$AT$56:$BJ$56)))),"")</f>
        <v/>
      </c>
      <c r="AC176" s="208" t="str">
        <f t="shared" si="55"/>
        <v/>
      </c>
      <c r="AD176" s="397" t="str">
        <f t="shared" si="56"/>
        <v/>
      </c>
      <c r="AE176" s="610" t="str">
        <f t="shared" si="57"/>
        <v/>
      </c>
      <c r="AF176" s="610" t="str">
        <f t="shared" si="58"/>
        <v/>
      </c>
      <c r="AG176" s="610" t="str">
        <f t="shared" si="59"/>
        <v/>
      </c>
      <c r="AH176" s="608" t="str">
        <f t="shared" si="60"/>
        <v/>
      </c>
      <c r="AI176" s="610" t="str">
        <f t="shared" si="61"/>
        <v/>
      </c>
    </row>
    <row r="177" spans="2:35" x14ac:dyDescent="0.25">
      <c r="B177" s="209">
        <v>144</v>
      </c>
      <c r="C177" s="480"/>
      <c r="D177" s="480"/>
      <c r="E177" s="481"/>
      <c r="F177" s="480"/>
      <c r="G177" s="480"/>
      <c r="H177" s="607" t="str">
        <f t="shared" si="46"/>
        <v/>
      </c>
      <c r="I177" s="607" t="str">
        <f t="shared" si="47"/>
        <v/>
      </c>
      <c r="J177" s="607" t="str">
        <f t="shared" si="48"/>
        <v/>
      </c>
      <c r="K177" s="208" t="str">
        <f t="shared" si="49"/>
        <v/>
      </c>
      <c r="L177" s="208" t="str">
        <f t="shared" si="50"/>
        <v/>
      </c>
      <c r="M177" s="208" t="str">
        <f t="shared" si="62"/>
        <v/>
      </c>
      <c r="N177" s="608" t="str">
        <f>IF($D$3="", "", IFERROR(VLOOKUP(L177,'PIPE INCENTIVE'!$B$4:$E$19,2,FALSE),""))</f>
        <v/>
      </c>
      <c r="O177" s="608" t="str">
        <f t="shared" si="63"/>
        <v/>
      </c>
      <c r="P177" s="208" t="str">
        <f t="shared" si="64"/>
        <v/>
      </c>
      <c r="Q177" s="208" t="str">
        <f t="shared" si="51"/>
        <v/>
      </c>
      <c r="R177" s="609" t="str">
        <f t="shared" si="52"/>
        <v/>
      </c>
      <c r="S177" s="609" t="str">
        <f t="shared" si="53"/>
        <v/>
      </c>
      <c r="T177" s="609" t="str">
        <f t="shared" si="54"/>
        <v/>
      </c>
      <c r="U177" s="609" t="str" cm="1">
        <f t="array" ref="U177">IFERROR(IF($D$3="","",_xlfn.LET(_xlpm.Mixed,AND(COUNTIF($G$34:$G$533,"Heating_Hot_Water")&gt;0,(COUNTIF($G$34:$G$533,"Steam_Low_Pressure") + COUNTIF($G$34:$G$533,"Steam_Medium_Pressure") + COUNTIF($G$34:$G$533,"Steam_High_Pressure"))&gt;0),_xlpm.fluid, G177,_xlpm.fuel, K177,_xlpm.load,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7" s="609" t="str">
        <f t="shared" si="65"/>
        <v/>
      </c>
      <c r="W177" s="482"/>
      <c r="X177" s="397" t="str" cm="1">
        <f t="array" ref="X177">IFERROR(IF($D$3="","", _xlfn.XLOOKUP(1,($AR$36:$AR$53=F177)*($AS$36:$AS$53=G177), INDEX($AT$36:$BJ$53,,_xlfn.XMATCH(E177,$AT$35:$BJ$35)))),"")</f>
        <v/>
      </c>
      <c r="Y177" s="480"/>
      <c r="Z177" s="482"/>
      <c r="AA177" s="607" t="str" cm="1">
        <f t="array" ref="AA177">IFERROR(IF($D$3="", "", _xlfn.LET(_xlpm.dia, E177, _xlpm.thk, Z177, _xlpm.temp, I177,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7" s="397" t="str" cm="1">
        <f t="array" ref="AB177">IFERROR(IF($D$3="", "", _xlfn.XLOOKUP(1,($AR$57:$AR$76=Y177)*($AS$57:$AS$76=Z177), INDEX($AT$57:$BJ$76,,_xlfn.XMATCH(E177,$AT$56:$BJ$56)))),"")</f>
        <v/>
      </c>
      <c r="AC177" s="208" t="str">
        <f t="shared" si="55"/>
        <v/>
      </c>
      <c r="AD177" s="397" t="str">
        <f t="shared" si="56"/>
        <v/>
      </c>
      <c r="AE177" s="610" t="str">
        <f t="shared" si="57"/>
        <v/>
      </c>
      <c r="AF177" s="610" t="str">
        <f t="shared" si="58"/>
        <v/>
      </c>
      <c r="AG177" s="610" t="str">
        <f t="shared" si="59"/>
        <v/>
      </c>
      <c r="AH177" s="608" t="str">
        <f t="shared" si="60"/>
        <v/>
      </c>
      <c r="AI177" s="610" t="str">
        <f t="shared" si="61"/>
        <v/>
      </c>
    </row>
    <row r="178" spans="2:35" x14ac:dyDescent="0.25">
      <c r="B178" s="209">
        <v>145</v>
      </c>
      <c r="C178" s="480"/>
      <c r="D178" s="480"/>
      <c r="E178" s="481"/>
      <c r="F178" s="480"/>
      <c r="G178" s="480"/>
      <c r="H178" s="607" t="str">
        <f t="shared" si="46"/>
        <v/>
      </c>
      <c r="I178" s="607" t="str">
        <f t="shared" si="47"/>
        <v/>
      </c>
      <c r="J178" s="607" t="str">
        <f t="shared" si="48"/>
        <v/>
      </c>
      <c r="K178" s="208" t="str">
        <f t="shared" si="49"/>
        <v/>
      </c>
      <c r="L178" s="208" t="str">
        <f t="shared" si="50"/>
        <v/>
      </c>
      <c r="M178" s="208" t="str">
        <f t="shared" si="62"/>
        <v/>
      </c>
      <c r="N178" s="608" t="str">
        <f>IF($D$3="", "", IFERROR(VLOOKUP(L178,'PIPE INCENTIVE'!$B$4:$E$19,2,FALSE),""))</f>
        <v/>
      </c>
      <c r="O178" s="608" t="str">
        <f t="shared" si="63"/>
        <v/>
      </c>
      <c r="P178" s="208" t="str">
        <f t="shared" si="64"/>
        <v/>
      </c>
      <c r="Q178" s="208" t="str">
        <f t="shared" si="51"/>
        <v/>
      </c>
      <c r="R178" s="609" t="str">
        <f t="shared" si="52"/>
        <v/>
      </c>
      <c r="S178" s="609" t="str">
        <f t="shared" si="53"/>
        <v/>
      </c>
      <c r="T178" s="609" t="str">
        <f t="shared" si="54"/>
        <v/>
      </c>
      <c r="U178" s="609" t="str" cm="1">
        <f t="array" ref="U178">IFERROR(IF($D$3="","",_xlfn.LET(_xlpm.Mixed,AND(COUNTIF($G$34:$G$533,"Heating_Hot_Water")&gt;0,(COUNTIF($G$34:$G$533,"Steam_Low_Pressure") + COUNTIF($G$34:$G$533,"Steam_Medium_Pressure") + COUNTIF($G$34:$G$533,"Steam_High_Pressure"))&gt;0),_xlpm.fluid, G178,_xlpm.fuel, K178,_xlpm.load,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8" s="609" t="str">
        <f t="shared" si="65"/>
        <v/>
      </c>
      <c r="W178" s="482"/>
      <c r="X178" s="397" t="str" cm="1">
        <f t="array" ref="X178">IFERROR(IF($D$3="","", _xlfn.XLOOKUP(1,($AR$36:$AR$53=F178)*($AS$36:$AS$53=G178), INDEX($AT$36:$BJ$53,,_xlfn.XMATCH(E178,$AT$35:$BJ$35)))),"")</f>
        <v/>
      </c>
      <c r="Y178" s="480"/>
      <c r="Z178" s="482"/>
      <c r="AA178" s="607" t="str" cm="1">
        <f t="array" ref="AA178">IFERROR(IF($D$3="", "", _xlfn.LET(_xlpm.dia, E178, _xlpm.thk, Z178, _xlpm.temp, I178,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8" s="397" t="str" cm="1">
        <f t="array" ref="AB178">IFERROR(IF($D$3="", "", _xlfn.XLOOKUP(1,($AR$57:$AR$76=Y178)*($AS$57:$AS$76=Z178), INDEX($AT$57:$BJ$76,,_xlfn.XMATCH(E178,$AT$56:$BJ$56)))),"")</f>
        <v/>
      </c>
      <c r="AC178" s="208" t="str">
        <f t="shared" si="55"/>
        <v/>
      </c>
      <c r="AD178" s="397" t="str">
        <f t="shared" si="56"/>
        <v/>
      </c>
      <c r="AE178" s="610" t="str">
        <f t="shared" si="57"/>
        <v/>
      </c>
      <c r="AF178" s="610" t="str">
        <f t="shared" si="58"/>
        <v/>
      </c>
      <c r="AG178" s="610" t="str">
        <f t="shared" si="59"/>
        <v/>
      </c>
      <c r="AH178" s="608" t="str">
        <f t="shared" si="60"/>
        <v/>
      </c>
      <c r="AI178" s="610" t="str">
        <f t="shared" si="61"/>
        <v/>
      </c>
    </row>
    <row r="179" spans="2:35" x14ac:dyDescent="0.25">
      <c r="B179" s="209">
        <v>146</v>
      </c>
      <c r="C179" s="480"/>
      <c r="D179" s="480"/>
      <c r="E179" s="481"/>
      <c r="F179" s="480"/>
      <c r="G179" s="480"/>
      <c r="H179" s="607" t="str">
        <f t="shared" si="46"/>
        <v/>
      </c>
      <c r="I179" s="607" t="str">
        <f t="shared" si="47"/>
        <v/>
      </c>
      <c r="J179" s="607" t="str">
        <f t="shared" si="48"/>
        <v/>
      </c>
      <c r="K179" s="208" t="str">
        <f t="shared" si="49"/>
        <v/>
      </c>
      <c r="L179" s="208" t="str">
        <f t="shared" si="50"/>
        <v/>
      </c>
      <c r="M179" s="208" t="str">
        <f t="shared" si="62"/>
        <v/>
      </c>
      <c r="N179" s="608" t="str">
        <f>IF($D$3="", "", IFERROR(VLOOKUP(L179,'PIPE INCENTIVE'!$B$4:$E$19,2,FALSE),""))</f>
        <v/>
      </c>
      <c r="O179" s="608" t="str">
        <f t="shared" si="63"/>
        <v/>
      </c>
      <c r="P179" s="208" t="str">
        <f t="shared" si="64"/>
        <v/>
      </c>
      <c r="Q179" s="208" t="str">
        <f t="shared" si="51"/>
        <v/>
      </c>
      <c r="R179" s="609" t="str">
        <f t="shared" si="52"/>
        <v/>
      </c>
      <c r="S179" s="609" t="str">
        <f t="shared" si="53"/>
        <v/>
      </c>
      <c r="T179" s="609" t="str">
        <f t="shared" si="54"/>
        <v/>
      </c>
      <c r="U179" s="609" t="str" cm="1">
        <f t="array" ref="U179">IFERROR(IF($D$3="","",_xlfn.LET(_xlpm.Mixed,AND(COUNTIF($G$34:$G$533,"Heating_Hot_Water")&gt;0,(COUNTIF($G$34:$G$533,"Steam_Low_Pressure") + COUNTIF($G$34:$G$533,"Steam_Medium_Pressure") + COUNTIF($G$34:$G$533,"Steam_High_Pressure"))&gt;0),_xlpm.fluid, G179,_xlpm.fuel, K179,_xlpm.load,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79" s="609" t="str">
        <f t="shared" si="65"/>
        <v/>
      </c>
      <c r="W179" s="482"/>
      <c r="X179" s="397" t="str" cm="1">
        <f t="array" ref="X179">IFERROR(IF($D$3="","", _xlfn.XLOOKUP(1,($AR$36:$AR$53=F179)*($AS$36:$AS$53=G179), INDEX($AT$36:$BJ$53,,_xlfn.XMATCH(E179,$AT$35:$BJ$35)))),"")</f>
        <v/>
      </c>
      <c r="Y179" s="480"/>
      <c r="Z179" s="482"/>
      <c r="AA179" s="607" t="str" cm="1">
        <f t="array" ref="AA179">IFERROR(IF($D$3="", "", _xlfn.LET(_xlpm.dia, E179, _xlpm.thk, Z179, _xlpm.temp, I179,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79" s="397" t="str" cm="1">
        <f t="array" ref="AB179">IFERROR(IF($D$3="", "", _xlfn.XLOOKUP(1,($AR$57:$AR$76=Y179)*($AS$57:$AS$76=Z179), INDEX($AT$57:$BJ$76,,_xlfn.XMATCH(E179,$AT$56:$BJ$56)))),"")</f>
        <v/>
      </c>
      <c r="AC179" s="208" t="str">
        <f t="shared" si="55"/>
        <v/>
      </c>
      <c r="AD179" s="397" t="str">
        <f t="shared" si="56"/>
        <v/>
      </c>
      <c r="AE179" s="610" t="str">
        <f t="shared" si="57"/>
        <v/>
      </c>
      <c r="AF179" s="610" t="str">
        <f t="shared" si="58"/>
        <v/>
      </c>
      <c r="AG179" s="610" t="str">
        <f t="shared" si="59"/>
        <v/>
      </c>
      <c r="AH179" s="608" t="str">
        <f t="shared" si="60"/>
        <v/>
      </c>
      <c r="AI179" s="610" t="str">
        <f t="shared" si="61"/>
        <v/>
      </c>
    </row>
    <row r="180" spans="2:35" x14ac:dyDescent="0.25">
      <c r="B180" s="209">
        <v>147</v>
      </c>
      <c r="C180" s="480"/>
      <c r="D180" s="480"/>
      <c r="E180" s="481"/>
      <c r="F180" s="480"/>
      <c r="G180" s="480"/>
      <c r="H180" s="607" t="str">
        <f t="shared" si="46"/>
        <v/>
      </c>
      <c r="I180" s="607" t="str">
        <f t="shared" si="47"/>
        <v/>
      </c>
      <c r="J180" s="607" t="str">
        <f t="shared" si="48"/>
        <v/>
      </c>
      <c r="K180" s="208" t="str">
        <f t="shared" si="49"/>
        <v/>
      </c>
      <c r="L180" s="208" t="str">
        <f t="shared" si="50"/>
        <v/>
      </c>
      <c r="M180" s="208" t="str">
        <f t="shared" si="62"/>
        <v/>
      </c>
      <c r="N180" s="608" t="str">
        <f>IF($D$3="", "", IFERROR(VLOOKUP(L180,'PIPE INCENTIVE'!$B$4:$E$19,2,FALSE),""))</f>
        <v/>
      </c>
      <c r="O180" s="608" t="str">
        <f t="shared" si="63"/>
        <v/>
      </c>
      <c r="P180" s="208" t="str">
        <f t="shared" si="64"/>
        <v/>
      </c>
      <c r="Q180" s="208" t="str">
        <f t="shared" si="51"/>
        <v/>
      </c>
      <c r="R180" s="609" t="str">
        <f t="shared" si="52"/>
        <v/>
      </c>
      <c r="S180" s="609" t="str">
        <f t="shared" si="53"/>
        <v/>
      </c>
      <c r="T180" s="609" t="str">
        <f t="shared" si="54"/>
        <v/>
      </c>
      <c r="U180" s="609" t="str" cm="1">
        <f t="array" ref="U180">IFERROR(IF($D$3="","",_xlfn.LET(_xlpm.Mixed,AND(COUNTIF($G$34:$G$533,"Heating_Hot_Water")&gt;0,(COUNTIF($G$34:$G$533,"Steam_Low_Pressure") + COUNTIF($G$34:$G$533,"Steam_Medium_Pressure") + COUNTIF($G$34:$G$533,"Steam_High_Pressure"))&gt;0),_xlpm.fluid, G180,_xlpm.fuel, K180,_xlpm.load,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0" s="609" t="str">
        <f t="shared" si="65"/>
        <v/>
      </c>
      <c r="W180" s="482"/>
      <c r="X180" s="397" t="str" cm="1">
        <f t="array" ref="X180">IFERROR(IF($D$3="","", _xlfn.XLOOKUP(1,($AR$36:$AR$53=F180)*($AS$36:$AS$53=G180), INDEX($AT$36:$BJ$53,,_xlfn.XMATCH(E180,$AT$35:$BJ$35)))),"")</f>
        <v/>
      </c>
      <c r="Y180" s="480"/>
      <c r="Z180" s="482"/>
      <c r="AA180" s="607" t="str" cm="1">
        <f t="array" ref="AA180">IFERROR(IF($D$3="", "", _xlfn.LET(_xlpm.dia, E180, _xlpm.thk, Z180, _xlpm.temp, I180,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0" s="397" t="str" cm="1">
        <f t="array" ref="AB180">IFERROR(IF($D$3="", "", _xlfn.XLOOKUP(1,($AR$57:$AR$76=Y180)*($AS$57:$AS$76=Z180), INDEX($AT$57:$BJ$76,,_xlfn.XMATCH(E180,$AT$56:$BJ$56)))),"")</f>
        <v/>
      </c>
      <c r="AC180" s="208" t="str">
        <f t="shared" si="55"/>
        <v/>
      </c>
      <c r="AD180" s="397" t="str">
        <f t="shared" si="56"/>
        <v/>
      </c>
      <c r="AE180" s="610" t="str">
        <f t="shared" si="57"/>
        <v/>
      </c>
      <c r="AF180" s="610" t="str">
        <f t="shared" si="58"/>
        <v/>
      </c>
      <c r="AG180" s="610" t="str">
        <f t="shared" si="59"/>
        <v/>
      </c>
      <c r="AH180" s="608" t="str">
        <f t="shared" si="60"/>
        <v/>
      </c>
      <c r="AI180" s="610" t="str">
        <f t="shared" si="61"/>
        <v/>
      </c>
    </row>
    <row r="181" spans="2:35" x14ac:dyDescent="0.25">
      <c r="B181" s="209">
        <v>148</v>
      </c>
      <c r="C181" s="480"/>
      <c r="D181" s="480"/>
      <c r="E181" s="481"/>
      <c r="F181" s="480"/>
      <c r="G181" s="480"/>
      <c r="H181" s="607" t="str">
        <f t="shared" si="46"/>
        <v/>
      </c>
      <c r="I181" s="607" t="str">
        <f t="shared" si="47"/>
        <v/>
      </c>
      <c r="J181" s="607" t="str">
        <f t="shared" si="48"/>
        <v/>
      </c>
      <c r="K181" s="208" t="str">
        <f t="shared" si="49"/>
        <v/>
      </c>
      <c r="L181" s="208" t="str">
        <f t="shared" si="50"/>
        <v/>
      </c>
      <c r="M181" s="208" t="str">
        <f t="shared" si="62"/>
        <v/>
      </c>
      <c r="N181" s="608" t="str">
        <f>IF($D$3="", "", IFERROR(VLOOKUP(L181,'PIPE INCENTIVE'!$B$4:$E$19,2,FALSE),""))</f>
        <v/>
      </c>
      <c r="O181" s="608" t="str">
        <f t="shared" si="63"/>
        <v/>
      </c>
      <c r="P181" s="208" t="str">
        <f t="shared" si="64"/>
        <v/>
      </c>
      <c r="Q181" s="208" t="str">
        <f t="shared" si="51"/>
        <v/>
      </c>
      <c r="R181" s="609" t="str">
        <f t="shared" si="52"/>
        <v/>
      </c>
      <c r="S181" s="609" t="str">
        <f t="shared" si="53"/>
        <v/>
      </c>
      <c r="T181" s="609" t="str">
        <f t="shared" si="54"/>
        <v/>
      </c>
      <c r="U181" s="609" t="str" cm="1">
        <f t="array" ref="U181">IFERROR(IF($D$3="","",_xlfn.LET(_xlpm.Mixed,AND(COUNTIF($G$34:$G$533,"Heating_Hot_Water")&gt;0,(COUNTIF($G$34:$G$533,"Steam_Low_Pressure") + COUNTIF($G$34:$G$533,"Steam_Medium_Pressure") + COUNTIF($G$34:$G$533,"Steam_High_Pressure"))&gt;0),_xlpm.fluid, G181,_xlpm.fuel, K181,_xlpm.load,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1" s="609" t="str">
        <f t="shared" si="65"/>
        <v/>
      </c>
      <c r="W181" s="482"/>
      <c r="X181" s="397" t="str" cm="1">
        <f t="array" ref="X181">IFERROR(IF($D$3="","", _xlfn.XLOOKUP(1,($AR$36:$AR$53=F181)*($AS$36:$AS$53=G181), INDEX($AT$36:$BJ$53,,_xlfn.XMATCH(E181,$AT$35:$BJ$35)))),"")</f>
        <v/>
      </c>
      <c r="Y181" s="480"/>
      <c r="Z181" s="482"/>
      <c r="AA181" s="607" t="str" cm="1">
        <f t="array" ref="AA181">IFERROR(IF($D$3="", "", _xlfn.LET(_xlpm.dia, E181, _xlpm.thk, Z181, _xlpm.temp, I181,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1" s="397" t="str" cm="1">
        <f t="array" ref="AB181">IFERROR(IF($D$3="", "", _xlfn.XLOOKUP(1,($AR$57:$AR$76=Y181)*($AS$57:$AS$76=Z181), INDEX($AT$57:$BJ$76,,_xlfn.XMATCH(E181,$AT$56:$BJ$56)))),"")</f>
        <v/>
      </c>
      <c r="AC181" s="208" t="str">
        <f t="shared" si="55"/>
        <v/>
      </c>
      <c r="AD181" s="397" t="str">
        <f t="shared" si="56"/>
        <v/>
      </c>
      <c r="AE181" s="610" t="str">
        <f t="shared" si="57"/>
        <v/>
      </c>
      <c r="AF181" s="610" t="str">
        <f t="shared" si="58"/>
        <v/>
      </c>
      <c r="AG181" s="610" t="str">
        <f t="shared" si="59"/>
        <v/>
      </c>
      <c r="AH181" s="608" t="str">
        <f t="shared" si="60"/>
        <v/>
      </c>
      <c r="AI181" s="610" t="str">
        <f t="shared" si="61"/>
        <v/>
      </c>
    </row>
    <row r="182" spans="2:35" x14ac:dyDescent="0.25">
      <c r="B182" s="209">
        <v>149</v>
      </c>
      <c r="C182" s="480"/>
      <c r="D182" s="480"/>
      <c r="E182" s="481"/>
      <c r="F182" s="480"/>
      <c r="G182" s="480"/>
      <c r="H182" s="607" t="str">
        <f t="shared" si="46"/>
        <v/>
      </c>
      <c r="I182" s="607" t="str">
        <f t="shared" si="47"/>
        <v/>
      </c>
      <c r="J182" s="607" t="str">
        <f t="shared" si="48"/>
        <v/>
      </c>
      <c r="K182" s="208" t="str">
        <f t="shared" si="49"/>
        <v/>
      </c>
      <c r="L182" s="208" t="str">
        <f t="shared" si="50"/>
        <v/>
      </c>
      <c r="M182" s="208" t="str">
        <f t="shared" si="62"/>
        <v/>
      </c>
      <c r="N182" s="608" t="str">
        <f>IF($D$3="", "", IFERROR(VLOOKUP(L182,'PIPE INCENTIVE'!$B$4:$E$19,2,FALSE),""))</f>
        <v/>
      </c>
      <c r="O182" s="608" t="str">
        <f t="shared" si="63"/>
        <v/>
      </c>
      <c r="P182" s="208" t="str">
        <f t="shared" si="64"/>
        <v/>
      </c>
      <c r="Q182" s="208" t="str">
        <f t="shared" si="51"/>
        <v/>
      </c>
      <c r="R182" s="609" t="str">
        <f t="shared" si="52"/>
        <v/>
      </c>
      <c r="S182" s="609" t="str">
        <f t="shared" si="53"/>
        <v/>
      </c>
      <c r="T182" s="609" t="str">
        <f t="shared" si="54"/>
        <v/>
      </c>
      <c r="U182" s="609" t="str" cm="1">
        <f t="array" ref="U182">IFERROR(IF($D$3="","",_xlfn.LET(_xlpm.Mixed,AND(COUNTIF($G$34:$G$533,"Heating_Hot_Water")&gt;0,(COUNTIF($G$34:$G$533,"Steam_Low_Pressure") + COUNTIF($G$34:$G$533,"Steam_Medium_Pressure") + COUNTIF($G$34:$G$533,"Steam_High_Pressure"))&gt;0),_xlpm.fluid, G182,_xlpm.fuel, K182,_xlpm.load,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2" s="609" t="str">
        <f t="shared" si="65"/>
        <v/>
      </c>
      <c r="W182" s="482"/>
      <c r="X182" s="397" t="str" cm="1">
        <f t="array" ref="X182">IFERROR(IF($D$3="","", _xlfn.XLOOKUP(1,($AR$36:$AR$53=F182)*($AS$36:$AS$53=G182), INDEX($AT$36:$BJ$53,,_xlfn.XMATCH(E182,$AT$35:$BJ$35)))),"")</f>
        <v/>
      </c>
      <c r="Y182" s="480"/>
      <c r="Z182" s="482"/>
      <c r="AA182" s="607" t="str" cm="1">
        <f t="array" ref="AA182">IFERROR(IF($D$3="", "", _xlfn.LET(_xlpm.dia, E182, _xlpm.thk, Z182, _xlpm.temp, I182,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2" s="397" t="str" cm="1">
        <f t="array" ref="AB182">IFERROR(IF($D$3="", "", _xlfn.XLOOKUP(1,($AR$57:$AR$76=Y182)*($AS$57:$AS$76=Z182), INDEX($AT$57:$BJ$76,,_xlfn.XMATCH(E182,$AT$56:$BJ$56)))),"")</f>
        <v/>
      </c>
      <c r="AC182" s="208" t="str">
        <f t="shared" si="55"/>
        <v/>
      </c>
      <c r="AD182" s="397" t="str">
        <f t="shared" si="56"/>
        <v/>
      </c>
      <c r="AE182" s="610" t="str">
        <f t="shared" si="57"/>
        <v/>
      </c>
      <c r="AF182" s="610" t="str">
        <f t="shared" si="58"/>
        <v/>
      </c>
      <c r="AG182" s="610" t="str">
        <f t="shared" si="59"/>
        <v/>
      </c>
      <c r="AH182" s="608" t="str">
        <f t="shared" si="60"/>
        <v/>
      </c>
      <c r="AI182" s="610" t="str">
        <f t="shared" si="61"/>
        <v/>
      </c>
    </row>
    <row r="183" spans="2:35" x14ac:dyDescent="0.25">
      <c r="B183" s="209">
        <v>150</v>
      </c>
      <c r="C183" s="480"/>
      <c r="D183" s="480"/>
      <c r="E183" s="481"/>
      <c r="F183" s="480"/>
      <c r="G183" s="480"/>
      <c r="H183" s="607" t="str">
        <f t="shared" si="46"/>
        <v/>
      </c>
      <c r="I183" s="607" t="str">
        <f t="shared" si="47"/>
        <v/>
      </c>
      <c r="J183" s="607" t="str">
        <f t="shared" si="48"/>
        <v/>
      </c>
      <c r="K183" s="208" t="str">
        <f t="shared" si="49"/>
        <v/>
      </c>
      <c r="L183" s="208" t="str">
        <f t="shared" si="50"/>
        <v/>
      </c>
      <c r="M183" s="208" t="str">
        <f t="shared" si="62"/>
        <v/>
      </c>
      <c r="N183" s="608" t="str">
        <f>IF($D$3="", "", IFERROR(VLOOKUP(L183,'PIPE INCENTIVE'!$B$4:$E$19,2,FALSE),""))</f>
        <v/>
      </c>
      <c r="O183" s="608" t="str">
        <f t="shared" si="63"/>
        <v/>
      </c>
      <c r="P183" s="208" t="str">
        <f t="shared" si="64"/>
        <v/>
      </c>
      <c r="Q183" s="208" t="str">
        <f t="shared" si="51"/>
        <v/>
      </c>
      <c r="R183" s="609" t="str">
        <f t="shared" si="52"/>
        <v/>
      </c>
      <c r="S183" s="609" t="str">
        <f t="shared" si="53"/>
        <v/>
      </c>
      <c r="T183" s="609" t="str">
        <f t="shared" si="54"/>
        <v/>
      </c>
      <c r="U183" s="609" t="str" cm="1">
        <f t="array" ref="U183">IFERROR(IF($D$3="","",_xlfn.LET(_xlpm.Mixed,AND(COUNTIF($G$34:$G$533,"Heating_Hot_Water")&gt;0,(COUNTIF($G$34:$G$533,"Steam_Low_Pressure") + COUNTIF($G$34:$G$533,"Steam_Medium_Pressure") + COUNTIF($G$34:$G$533,"Steam_High_Pressure"))&gt;0),_xlpm.fluid, G183,_xlpm.fuel, K183,_xlpm.load,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3" s="609" t="str">
        <f t="shared" si="65"/>
        <v/>
      </c>
      <c r="W183" s="482"/>
      <c r="X183" s="397" t="str" cm="1">
        <f t="array" ref="X183">IFERROR(IF($D$3="","", _xlfn.XLOOKUP(1,($AR$36:$AR$53=F183)*($AS$36:$AS$53=G183), INDEX($AT$36:$BJ$53,,_xlfn.XMATCH(E183,$AT$35:$BJ$35)))),"")</f>
        <v/>
      </c>
      <c r="Y183" s="480"/>
      <c r="Z183" s="482"/>
      <c r="AA183" s="607" t="str" cm="1">
        <f t="array" ref="AA183">IFERROR(IF($D$3="", "", _xlfn.LET(_xlpm.dia, E183, _xlpm.thk, Z183, _xlpm.temp, I183,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3" s="397" t="str" cm="1">
        <f t="array" ref="AB183">IFERROR(IF($D$3="", "", _xlfn.XLOOKUP(1,($AR$57:$AR$76=Y183)*($AS$57:$AS$76=Z183), INDEX($AT$57:$BJ$76,,_xlfn.XMATCH(E183,$AT$56:$BJ$56)))),"")</f>
        <v/>
      </c>
      <c r="AC183" s="208" t="str">
        <f t="shared" si="55"/>
        <v/>
      </c>
      <c r="AD183" s="397" t="str">
        <f t="shared" si="56"/>
        <v/>
      </c>
      <c r="AE183" s="610" t="str">
        <f t="shared" si="57"/>
        <v/>
      </c>
      <c r="AF183" s="610" t="str">
        <f t="shared" si="58"/>
        <v/>
      </c>
      <c r="AG183" s="610" t="str">
        <f t="shared" si="59"/>
        <v/>
      </c>
      <c r="AH183" s="608" t="str">
        <f t="shared" si="60"/>
        <v/>
      </c>
      <c r="AI183" s="610" t="str">
        <f t="shared" si="61"/>
        <v/>
      </c>
    </row>
    <row r="184" spans="2:35" x14ac:dyDescent="0.25">
      <c r="B184" s="209">
        <v>151</v>
      </c>
      <c r="C184" s="480"/>
      <c r="D184" s="480"/>
      <c r="E184" s="481"/>
      <c r="F184" s="480"/>
      <c r="G184" s="480"/>
      <c r="H184" s="607" t="str">
        <f t="shared" si="46"/>
        <v/>
      </c>
      <c r="I184" s="607" t="str">
        <f t="shared" si="47"/>
        <v/>
      </c>
      <c r="J184" s="607" t="str">
        <f t="shared" si="48"/>
        <v/>
      </c>
      <c r="K184" s="208" t="str">
        <f t="shared" si="49"/>
        <v/>
      </c>
      <c r="L184" s="208" t="str">
        <f t="shared" si="50"/>
        <v/>
      </c>
      <c r="M184" s="208" t="str">
        <f t="shared" si="62"/>
        <v/>
      </c>
      <c r="N184" s="608" t="str">
        <f>IF($D$3="", "", IFERROR(VLOOKUP(L184,'PIPE INCENTIVE'!$B$4:$E$19,2,FALSE),""))</f>
        <v/>
      </c>
      <c r="O184" s="608" t="str">
        <f t="shared" si="63"/>
        <v/>
      </c>
      <c r="P184" s="208" t="str">
        <f t="shared" si="64"/>
        <v/>
      </c>
      <c r="Q184" s="208" t="str">
        <f t="shared" si="51"/>
        <v/>
      </c>
      <c r="R184" s="609" t="str">
        <f t="shared" si="52"/>
        <v/>
      </c>
      <c r="S184" s="609" t="str">
        <f t="shared" si="53"/>
        <v/>
      </c>
      <c r="T184" s="609" t="str">
        <f t="shared" si="54"/>
        <v/>
      </c>
      <c r="U184" s="609" t="str" cm="1">
        <f t="array" ref="U184">IFERROR(IF($D$3="","",_xlfn.LET(_xlpm.Mixed,AND(COUNTIF($G$34:$G$533,"Heating_Hot_Water")&gt;0,(COUNTIF($G$34:$G$533,"Steam_Low_Pressure") + COUNTIF($G$34:$G$533,"Steam_Medium_Pressure") + COUNTIF($G$34:$G$533,"Steam_High_Pressure"))&gt;0),_xlpm.fluid, G184,_xlpm.fuel, K184,_xlpm.load,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4" s="609" t="str">
        <f t="shared" si="65"/>
        <v/>
      </c>
      <c r="W184" s="482"/>
      <c r="X184" s="397" t="str" cm="1">
        <f t="array" ref="X184">IFERROR(IF($D$3="","", _xlfn.XLOOKUP(1,($AR$36:$AR$53=F184)*($AS$36:$AS$53=G184), INDEX($AT$36:$BJ$53,,_xlfn.XMATCH(E184,$AT$35:$BJ$35)))),"")</f>
        <v/>
      </c>
      <c r="Y184" s="480"/>
      <c r="Z184" s="482"/>
      <c r="AA184" s="607" t="str" cm="1">
        <f t="array" ref="AA184">IFERROR(IF($D$3="", "", _xlfn.LET(_xlpm.dia, E184, _xlpm.thk, Z184, _xlpm.temp, I184,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4" s="397" t="str" cm="1">
        <f t="array" ref="AB184">IFERROR(IF($D$3="", "", _xlfn.XLOOKUP(1,($AR$57:$AR$76=Y184)*($AS$57:$AS$76=Z184), INDEX($AT$57:$BJ$76,,_xlfn.XMATCH(E184,$AT$56:$BJ$56)))),"")</f>
        <v/>
      </c>
      <c r="AC184" s="208" t="str">
        <f t="shared" si="55"/>
        <v/>
      </c>
      <c r="AD184" s="397" t="str">
        <f t="shared" si="56"/>
        <v/>
      </c>
      <c r="AE184" s="610" t="str">
        <f t="shared" si="57"/>
        <v/>
      </c>
      <c r="AF184" s="610" t="str">
        <f t="shared" si="58"/>
        <v/>
      </c>
      <c r="AG184" s="610" t="str">
        <f t="shared" si="59"/>
        <v/>
      </c>
      <c r="AH184" s="608" t="str">
        <f t="shared" si="60"/>
        <v/>
      </c>
      <c r="AI184" s="610" t="str">
        <f t="shared" si="61"/>
        <v/>
      </c>
    </row>
    <row r="185" spans="2:35" x14ac:dyDescent="0.25">
      <c r="B185" s="209">
        <v>152</v>
      </c>
      <c r="C185" s="480"/>
      <c r="D185" s="480"/>
      <c r="E185" s="481"/>
      <c r="F185" s="480"/>
      <c r="G185" s="480"/>
      <c r="H185" s="607" t="str">
        <f t="shared" si="46"/>
        <v/>
      </c>
      <c r="I185" s="607" t="str">
        <f t="shared" si="47"/>
        <v/>
      </c>
      <c r="J185" s="607" t="str">
        <f t="shared" si="48"/>
        <v/>
      </c>
      <c r="K185" s="208" t="str">
        <f t="shared" si="49"/>
        <v/>
      </c>
      <c r="L185" s="208" t="str">
        <f t="shared" si="50"/>
        <v/>
      </c>
      <c r="M185" s="208" t="str">
        <f t="shared" si="62"/>
        <v/>
      </c>
      <c r="N185" s="608" t="str">
        <f>IF($D$3="", "", IFERROR(VLOOKUP(L185,'PIPE INCENTIVE'!$B$4:$E$19,2,FALSE),""))</f>
        <v/>
      </c>
      <c r="O185" s="608" t="str">
        <f t="shared" si="63"/>
        <v/>
      </c>
      <c r="P185" s="208" t="str">
        <f t="shared" si="64"/>
        <v/>
      </c>
      <c r="Q185" s="208" t="str">
        <f t="shared" si="51"/>
        <v/>
      </c>
      <c r="R185" s="609" t="str">
        <f t="shared" si="52"/>
        <v/>
      </c>
      <c r="S185" s="609" t="str">
        <f t="shared" si="53"/>
        <v/>
      </c>
      <c r="T185" s="609" t="str">
        <f t="shared" si="54"/>
        <v/>
      </c>
      <c r="U185" s="609" t="str" cm="1">
        <f t="array" ref="U185">IFERROR(IF($D$3="","",_xlfn.LET(_xlpm.Mixed,AND(COUNTIF($G$34:$G$533,"Heating_Hot_Water")&gt;0,(COUNTIF($G$34:$G$533,"Steam_Low_Pressure") + COUNTIF($G$34:$G$533,"Steam_Medium_Pressure") + COUNTIF($G$34:$G$533,"Steam_High_Pressure"))&gt;0),_xlpm.fluid, G185,_xlpm.fuel, K185,_xlpm.load,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5" s="609" t="str">
        <f t="shared" si="65"/>
        <v/>
      </c>
      <c r="W185" s="482"/>
      <c r="X185" s="397" t="str" cm="1">
        <f t="array" ref="X185">IFERROR(IF($D$3="","", _xlfn.XLOOKUP(1,($AR$36:$AR$53=F185)*($AS$36:$AS$53=G185), INDEX($AT$36:$BJ$53,,_xlfn.XMATCH(E185,$AT$35:$BJ$35)))),"")</f>
        <v/>
      </c>
      <c r="Y185" s="480"/>
      <c r="Z185" s="482"/>
      <c r="AA185" s="607" t="str" cm="1">
        <f t="array" ref="AA185">IFERROR(IF($D$3="", "", _xlfn.LET(_xlpm.dia, E185, _xlpm.thk, Z185, _xlpm.temp, I185,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5" s="397" t="str" cm="1">
        <f t="array" ref="AB185">IFERROR(IF($D$3="", "", _xlfn.XLOOKUP(1,($AR$57:$AR$76=Y185)*($AS$57:$AS$76=Z185), INDEX($AT$57:$BJ$76,,_xlfn.XMATCH(E185,$AT$56:$BJ$56)))),"")</f>
        <v/>
      </c>
      <c r="AC185" s="208" t="str">
        <f t="shared" si="55"/>
        <v/>
      </c>
      <c r="AD185" s="397" t="str">
        <f t="shared" si="56"/>
        <v/>
      </c>
      <c r="AE185" s="610" t="str">
        <f t="shared" si="57"/>
        <v/>
      </c>
      <c r="AF185" s="610" t="str">
        <f t="shared" si="58"/>
        <v/>
      </c>
      <c r="AG185" s="610" t="str">
        <f t="shared" si="59"/>
        <v/>
      </c>
      <c r="AH185" s="608" t="str">
        <f t="shared" si="60"/>
        <v/>
      </c>
      <c r="AI185" s="610" t="str">
        <f t="shared" si="61"/>
        <v/>
      </c>
    </row>
    <row r="186" spans="2:35" x14ac:dyDescent="0.25">
      <c r="B186" s="209">
        <v>153</v>
      </c>
      <c r="C186" s="480"/>
      <c r="D186" s="480"/>
      <c r="E186" s="481"/>
      <c r="F186" s="480"/>
      <c r="G186" s="480"/>
      <c r="H186" s="607" t="str">
        <f t="shared" si="46"/>
        <v/>
      </c>
      <c r="I186" s="607" t="str">
        <f t="shared" si="47"/>
        <v/>
      </c>
      <c r="J186" s="607" t="str">
        <f t="shared" si="48"/>
        <v/>
      </c>
      <c r="K186" s="208" t="str">
        <f t="shared" si="49"/>
        <v/>
      </c>
      <c r="L186" s="208" t="str">
        <f t="shared" si="50"/>
        <v/>
      </c>
      <c r="M186" s="208" t="str">
        <f t="shared" si="62"/>
        <v/>
      </c>
      <c r="N186" s="608" t="str">
        <f>IF($D$3="", "", IFERROR(VLOOKUP(L186,'PIPE INCENTIVE'!$B$4:$E$19,2,FALSE),""))</f>
        <v/>
      </c>
      <c r="O186" s="608" t="str">
        <f t="shared" si="63"/>
        <v/>
      </c>
      <c r="P186" s="208" t="str">
        <f t="shared" si="64"/>
        <v/>
      </c>
      <c r="Q186" s="208" t="str">
        <f t="shared" si="51"/>
        <v/>
      </c>
      <c r="R186" s="609" t="str">
        <f t="shared" si="52"/>
        <v/>
      </c>
      <c r="S186" s="609" t="str">
        <f t="shared" si="53"/>
        <v/>
      </c>
      <c r="T186" s="609" t="str">
        <f t="shared" si="54"/>
        <v/>
      </c>
      <c r="U186" s="609" t="str" cm="1">
        <f t="array" ref="U186">IFERROR(IF($D$3="","",_xlfn.LET(_xlpm.Mixed,AND(COUNTIF($G$34:$G$533,"Heating_Hot_Water")&gt;0,(COUNTIF($G$34:$G$533,"Steam_Low_Pressure") + COUNTIF($G$34:$G$533,"Steam_Medium_Pressure") + COUNTIF($G$34:$G$533,"Steam_High_Pressure"))&gt;0),_xlpm.fluid, G186,_xlpm.fuel, K186,_xlpm.load,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6" s="609" t="str">
        <f t="shared" si="65"/>
        <v/>
      </c>
      <c r="W186" s="482"/>
      <c r="X186" s="397" t="str" cm="1">
        <f t="array" ref="X186">IFERROR(IF($D$3="","", _xlfn.XLOOKUP(1,($AR$36:$AR$53=F186)*($AS$36:$AS$53=G186), INDEX($AT$36:$BJ$53,,_xlfn.XMATCH(E186,$AT$35:$BJ$35)))),"")</f>
        <v/>
      </c>
      <c r="Y186" s="480"/>
      <c r="Z186" s="482"/>
      <c r="AA186" s="607" t="str" cm="1">
        <f t="array" ref="AA186">IFERROR(IF($D$3="", "", _xlfn.LET(_xlpm.dia, E186, _xlpm.thk, Z186, _xlpm.temp, I186,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6" s="397" t="str" cm="1">
        <f t="array" ref="AB186">IFERROR(IF($D$3="", "", _xlfn.XLOOKUP(1,($AR$57:$AR$76=Y186)*($AS$57:$AS$76=Z186), INDEX($AT$57:$BJ$76,,_xlfn.XMATCH(E186,$AT$56:$BJ$56)))),"")</f>
        <v/>
      </c>
      <c r="AC186" s="208" t="str">
        <f t="shared" si="55"/>
        <v/>
      </c>
      <c r="AD186" s="397" t="str">
        <f t="shared" si="56"/>
        <v/>
      </c>
      <c r="AE186" s="610" t="str">
        <f t="shared" si="57"/>
        <v/>
      </c>
      <c r="AF186" s="610" t="str">
        <f t="shared" si="58"/>
        <v/>
      </c>
      <c r="AG186" s="610" t="str">
        <f t="shared" si="59"/>
        <v/>
      </c>
      <c r="AH186" s="608" t="str">
        <f t="shared" si="60"/>
        <v/>
      </c>
      <c r="AI186" s="610" t="str">
        <f t="shared" si="61"/>
        <v/>
      </c>
    </row>
    <row r="187" spans="2:35" x14ac:dyDescent="0.25">
      <c r="B187" s="209">
        <v>154</v>
      </c>
      <c r="C187" s="480"/>
      <c r="D187" s="480"/>
      <c r="E187" s="481"/>
      <c r="F187" s="480"/>
      <c r="G187" s="480"/>
      <c r="H187" s="607" t="str">
        <f t="shared" si="46"/>
        <v/>
      </c>
      <c r="I187" s="607" t="str">
        <f t="shared" si="47"/>
        <v/>
      </c>
      <c r="J187" s="607" t="str">
        <f t="shared" si="48"/>
        <v/>
      </c>
      <c r="K187" s="208" t="str">
        <f t="shared" si="49"/>
        <v/>
      </c>
      <c r="L187" s="208" t="str">
        <f t="shared" si="50"/>
        <v/>
      </c>
      <c r="M187" s="208" t="str">
        <f t="shared" si="62"/>
        <v/>
      </c>
      <c r="N187" s="608" t="str">
        <f>IF($D$3="", "", IFERROR(VLOOKUP(L187,'PIPE INCENTIVE'!$B$4:$E$19,2,FALSE),""))</f>
        <v/>
      </c>
      <c r="O187" s="608" t="str">
        <f t="shared" si="63"/>
        <v/>
      </c>
      <c r="P187" s="208" t="str">
        <f t="shared" si="64"/>
        <v/>
      </c>
      <c r="Q187" s="208" t="str">
        <f t="shared" si="51"/>
        <v/>
      </c>
      <c r="R187" s="609" t="str">
        <f t="shared" si="52"/>
        <v/>
      </c>
      <c r="S187" s="609" t="str">
        <f t="shared" si="53"/>
        <v/>
      </c>
      <c r="T187" s="609" t="str">
        <f t="shared" si="54"/>
        <v/>
      </c>
      <c r="U187" s="609" t="str" cm="1">
        <f t="array" ref="U187">IFERROR(IF($D$3="","",_xlfn.LET(_xlpm.Mixed,AND(COUNTIF($G$34:$G$533,"Heating_Hot_Water")&gt;0,(COUNTIF($G$34:$G$533,"Steam_Low_Pressure") + COUNTIF($G$34:$G$533,"Steam_Medium_Pressure") + COUNTIF($G$34:$G$533,"Steam_High_Pressure"))&gt;0),_xlpm.fluid, G187,_xlpm.fuel, K187,_xlpm.load,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7" s="609" t="str">
        <f t="shared" si="65"/>
        <v/>
      </c>
      <c r="W187" s="482"/>
      <c r="X187" s="397" t="str" cm="1">
        <f t="array" ref="X187">IFERROR(IF($D$3="","", _xlfn.XLOOKUP(1,($AR$36:$AR$53=F187)*($AS$36:$AS$53=G187), INDEX($AT$36:$BJ$53,,_xlfn.XMATCH(E187,$AT$35:$BJ$35)))),"")</f>
        <v/>
      </c>
      <c r="Y187" s="480"/>
      <c r="Z187" s="482"/>
      <c r="AA187" s="607" t="str" cm="1">
        <f t="array" ref="AA187">IFERROR(IF($D$3="", "", _xlfn.LET(_xlpm.dia, E187, _xlpm.thk, Z187, _xlpm.temp, I187,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7" s="397" t="str" cm="1">
        <f t="array" ref="AB187">IFERROR(IF($D$3="", "", _xlfn.XLOOKUP(1,($AR$57:$AR$76=Y187)*($AS$57:$AS$76=Z187), INDEX($AT$57:$BJ$76,,_xlfn.XMATCH(E187,$AT$56:$BJ$56)))),"")</f>
        <v/>
      </c>
      <c r="AC187" s="208" t="str">
        <f t="shared" si="55"/>
        <v/>
      </c>
      <c r="AD187" s="397" t="str">
        <f t="shared" si="56"/>
        <v/>
      </c>
      <c r="AE187" s="610" t="str">
        <f t="shared" si="57"/>
        <v/>
      </c>
      <c r="AF187" s="610" t="str">
        <f t="shared" si="58"/>
        <v/>
      </c>
      <c r="AG187" s="610" t="str">
        <f t="shared" si="59"/>
        <v/>
      </c>
      <c r="AH187" s="608" t="str">
        <f t="shared" si="60"/>
        <v/>
      </c>
      <c r="AI187" s="610" t="str">
        <f t="shared" si="61"/>
        <v/>
      </c>
    </row>
    <row r="188" spans="2:35" x14ac:dyDescent="0.25">
      <c r="B188" s="209">
        <v>155</v>
      </c>
      <c r="C188" s="480"/>
      <c r="D188" s="480"/>
      <c r="E188" s="481"/>
      <c r="F188" s="480"/>
      <c r="G188" s="480"/>
      <c r="H188" s="607" t="str">
        <f t="shared" si="46"/>
        <v/>
      </c>
      <c r="I188" s="607" t="str">
        <f t="shared" si="47"/>
        <v/>
      </c>
      <c r="J188" s="607" t="str">
        <f t="shared" si="48"/>
        <v/>
      </c>
      <c r="K188" s="208" t="str">
        <f t="shared" si="49"/>
        <v/>
      </c>
      <c r="L188" s="208" t="str">
        <f t="shared" si="50"/>
        <v/>
      </c>
      <c r="M188" s="208" t="str">
        <f t="shared" si="62"/>
        <v/>
      </c>
      <c r="N188" s="608" t="str">
        <f>IF($D$3="", "", IFERROR(VLOOKUP(L188,'PIPE INCENTIVE'!$B$4:$E$19,2,FALSE),""))</f>
        <v/>
      </c>
      <c r="O188" s="608" t="str">
        <f t="shared" si="63"/>
        <v/>
      </c>
      <c r="P188" s="208" t="str">
        <f t="shared" si="64"/>
        <v/>
      </c>
      <c r="Q188" s="208" t="str">
        <f t="shared" si="51"/>
        <v/>
      </c>
      <c r="R188" s="609" t="str">
        <f t="shared" si="52"/>
        <v/>
      </c>
      <c r="S188" s="609" t="str">
        <f t="shared" si="53"/>
        <v/>
      </c>
      <c r="T188" s="609" t="str">
        <f t="shared" si="54"/>
        <v/>
      </c>
      <c r="U188" s="609" t="str" cm="1">
        <f t="array" ref="U188">IFERROR(IF($D$3="","",_xlfn.LET(_xlpm.Mixed,AND(COUNTIF($G$34:$G$533,"Heating_Hot_Water")&gt;0,(COUNTIF($G$34:$G$533,"Steam_Low_Pressure") + COUNTIF($G$34:$G$533,"Steam_Medium_Pressure") + COUNTIF($G$34:$G$533,"Steam_High_Pressure"))&gt;0),_xlpm.fluid, G188,_xlpm.fuel, K188,_xlpm.load,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8" s="609" t="str">
        <f t="shared" si="65"/>
        <v/>
      </c>
      <c r="W188" s="482"/>
      <c r="X188" s="397" t="str" cm="1">
        <f t="array" ref="X188">IFERROR(IF($D$3="","", _xlfn.XLOOKUP(1,($AR$36:$AR$53=F188)*($AS$36:$AS$53=G188), INDEX($AT$36:$BJ$53,,_xlfn.XMATCH(E188,$AT$35:$BJ$35)))),"")</f>
        <v/>
      </c>
      <c r="Y188" s="480"/>
      <c r="Z188" s="482"/>
      <c r="AA188" s="607" t="str" cm="1">
        <f t="array" ref="AA188">IFERROR(IF($D$3="", "", _xlfn.LET(_xlpm.dia, E188, _xlpm.thk, Z188, _xlpm.temp, I188,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8" s="397" t="str" cm="1">
        <f t="array" ref="AB188">IFERROR(IF($D$3="", "", _xlfn.XLOOKUP(1,($AR$57:$AR$76=Y188)*($AS$57:$AS$76=Z188), INDEX($AT$57:$BJ$76,,_xlfn.XMATCH(E188,$AT$56:$BJ$56)))),"")</f>
        <v/>
      </c>
      <c r="AC188" s="208" t="str">
        <f t="shared" si="55"/>
        <v/>
      </c>
      <c r="AD188" s="397" t="str">
        <f t="shared" si="56"/>
        <v/>
      </c>
      <c r="AE188" s="610" t="str">
        <f t="shared" si="57"/>
        <v/>
      </c>
      <c r="AF188" s="610" t="str">
        <f t="shared" si="58"/>
        <v/>
      </c>
      <c r="AG188" s="610" t="str">
        <f t="shared" si="59"/>
        <v/>
      </c>
      <c r="AH188" s="608" t="str">
        <f t="shared" si="60"/>
        <v/>
      </c>
      <c r="AI188" s="610" t="str">
        <f t="shared" si="61"/>
        <v/>
      </c>
    </row>
    <row r="189" spans="2:35" x14ac:dyDescent="0.25">
      <c r="B189" s="209">
        <v>156</v>
      </c>
      <c r="C189" s="480"/>
      <c r="D189" s="480"/>
      <c r="E189" s="481"/>
      <c r="F189" s="480"/>
      <c r="G189" s="480"/>
      <c r="H189" s="607" t="str">
        <f t="shared" si="46"/>
        <v/>
      </c>
      <c r="I189" s="607" t="str">
        <f t="shared" si="47"/>
        <v/>
      </c>
      <c r="J189" s="607" t="str">
        <f t="shared" si="48"/>
        <v/>
      </c>
      <c r="K189" s="208" t="str">
        <f t="shared" si="49"/>
        <v/>
      </c>
      <c r="L189" s="208" t="str">
        <f t="shared" si="50"/>
        <v/>
      </c>
      <c r="M189" s="208" t="str">
        <f t="shared" si="62"/>
        <v/>
      </c>
      <c r="N189" s="608" t="str">
        <f>IF($D$3="", "", IFERROR(VLOOKUP(L189,'PIPE INCENTIVE'!$B$4:$E$19,2,FALSE),""))</f>
        <v/>
      </c>
      <c r="O189" s="608" t="str">
        <f t="shared" si="63"/>
        <v/>
      </c>
      <c r="P189" s="208" t="str">
        <f t="shared" si="64"/>
        <v/>
      </c>
      <c r="Q189" s="208" t="str">
        <f t="shared" si="51"/>
        <v/>
      </c>
      <c r="R189" s="609" t="str">
        <f t="shared" si="52"/>
        <v/>
      </c>
      <c r="S189" s="609" t="str">
        <f t="shared" si="53"/>
        <v/>
      </c>
      <c r="T189" s="609" t="str">
        <f t="shared" si="54"/>
        <v/>
      </c>
      <c r="U189" s="609" t="str" cm="1">
        <f t="array" ref="U189">IFERROR(IF($D$3="","",_xlfn.LET(_xlpm.Mixed,AND(COUNTIF($G$34:$G$533,"Heating_Hot_Water")&gt;0,(COUNTIF($G$34:$G$533,"Steam_Low_Pressure") + COUNTIF($G$34:$G$533,"Steam_Medium_Pressure") + COUNTIF($G$34:$G$533,"Steam_High_Pressure"))&gt;0),_xlpm.fluid, G189,_xlpm.fuel, K189,_xlpm.load,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89" s="609" t="str">
        <f t="shared" si="65"/>
        <v/>
      </c>
      <c r="W189" s="482"/>
      <c r="X189" s="397" t="str" cm="1">
        <f t="array" ref="X189">IFERROR(IF($D$3="","", _xlfn.XLOOKUP(1,($AR$36:$AR$53=F189)*($AS$36:$AS$53=G189), INDEX($AT$36:$BJ$53,,_xlfn.XMATCH(E189,$AT$35:$BJ$35)))),"")</f>
        <v/>
      </c>
      <c r="Y189" s="480"/>
      <c r="Z189" s="482"/>
      <c r="AA189" s="607" t="str" cm="1">
        <f t="array" ref="AA189">IFERROR(IF($D$3="", "", _xlfn.LET(_xlpm.dia, E189, _xlpm.thk, Z189, _xlpm.temp, I189,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89" s="397" t="str" cm="1">
        <f t="array" ref="AB189">IFERROR(IF($D$3="", "", _xlfn.XLOOKUP(1,($AR$57:$AR$76=Y189)*($AS$57:$AS$76=Z189), INDEX($AT$57:$BJ$76,,_xlfn.XMATCH(E189,$AT$56:$BJ$56)))),"")</f>
        <v/>
      </c>
      <c r="AC189" s="208" t="str">
        <f t="shared" si="55"/>
        <v/>
      </c>
      <c r="AD189" s="397" t="str">
        <f t="shared" si="56"/>
        <v/>
      </c>
      <c r="AE189" s="610" t="str">
        <f t="shared" si="57"/>
        <v/>
      </c>
      <c r="AF189" s="610" t="str">
        <f t="shared" si="58"/>
        <v/>
      </c>
      <c r="AG189" s="610" t="str">
        <f t="shared" si="59"/>
        <v/>
      </c>
      <c r="AH189" s="608" t="str">
        <f t="shared" si="60"/>
        <v/>
      </c>
      <c r="AI189" s="610" t="str">
        <f t="shared" si="61"/>
        <v/>
      </c>
    </row>
    <row r="190" spans="2:35" x14ac:dyDescent="0.25">
      <c r="B190" s="209">
        <v>157</v>
      </c>
      <c r="C190" s="480"/>
      <c r="D190" s="480"/>
      <c r="E190" s="481"/>
      <c r="F190" s="480"/>
      <c r="G190" s="480"/>
      <c r="H190" s="607" t="str">
        <f t="shared" si="46"/>
        <v/>
      </c>
      <c r="I190" s="607" t="str">
        <f t="shared" si="47"/>
        <v/>
      </c>
      <c r="J190" s="607" t="str">
        <f t="shared" si="48"/>
        <v/>
      </c>
      <c r="K190" s="208" t="str">
        <f t="shared" si="49"/>
        <v/>
      </c>
      <c r="L190" s="208" t="str">
        <f t="shared" si="50"/>
        <v/>
      </c>
      <c r="M190" s="208" t="str">
        <f t="shared" si="62"/>
        <v/>
      </c>
      <c r="N190" s="608" t="str">
        <f>IF($D$3="", "", IFERROR(VLOOKUP(L190,'PIPE INCENTIVE'!$B$4:$E$19,2,FALSE),""))</f>
        <v/>
      </c>
      <c r="O190" s="608" t="str">
        <f t="shared" si="63"/>
        <v/>
      </c>
      <c r="P190" s="208" t="str">
        <f t="shared" si="64"/>
        <v/>
      </c>
      <c r="Q190" s="208" t="str">
        <f t="shared" si="51"/>
        <v/>
      </c>
      <c r="R190" s="609" t="str">
        <f t="shared" si="52"/>
        <v/>
      </c>
      <c r="S190" s="609" t="str">
        <f t="shared" si="53"/>
        <v/>
      </c>
      <c r="T190" s="609" t="str">
        <f t="shared" si="54"/>
        <v/>
      </c>
      <c r="U190" s="609" t="str" cm="1">
        <f t="array" ref="U190">IFERROR(IF($D$3="","",_xlfn.LET(_xlpm.Mixed,AND(COUNTIF($G$34:$G$533,"Heating_Hot_Water")&gt;0,(COUNTIF($G$34:$G$533,"Steam_Low_Pressure") + COUNTIF($G$34:$G$533,"Steam_Medium_Pressure") + COUNTIF($G$34:$G$533,"Steam_High_Pressure"))&gt;0),_xlpm.fluid, G190,_xlpm.fuel, K190,_xlpm.load,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0" s="609" t="str">
        <f t="shared" si="65"/>
        <v/>
      </c>
      <c r="W190" s="482"/>
      <c r="X190" s="397" t="str" cm="1">
        <f t="array" ref="X190">IFERROR(IF($D$3="","", _xlfn.XLOOKUP(1,($AR$36:$AR$53=F190)*($AS$36:$AS$53=G190), INDEX($AT$36:$BJ$53,,_xlfn.XMATCH(E190,$AT$35:$BJ$35)))),"")</f>
        <v/>
      </c>
      <c r="Y190" s="480"/>
      <c r="Z190" s="482"/>
      <c r="AA190" s="607" t="str" cm="1">
        <f t="array" ref="AA190">IFERROR(IF($D$3="", "", _xlfn.LET(_xlpm.dia, E190, _xlpm.thk, Z190, _xlpm.temp, I190,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0" s="397" t="str" cm="1">
        <f t="array" ref="AB190">IFERROR(IF($D$3="", "", _xlfn.XLOOKUP(1,($AR$57:$AR$76=Y190)*($AS$57:$AS$76=Z190), INDEX($AT$57:$BJ$76,,_xlfn.XMATCH(E190,$AT$56:$BJ$56)))),"")</f>
        <v/>
      </c>
      <c r="AC190" s="208" t="str">
        <f t="shared" si="55"/>
        <v/>
      </c>
      <c r="AD190" s="397" t="str">
        <f t="shared" si="56"/>
        <v/>
      </c>
      <c r="AE190" s="610" t="str">
        <f t="shared" si="57"/>
        <v/>
      </c>
      <c r="AF190" s="610" t="str">
        <f t="shared" si="58"/>
        <v/>
      </c>
      <c r="AG190" s="610" t="str">
        <f t="shared" si="59"/>
        <v/>
      </c>
      <c r="AH190" s="608" t="str">
        <f t="shared" si="60"/>
        <v/>
      </c>
      <c r="AI190" s="610" t="str">
        <f t="shared" si="61"/>
        <v/>
      </c>
    </row>
    <row r="191" spans="2:35" x14ac:dyDescent="0.25">
      <c r="B191" s="209">
        <v>158</v>
      </c>
      <c r="C191" s="480"/>
      <c r="D191" s="480"/>
      <c r="E191" s="481"/>
      <c r="F191" s="480"/>
      <c r="G191" s="480"/>
      <c r="H191" s="607" t="str">
        <f t="shared" si="46"/>
        <v/>
      </c>
      <c r="I191" s="607" t="str">
        <f t="shared" si="47"/>
        <v/>
      </c>
      <c r="J191" s="607" t="str">
        <f t="shared" si="48"/>
        <v/>
      </c>
      <c r="K191" s="208" t="str">
        <f t="shared" si="49"/>
        <v/>
      </c>
      <c r="L191" s="208" t="str">
        <f t="shared" si="50"/>
        <v/>
      </c>
      <c r="M191" s="208" t="str">
        <f t="shared" si="62"/>
        <v/>
      </c>
      <c r="N191" s="608" t="str">
        <f>IF($D$3="", "", IFERROR(VLOOKUP(L191,'PIPE INCENTIVE'!$B$4:$E$19,2,FALSE),""))</f>
        <v/>
      </c>
      <c r="O191" s="608" t="str">
        <f t="shared" si="63"/>
        <v/>
      </c>
      <c r="P191" s="208" t="str">
        <f t="shared" si="64"/>
        <v/>
      </c>
      <c r="Q191" s="208" t="str">
        <f t="shared" si="51"/>
        <v/>
      </c>
      <c r="R191" s="609" t="str">
        <f t="shared" si="52"/>
        <v/>
      </c>
      <c r="S191" s="609" t="str">
        <f t="shared" si="53"/>
        <v/>
      </c>
      <c r="T191" s="609" t="str">
        <f t="shared" si="54"/>
        <v/>
      </c>
      <c r="U191" s="609" t="str" cm="1">
        <f t="array" ref="U191">IFERROR(IF($D$3="","",_xlfn.LET(_xlpm.Mixed,AND(COUNTIF($G$34:$G$533,"Heating_Hot_Water")&gt;0,(COUNTIF($G$34:$G$533,"Steam_Low_Pressure") + COUNTIF($G$34:$G$533,"Steam_Medium_Pressure") + COUNTIF($G$34:$G$533,"Steam_High_Pressure"))&gt;0),_xlpm.fluid, G191,_xlpm.fuel, K191,_xlpm.load,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1" s="609" t="str">
        <f t="shared" si="65"/>
        <v/>
      </c>
      <c r="W191" s="482"/>
      <c r="X191" s="397" t="str" cm="1">
        <f t="array" ref="X191">IFERROR(IF($D$3="","", _xlfn.XLOOKUP(1,($AR$36:$AR$53=F191)*($AS$36:$AS$53=G191), INDEX($AT$36:$BJ$53,,_xlfn.XMATCH(E191,$AT$35:$BJ$35)))),"")</f>
        <v/>
      </c>
      <c r="Y191" s="480"/>
      <c r="Z191" s="482"/>
      <c r="AA191" s="607" t="str" cm="1">
        <f t="array" ref="AA191">IFERROR(IF($D$3="", "", _xlfn.LET(_xlpm.dia, E191, _xlpm.thk, Z191, _xlpm.temp, I191,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1" s="397" t="str" cm="1">
        <f t="array" ref="AB191">IFERROR(IF($D$3="", "", _xlfn.XLOOKUP(1,($AR$57:$AR$76=Y191)*($AS$57:$AS$76=Z191), INDEX($AT$57:$BJ$76,,_xlfn.XMATCH(E191,$AT$56:$BJ$56)))),"")</f>
        <v/>
      </c>
      <c r="AC191" s="208" t="str">
        <f t="shared" si="55"/>
        <v/>
      </c>
      <c r="AD191" s="397" t="str">
        <f t="shared" si="56"/>
        <v/>
      </c>
      <c r="AE191" s="610" t="str">
        <f t="shared" si="57"/>
        <v/>
      </c>
      <c r="AF191" s="610" t="str">
        <f t="shared" si="58"/>
        <v/>
      </c>
      <c r="AG191" s="610" t="str">
        <f t="shared" si="59"/>
        <v/>
      </c>
      <c r="AH191" s="608" t="str">
        <f t="shared" si="60"/>
        <v/>
      </c>
      <c r="AI191" s="610" t="str">
        <f t="shared" si="61"/>
        <v/>
      </c>
    </row>
    <row r="192" spans="2:35" x14ac:dyDescent="0.25">
      <c r="B192" s="209">
        <v>159</v>
      </c>
      <c r="C192" s="480"/>
      <c r="D192" s="480"/>
      <c r="E192" s="481"/>
      <c r="F192" s="480"/>
      <c r="G192" s="480"/>
      <c r="H192" s="607" t="str">
        <f t="shared" si="46"/>
        <v/>
      </c>
      <c r="I192" s="607" t="str">
        <f t="shared" si="47"/>
        <v/>
      </c>
      <c r="J192" s="607" t="str">
        <f t="shared" si="48"/>
        <v/>
      </c>
      <c r="K192" s="208" t="str">
        <f t="shared" si="49"/>
        <v/>
      </c>
      <c r="L192" s="208" t="str">
        <f t="shared" si="50"/>
        <v/>
      </c>
      <c r="M192" s="208" t="str">
        <f t="shared" si="62"/>
        <v/>
      </c>
      <c r="N192" s="608" t="str">
        <f>IF($D$3="", "", IFERROR(VLOOKUP(L192,'PIPE INCENTIVE'!$B$4:$E$19,2,FALSE),""))</f>
        <v/>
      </c>
      <c r="O192" s="608" t="str">
        <f t="shared" si="63"/>
        <v/>
      </c>
      <c r="P192" s="208" t="str">
        <f t="shared" si="64"/>
        <v/>
      </c>
      <c r="Q192" s="208" t="str">
        <f t="shared" si="51"/>
        <v/>
      </c>
      <c r="R192" s="609" t="str">
        <f t="shared" si="52"/>
        <v/>
      </c>
      <c r="S192" s="609" t="str">
        <f t="shared" si="53"/>
        <v/>
      </c>
      <c r="T192" s="609" t="str">
        <f t="shared" si="54"/>
        <v/>
      </c>
      <c r="U192" s="609" t="str" cm="1">
        <f t="array" ref="U192">IFERROR(IF($D$3="","",_xlfn.LET(_xlpm.Mixed,AND(COUNTIF($G$34:$G$533,"Heating_Hot_Water")&gt;0,(COUNTIF($G$34:$G$533,"Steam_Low_Pressure") + COUNTIF($G$34:$G$533,"Steam_Medium_Pressure") + COUNTIF($G$34:$G$533,"Steam_High_Pressure"))&gt;0),_xlpm.fluid, G192,_xlpm.fuel, K192,_xlpm.load,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2" s="609" t="str">
        <f t="shared" si="65"/>
        <v/>
      </c>
      <c r="W192" s="482"/>
      <c r="X192" s="397" t="str" cm="1">
        <f t="array" ref="X192">IFERROR(IF($D$3="","", _xlfn.XLOOKUP(1,($AR$36:$AR$53=F192)*($AS$36:$AS$53=G192), INDEX($AT$36:$BJ$53,,_xlfn.XMATCH(E192,$AT$35:$BJ$35)))),"")</f>
        <v/>
      </c>
      <c r="Y192" s="480"/>
      <c r="Z192" s="482"/>
      <c r="AA192" s="607" t="str" cm="1">
        <f t="array" ref="AA192">IFERROR(IF($D$3="", "", _xlfn.LET(_xlpm.dia, E192, _xlpm.thk, Z192, _xlpm.temp, I192,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2" s="397" t="str" cm="1">
        <f t="array" ref="AB192">IFERROR(IF($D$3="", "", _xlfn.XLOOKUP(1,($AR$57:$AR$76=Y192)*($AS$57:$AS$76=Z192), INDEX($AT$57:$BJ$76,,_xlfn.XMATCH(E192,$AT$56:$BJ$56)))),"")</f>
        <v/>
      </c>
      <c r="AC192" s="208" t="str">
        <f t="shared" si="55"/>
        <v/>
      </c>
      <c r="AD192" s="397" t="str">
        <f t="shared" si="56"/>
        <v/>
      </c>
      <c r="AE192" s="610" t="str">
        <f t="shared" si="57"/>
        <v/>
      </c>
      <c r="AF192" s="610" t="str">
        <f t="shared" si="58"/>
        <v/>
      </c>
      <c r="AG192" s="610" t="str">
        <f t="shared" si="59"/>
        <v/>
      </c>
      <c r="AH192" s="608" t="str">
        <f t="shared" si="60"/>
        <v/>
      </c>
      <c r="AI192" s="610" t="str">
        <f t="shared" si="61"/>
        <v/>
      </c>
    </row>
    <row r="193" spans="2:35" x14ac:dyDescent="0.25">
      <c r="B193" s="209">
        <v>160</v>
      </c>
      <c r="C193" s="480"/>
      <c r="D193" s="480"/>
      <c r="E193" s="481"/>
      <c r="F193" s="480"/>
      <c r="G193" s="480"/>
      <c r="H193" s="607" t="str">
        <f t="shared" si="46"/>
        <v/>
      </c>
      <c r="I193" s="607" t="str">
        <f t="shared" si="47"/>
        <v/>
      </c>
      <c r="J193" s="607" t="str">
        <f t="shared" si="48"/>
        <v/>
      </c>
      <c r="K193" s="208" t="str">
        <f t="shared" si="49"/>
        <v/>
      </c>
      <c r="L193" s="208" t="str">
        <f t="shared" si="50"/>
        <v/>
      </c>
      <c r="M193" s="208" t="str">
        <f t="shared" si="62"/>
        <v/>
      </c>
      <c r="N193" s="608" t="str">
        <f>IF($D$3="", "", IFERROR(VLOOKUP(L193,'PIPE INCENTIVE'!$B$4:$E$19,2,FALSE),""))</f>
        <v/>
      </c>
      <c r="O193" s="608" t="str">
        <f t="shared" si="63"/>
        <v/>
      </c>
      <c r="P193" s="208" t="str">
        <f t="shared" si="64"/>
        <v/>
      </c>
      <c r="Q193" s="208" t="str">
        <f t="shared" si="51"/>
        <v/>
      </c>
      <c r="R193" s="609" t="str">
        <f t="shared" si="52"/>
        <v/>
      </c>
      <c r="S193" s="609" t="str">
        <f t="shared" si="53"/>
        <v/>
      </c>
      <c r="T193" s="609" t="str">
        <f t="shared" si="54"/>
        <v/>
      </c>
      <c r="U193" s="609" t="str" cm="1">
        <f t="array" ref="U193">IFERROR(IF($D$3="","",_xlfn.LET(_xlpm.Mixed,AND(COUNTIF($G$34:$G$533,"Heating_Hot_Water")&gt;0,(COUNTIF($G$34:$G$533,"Steam_Low_Pressure") + COUNTIF($G$34:$G$533,"Steam_Medium_Pressure") + COUNTIF($G$34:$G$533,"Steam_High_Pressure"))&gt;0),_xlpm.fluid, G193,_xlpm.fuel, K193,_xlpm.load,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3" s="609" t="str">
        <f t="shared" si="65"/>
        <v/>
      </c>
      <c r="W193" s="482"/>
      <c r="X193" s="397" t="str" cm="1">
        <f t="array" ref="X193">IFERROR(IF($D$3="","", _xlfn.XLOOKUP(1,($AR$36:$AR$53=F193)*($AS$36:$AS$53=G193), INDEX($AT$36:$BJ$53,,_xlfn.XMATCH(E193,$AT$35:$BJ$35)))),"")</f>
        <v/>
      </c>
      <c r="Y193" s="480"/>
      <c r="Z193" s="482"/>
      <c r="AA193" s="607" t="str" cm="1">
        <f t="array" ref="AA193">IFERROR(IF($D$3="", "", _xlfn.LET(_xlpm.dia, E193, _xlpm.thk, Z193, _xlpm.temp, I193,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3" s="397" t="str" cm="1">
        <f t="array" ref="AB193">IFERROR(IF($D$3="", "", _xlfn.XLOOKUP(1,($AR$57:$AR$76=Y193)*($AS$57:$AS$76=Z193), INDEX($AT$57:$BJ$76,,_xlfn.XMATCH(E193,$AT$56:$BJ$56)))),"")</f>
        <v/>
      </c>
      <c r="AC193" s="208" t="str">
        <f t="shared" si="55"/>
        <v/>
      </c>
      <c r="AD193" s="397" t="str">
        <f t="shared" si="56"/>
        <v/>
      </c>
      <c r="AE193" s="610" t="str">
        <f t="shared" si="57"/>
        <v/>
      </c>
      <c r="AF193" s="610" t="str">
        <f t="shared" si="58"/>
        <v/>
      </c>
      <c r="AG193" s="610" t="str">
        <f t="shared" si="59"/>
        <v/>
      </c>
      <c r="AH193" s="608" t="str">
        <f t="shared" si="60"/>
        <v/>
      </c>
      <c r="AI193" s="610" t="str">
        <f t="shared" si="61"/>
        <v/>
      </c>
    </row>
    <row r="194" spans="2:35" x14ac:dyDescent="0.25">
      <c r="B194" s="209">
        <v>161</v>
      </c>
      <c r="C194" s="480"/>
      <c r="D194" s="480"/>
      <c r="E194" s="481"/>
      <c r="F194" s="480"/>
      <c r="G194" s="480"/>
      <c r="H194" s="607" t="str">
        <f t="shared" si="46"/>
        <v/>
      </c>
      <c r="I194" s="607" t="str">
        <f t="shared" si="47"/>
        <v/>
      </c>
      <c r="J194" s="607" t="str">
        <f t="shared" si="48"/>
        <v/>
      </c>
      <c r="K194" s="208" t="str">
        <f t="shared" si="49"/>
        <v/>
      </c>
      <c r="L194" s="208" t="str">
        <f t="shared" si="50"/>
        <v/>
      </c>
      <c r="M194" s="208" t="str">
        <f t="shared" si="62"/>
        <v/>
      </c>
      <c r="N194" s="608" t="str">
        <f>IF($D$3="", "", IFERROR(VLOOKUP(L194,'PIPE INCENTIVE'!$B$4:$E$19,2,FALSE),""))</f>
        <v/>
      </c>
      <c r="O194" s="608" t="str">
        <f t="shared" si="63"/>
        <v/>
      </c>
      <c r="P194" s="208" t="str">
        <f t="shared" si="64"/>
        <v/>
      </c>
      <c r="Q194" s="208" t="str">
        <f t="shared" si="51"/>
        <v/>
      </c>
      <c r="R194" s="609" t="str">
        <f t="shared" si="52"/>
        <v/>
      </c>
      <c r="S194" s="609" t="str">
        <f t="shared" si="53"/>
        <v/>
      </c>
      <c r="T194" s="609" t="str">
        <f t="shared" si="54"/>
        <v/>
      </c>
      <c r="U194" s="609" t="str" cm="1">
        <f t="array" ref="U194">IFERROR(IF($D$3="","",_xlfn.LET(_xlpm.Mixed,AND(COUNTIF($G$34:$G$533,"Heating_Hot_Water")&gt;0,(COUNTIF($G$34:$G$533,"Steam_Low_Pressure") + COUNTIF($G$34:$G$533,"Steam_Medium_Pressure") + COUNTIF($G$34:$G$533,"Steam_High_Pressure"))&gt;0),_xlpm.fluid, G194,_xlpm.fuel, K194,_xlpm.load,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4" s="609" t="str">
        <f t="shared" si="65"/>
        <v/>
      </c>
      <c r="W194" s="482"/>
      <c r="X194" s="397" t="str" cm="1">
        <f t="array" ref="X194">IFERROR(IF($D$3="","", _xlfn.XLOOKUP(1,($AR$36:$AR$53=F194)*($AS$36:$AS$53=G194), INDEX($AT$36:$BJ$53,,_xlfn.XMATCH(E194,$AT$35:$BJ$35)))),"")</f>
        <v/>
      </c>
      <c r="Y194" s="480"/>
      <c r="Z194" s="482"/>
      <c r="AA194" s="607" t="str" cm="1">
        <f t="array" ref="AA194">IFERROR(IF($D$3="", "", _xlfn.LET(_xlpm.dia, E194, _xlpm.thk, Z194, _xlpm.temp, I194,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4" s="397" t="str" cm="1">
        <f t="array" ref="AB194">IFERROR(IF($D$3="", "", _xlfn.XLOOKUP(1,($AR$57:$AR$76=Y194)*($AS$57:$AS$76=Z194), INDEX($AT$57:$BJ$76,,_xlfn.XMATCH(E194,$AT$56:$BJ$56)))),"")</f>
        <v/>
      </c>
      <c r="AC194" s="208" t="str">
        <f t="shared" si="55"/>
        <v/>
      </c>
      <c r="AD194" s="397" t="str">
        <f t="shared" si="56"/>
        <v/>
      </c>
      <c r="AE194" s="610" t="str">
        <f t="shared" si="57"/>
        <v/>
      </c>
      <c r="AF194" s="610" t="str">
        <f t="shared" si="58"/>
        <v/>
      </c>
      <c r="AG194" s="610" t="str">
        <f t="shared" si="59"/>
        <v/>
      </c>
      <c r="AH194" s="608" t="str">
        <f t="shared" si="60"/>
        <v/>
      </c>
      <c r="AI194" s="610" t="str">
        <f t="shared" si="61"/>
        <v/>
      </c>
    </row>
    <row r="195" spans="2:35" x14ac:dyDescent="0.25">
      <c r="B195" s="209">
        <v>162</v>
      </c>
      <c r="C195" s="480"/>
      <c r="D195" s="480"/>
      <c r="E195" s="481"/>
      <c r="F195" s="480"/>
      <c r="G195" s="480"/>
      <c r="H195" s="607" t="str">
        <f t="shared" si="46"/>
        <v/>
      </c>
      <c r="I195" s="607" t="str">
        <f t="shared" si="47"/>
        <v/>
      </c>
      <c r="J195" s="607" t="str">
        <f t="shared" si="48"/>
        <v/>
      </c>
      <c r="K195" s="208" t="str">
        <f t="shared" si="49"/>
        <v/>
      </c>
      <c r="L195" s="208" t="str">
        <f t="shared" si="50"/>
        <v/>
      </c>
      <c r="M195" s="208" t="str">
        <f t="shared" si="62"/>
        <v/>
      </c>
      <c r="N195" s="608" t="str">
        <f>IF($D$3="", "", IFERROR(VLOOKUP(L195,'PIPE INCENTIVE'!$B$4:$E$19,2,FALSE),""))</f>
        <v/>
      </c>
      <c r="O195" s="608" t="str">
        <f t="shared" si="63"/>
        <v/>
      </c>
      <c r="P195" s="208" t="str">
        <f t="shared" si="64"/>
        <v/>
      </c>
      <c r="Q195" s="208" t="str">
        <f t="shared" si="51"/>
        <v/>
      </c>
      <c r="R195" s="609" t="str">
        <f t="shared" si="52"/>
        <v/>
      </c>
      <c r="S195" s="609" t="str">
        <f t="shared" si="53"/>
        <v/>
      </c>
      <c r="T195" s="609" t="str">
        <f t="shared" si="54"/>
        <v/>
      </c>
      <c r="U195" s="609" t="str" cm="1">
        <f t="array" ref="U195">IFERROR(IF($D$3="","",_xlfn.LET(_xlpm.Mixed,AND(COUNTIF($G$34:$G$533,"Heating_Hot_Water")&gt;0,(COUNTIF($G$34:$G$533,"Steam_Low_Pressure") + COUNTIF($G$34:$G$533,"Steam_Medium_Pressure") + COUNTIF($G$34:$G$533,"Steam_High_Pressure"))&gt;0),_xlpm.fluid, G195,_xlpm.fuel, K195,_xlpm.load,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5" s="609" t="str">
        <f t="shared" si="65"/>
        <v/>
      </c>
      <c r="W195" s="482"/>
      <c r="X195" s="397" t="str" cm="1">
        <f t="array" ref="X195">IFERROR(IF($D$3="","", _xlfn.XLOOKUP(1,($AR$36:$AR$53=F195)*($AS$36:$AS$53=G195), INDEX($AT$36:$BJ$53,,_xlfn.XMATCH(E195,$AT$35:$BJ$35)))),"")</f>
        <v/>
      </c>
      <c r="Y195" s="480"/>
      <c r="Z195" s="482"/>
      <c r="AA195" s="607" t="str" cm="1">
        <f t="array" ref="AA195">IFERROR(IF($D$3="", "", _xlfn.LET(_xlpm.dia, E195, _xlpm.thk, Z195, _xlpm.temp, I195,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5" s="397" t="str" cm="1">
        <f t="array" ref="AB195">IFERROR(IF($D$3="", "", _xlfn.XLOOKUP(1,($AR$57:$AR$76=Y195)*($AS$57:$AS$76=Z195), INDEX($AT$57:$BJ$76,,_xlfn.XMATCH(E195,$AT$56:$BJ$56)))),"")</f>
        <v/>
      </c>
      <c r="AC195" s="208" t="str">
        <f t="shared" si="55"/>
        <v/>
      </c>
      <c r="AD195" s="397" t="str">
        <f t="shared" si="56"/>
        <v/>
      </c>
      <c r="AE195" s="610" t="str">
        <f t="shared" si="57"/>
        <v/>
      </c>
      <c r="AF195" s="610" t="str">
        <f t="shared" si="58"/>
        <v/>
      </c>
      <c r="AG195" s="610" t="str">
        <f t="shared" si="59"/>
        <v/>
      </c>
      <c r="AH195" s="608" t="str">
        <f t="shared" si="60"/>
        <v/>
      </c>
      <c r="AI195" s="610" t="str">
        <f t="shared" si="61"/>
        <v/>
      </c>
    </row>
    <row r="196" spans="2:35" x14ac:dyDescent="0.25">
      <c r="B196" s="209">
        <v>163</v>
      </c>
      <c r="C196" s="480"/>
      <c r="D196" s="480"/>
      <c r="E196" s="481"/>
      <c r="F196" s="480"/>
      <c r="G196" s="480"/>
      <c r="H196" s="607" t="str">
        <f t="shared" si="46"/>
        <v/>
      </c>
      <c r="I196" s="607" t="str">
        <f t="shared" si="47"/>
        <v/>
      </c>
      <c r="J196" s="607" t="str">
        <f t="shared" si="48"/>
        <v/>
      </c>
      <c r="K196" s="208" t="str">
        <f t="shared" si="49"/>
        <v/>
      </c>
      <c r="L196" s="208" t="str">
        <f t="shared" si="50"/>
        <v/>
      </c>
      <c r="M196" s="208" t="str">
        <f t="shared" si="62"/>
        <v/>
      </c>
      <c r="N196" s="608" t="str">
        <f>IF($D$3="", "", IFERROR(VLOOKUP(L196,'PIPE INCENTIVE'!$B$4:$E$19,2,FALSE),""))</f>
        <v/>
      </c>
      <c r="O196" s="608" t="str">
        <f t="shared" si="63"/>
        <v/>
      </c>
      <c r="P196" s="208" t="str">
        <f t="shared" si="64"/>
        <v/>
      </c>
      <c r="Q196" s="208" t="str">
        <f t="shared" si="51"/>
        <v/>
      </c>
      <c r="R196" s="609" t="str">
        <f t="shared" si="52"/>
        <v/>
      </c>
      <c r="S196" s="609" t="str">
        <f t="shared" si="53"/>
        <v/>
      </c>
      <c r="T196" s="609" t="str">
        <f t="shared" si="54"/>
        <v/>
      </c>
      <c r="U196" s="609" t="str" cm="1">
        <f t="array" ref="U196">IFERROR(IF($D$3="","",_xlfn.LET(_xlpm.Mixed,AND(COUNTIF($G$34:$G$533,"Heating_Hot_Water")&gt;0,(COUNTIF($G$34:$G$533,"Steam_Low_Pressure") + COUNTIF($G$34:$G$533,"Steam_Medium_Pressure") + COUNTIF($G$34:$G$533,"Steam_High_Pressure"))&gt;0),_xlpm.fluid, G196,_xlpm.fuel, K196,_xlpm.load,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6" s="609" t="str">
        <f t="shared" si="65"/>
        <v/>
      </c>
      <c r="W196" s="482"/>
      <c r="X196" s="397" t="str" cm="1">
        <f t="array" ref="X196">IFERROR(IF($D$3="","", _xlfn.XLOOKUP(1,($AR$36:$AR$53=F196)*($AS$36:$AS$53=G196), INDEX($AT$36:$BJ$53,,_xlfn.XMATCH(E196,$AT$35:$BJ$35)))),"")</f>
        <v/>
      </c>
      <c r="Y196" s="480"/>
      <c r="Z196" s="482"/>
      <c r="AA196" s="607" t="str" cm="1">
        <f t="array" ref="AA196">IFERROR(IF($D$3="", "", _xlfn.LET(_xlpm.dia, E196, _xlpm.thk, Z196, _xlpm.temp, I196,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6" s="397" t="str" cm="1">
        <f t="array" ref="AB196">IFERROR(IF($D$3="", "", _xlfn.XLOOKUP(1,($AR$57:$AR$76=Y196)*($AS$57:$AS$76=Z196), INDEX($AT$57:$BJ$76,,_xlfn.XMATCH(E196,$AT$56:$BJ$56)))),"")</f>
        <v/>
      </c>
      <c r="AC196" s="208" t="str">
        <f t="shared" si="55"/>
        <v/>
      </c>
      <c r="AD196" s="397" t="str">
        <f t="shared" si="56"/>
        <v/>
      </c>
      <c r="AE196" s="610" t="str">
        <f t="shared" si="57"/>
        <v/>
      </c>
      <c r="AF196" s="610" t="str">
        <f t="shared" si="58"/>
        <v/>
      </c>
      <c r="AG196" s="610" t="str">
        <f t="shared" si="59"/>
        <v/>
      </c>
      <c r="AH196" s="608" t="str">
        <f t="shared" si="60"/>
        <v/>
      </c>
      <c r="AI196" s="610" t="str">
        <f t="shared" si="61"/>
        <v/>
      </c>
    </row>
    <row r="197" spans="2:35" x14ac:dyDescent="0.25">
      <c r="B197" s="209">
        <v>164</v>
      </c>
      <c r="C197" s="480"/>
      <c r="D197" s="480"/>
      <c r="E197" s="481"/>
      <c r="F197" s="480"/>
      <c r="G197" s="480"/>
      <c r="H197" s="607" t="str">
        <f t="shared" si="46"/>
        <v/>
      </c>
      <c r="I197" s="607" t="str">
        <f t="shared" si="47"/>
        <v/>
      </c>
      <c r="J197" s="607" t="str">
        <f t="shared" si="48"/>
        <v/>
      </c>
      <c r="K197" s="208" t="str">
        <f t="shared" si="49"/>
        <v/>
      </c>
      <c r="L197" s="208" t="str">
        <f t="shared" si="50"/>
        <v/>
      </c>
      <c r="M197" s="208" t="str">
        <f t="shared" si="62"/>
        <v/>
      </c>
      <c r="N197" s="608" t="str">
        <f>IF($D$3="", "", IFERROR(VLOOKUP(L197,'PIPE INCENTIVE'!$B$4:$E$19,2,FALSE),""))</f>
        <v/>
      </c>
      <c r="O197" s="608" t="str">
        <f t="shared" si="63"/>
        <v/>
      </c>
      <c r="P197" s="208" t="str">
        <f t="shared" si="64"/>
        <v/>
      </c>
      <c r="Q197" s="208" t="str">
        <f t="shared" si="51"/>
        <v/>
      </c>
      <c r="R197" s="609" t="str">
        <f t="shared" si="52"/>
        <v/>
      </c>
      <c r="S197" s="609" t="str">
        <f t="shared" si="53"/>
        <v/>
      </c>
      <c r="T197" s="609" t="str">
        <f t="shared" si="54"/>
        <v/>
      </c>
      <c r="U197" s="609" t="str" cm="1">
        <f t="array" ref="U197">IFERROR(IF($D$3="","",_xlfn.LET(_xlpm.Mixed,AND(COUNTIF($G$34:$G$533,"Heating_Hot_Water")&gt;0,(COUNTIF($G$34:$G$533,"Steam_Low_Pressure") + COUNTIF($G$34:$G$533,"Steam_Medium_Pressure") + COUNTIF($G$34:$G$533,"Steam_High_Pressure"))&gt;0),_xlpm.fluid, G197,_xlpm.fuel, K197,_xlpm.load,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7" s="609" t="str">
        <f t="shared" si="65"/>
        <v/>
      </c>
      <c r="W197" s="482"/>
      <c r="X197" s="397" t="str" cm="1">
        <f t="array" ref="X197">IFERROR(IF($D$3="","", _xlfn.XLOOKUP(1,($AR$36:$AR$53=F197)*($AS$36:$AS$53=G197), INDEX($AT$36:$BJ$53,,_xlfn.XMATCH(E197,$AT$35:$BJ$35)))),"")</f>
        <v/>
      </c>
      <c r="Y197" s="480"/>
      <c r="Z197" s="482"/>
      <c r="AA197" s="607" t="str" cm="1">
        <f t="array" ref="AA197">IFERROR(IF($D$3="", "", _xlfn.LET(_xlpm.dia, E197, _xlpm.thk, Z197, _xlpm.temp, I197,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7" s="397" t="str" cm="1">
        <f t="array" ref="AB197">IFERROR(IF($D$3="", "", _xlfn.XLOOKUP(1,($AR$57:$AR$76=Y197)*($AS$57:$AS$76=Z197), INDEX($AT$57:$BJ$76,,_xlfn.XMATCH(E197,$AT$56:$BJ$56)))),"")</f>
        <v/>
      </c>
      <c r="AC197" s="208" t="str">
        <f t="shared" si="55"/>
        <v/>
      </c>
      <c r="AD197" s="397" t="str">
        <f t="shared" si="56"/>
        <v/>
      </c>
      <c r="AE197" s="610" t="str">
        <f t="shared" si="57"/>
        <v/>
      </c>
      <c r="AF197" s="610" t="str">
        <f t="shared" si="58"/>
        <v/>
      </c>
      <c r="AG197" s="610" t="str">
        <f t="shared" si="59"/>
        <v/>
      </c>
      <c r="AH197" s="608" t="str">
        <f t="shared" si="60"/>
        <v/>
      </c>
      <c r="AI197" s="610" t="str">
        <f t="shared" si="61"/>
        <v/>
      </c>
    </row>
    <row r="198" spans="2:35" x14ac:dyDescent="0.25">
      <c r="B198" s="209">
        <v>165</v>
      </c>
      <c r="C198" s="480"/>
      <c r="D198" s="480"/>
      <c r="E198" s="481"/>
      <c r="F198" s="480"/>
      <c r="G198" s="480"/>
      <c r="H198" s="607" t="str">
        <f t="shared" si="46"/>
        <v/>
      </c>
      <c r="I198" s="607" t="str">
        <f t="shared" si="47"/>
        <v/>
      </c>
      <c r="J198" s="607" t="str">
        <f t="shared" si="48"/>
        <v/>
      </c>
      <c r="K198" s="208" t="str">
        <f t="shared" si="49"/>
        <v/>
      </c>
      <c r="L198" s="208" t="str">
        <f t="shared" si="50"/>
        <v/>
      </c>
      <c r="M198" s="208" t="str">
        <f t="shared" si="62"/>
        <v/>
      </c>
      <c r="N198" s="608" t="str">
        <f>IF($D$3="", "", IFERROR(VLOOKUP(L198,'PIPE INCENTIVE'!$B$4:$E$19,2,FALSE),""))</f>
        <v/>
      </c>
      <c r="O198" s="608" t="str">
        <f t="shared" si="63"/>
        <v/>
      </c>
      <c r="P198" s="208" t="str">
        <f t="shared" si="64"/>
        <v/>
      </c>
      <c r="Q198" s="208" t="str">
        <f t="shared" si="51"/>
        <v/>
      </c>
      <c r="R198" s="609" t="str">
        <f t="shared" si="52"/>
        <v/>
      </c>
      <c r="S198" s="609" t="str">
        <f t="shared" si="53"/>
        <v/>
      </c>
      <c r="T198" s="609" t="str">
        <f t="shared" si="54"/>
        <v/>
      </c>
      <c r="U198" s="609" t="str" cm="1">
        <f t="array" ref="U198">IFERROR(IF($D$3="","",_xlfn.LET(_xlpm.Mixed,AND(COUNTIF($G$34:$G$533,"Heating_Hot_Water")&gt;0,(COUNTIF($G$34:$G$533,"Steam_Low_Pressure") + COUNTIF($G$34:$G$533,"Steam_Medium_Pressure") + COUNTIF($G$34:$G$533,"Steam_High_Pressure"))&gt;0),_xlpm.fluid, G198,_xlpm.fuel, K198,_xlpm.load,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8" s="609" t="str">
        <f t="shared" si="65"/>
        <v/>
      </c>
      <c r="W198" s="482"/>
      <c r="X198" s="397" t="str" cm="1">
        <f t="array" ref="X198">IFERROR(IF($D$3="","", _xlfn.XLOOKUP(1,($AR$36:$AR$53=F198)*($AS$36:$AS$53=G198), INDEX($AT$36:$BJ$53,,_xlfn.XMATCH(E198,$AT$35:$BJ$35)))),"")</f>
        <v/>
      </c>
      <c r="Y198" s="480"/>
      <c r="Z198" s="482"/>
      <c r="AA198" s="607" t="str" cm="1">
        <f t="array" ref="AA198">IFERROR(IF($D$3="", "", _xlfn.LET(_xlpm.dia, E198, _xlpm.thk, Z198, _xlpm.temp, I198,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8" s="397" t="str" cm="1">
        <f t="array" ref="AB198">IFERROR(IF($D$3="", "", _xlfn.XLOOKUP(1,($AR$57:$AR$76=Y198)*($AS$57:$AS$76=Z198), INDEX($AT$57:$BJ$76,,_xlfn.XMATCH(E198,$AT$56:$BJ$56)))),"")</f>
        <v/>
      </c>
      <c r="AC198" s="208" t="str">
        <f t="shared" si="55"/>
        <v/>
      </c>
      <c r="AD198" s="397" t="str">
        <f t="shared" si="56"/>
        <v/>
      </c>
      <c r="AE198" s="610" t="str">
        <f t="shared" si="57"/>
        <v/>
      </c>
      <c r="AF198" s="610" t="str">
        <f t="shared" si="58"/>
        <v/>
      </c>
      <c r="AG198" s="610" t="str">
        <f t="shared" si="59"/>
        <v/>
      </c>
      <c r="AH198" s="608" t="str">
        <f t="shared" si="60"/>
        <v/>
      </c>
      <c r="AI198" s="610" t="str">
        <f t="shared" si="61"/>
        <v/>
      </c>
    </row>
    <row r="199" spans="2:35" x14ac:dyDescent="0.25">
      <c r="B199" s="209">
        <v>166</v>
      </c>
      <c r="C199" s="480"/>
      <c r="D199" s="480"/>
      <c r="E199" s="481"/>
      <c r="F199" s="480"/>
      <c r="G199" s="480"/>
      <c r="H199" s="607" t="str">
        <f t="shared" si="46"/>
        <v/>
      </c>
      <c r="I199" s="607" t="str">
        <f t="shared" si="47"/>
        <v/>
      </c>
      <c r="J199" s="607" t="str">
        <f t="shared" si="48"/>
        <v/>
      </c>
      <c r="K199" s="208" t="str">
        <f t="shared" si="49"/>
        <v/>
      </c>
      <c r="L199" s="208" t="str">
        <f t="shared" si="50"/>
        <v/>
      </c>
      <c r="M199" s="208" t="str">
        <f t="shared" si="62"/>
        <v/>
      </c>
      <c r="N199" s="608" t="str">
        <f>IF($D$3="", "", IFERROR(VLOOKUP(L199,'PIPE INCENTIVE'!$B$4:$E$19,2,FALSE),""))</f>
        <v/>
      </c>
      <c r="O199" s="608" t="str">
        <f t="shared" si="63"/>
        <v/>
      </c>
      <c r="P199" s="208" t="str">
        <f t="shared" si="64"/>
        <v/>
      </c>
      <c r="Q199" s="208" t="str">
        <f t="shared" si="51"/>
        <v/>
      </c>
      <c r="R199" s="609" t="str">
        <f t="shared" si="52"/>
        <v/>
      </c>
      <c r="S199" s="609" t="str">
        <f t="shared" si="53"/>
        <v/>
      </c>
      <c r="T199" s="609" t="str">
        <f t="shared" si="54"/>
        <v/>
      </c>
      <c r="U199" s="609" t="str" cm="1">
        <f t="array" ref="U199">IFERROR(IF($D$3="","",_xlfn.LET(_xlpm.Mixed,AND(COUNTIF($G$34:$G$533,"Heating_Hot_Water")&gt;0,(COUNTIF($G$34:$G$533,"Steam_Low_Pressure") + COUNTIF($G$34:$G$533,"Steam_Medium_Pressure") + COUNTIF($G$34:$G$533,"Steam_High_Pressure"))&gt;0),_xlpm.fluid, G199,_xlpm.fuel, K199,_xlpm.load,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199" s="609" t="str">
        <f t="shared" si="65"/>
        <v/>
      </c>
      <c r="W199" s="482"/>
      <c r="X199" s="397" t="str" cm="1">
        <f t="array" ref="X199">IFERROR(IF($D$3="","", _xlfn.XLOOKUP(1,($AR$36:$AR$53=F199)*($AS$36:$AS$53=G199), INDEX($AT$36:$BJ$53,,_xlfn.XMATCH(E199,$AT$35:$BJ$35)))),"")</f>
        <v/>
      </c>
      <c r="Y199" s="480"/>
      <c r="Z199" s="482"/>
      <c r="AA199" s="607" t="str" cm="1">
        <f t="array" ref="AA199">IFERROR(IF($D$3="", "", _xlfn.LET(_xlpm.dia, E199, _xlpm.thk, Z199, _xlpm.temp, I199,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199" s="397" t="str" cm="1">
        <f t="array" ref="AB199">IFERROR(IF($D$3="", "", _xlfn.XLOOKUP(1,($AR$57:$AR$76=Y199)*($AS$57:$AS$76=Z199), INDEX($AT$57:$BJ$76,,_xlfn.XMATCH(E199,$AT$56:$BJ$56)))),"")</f>
        <v/>
      </c>
      <c r="AC199" s="208" t="str">
        <f t="shared" si="55"/>
        <v/>
      </c>
      <c r="AD199" s="397" t="str">
        <f t="shared" si="56"/>
        <v/>
      </c>
      <c r="AE199" s="610" t="str">
        <f t="shared" si="57"/>
        <v/>
      </c>
      <c r="AF199" s="610" t="str">
        <f t="shared" si="58"/>
        <v/>
      </c>
      <c r="AG199" s="610" t="str">
        <f t="shared" si="59"/>
        <v/>
      </c>
      <c r="AH199" s="608" t="str">
        <f t="shared" si="60"/>
        <v/>
      </c>
      <c r="AI199" s="610" t="str">
        <f t="shared" si="61"/>
        <v/>
      </c>
    </row>
    <row r="200" spans="2:35" x14ac:dyDescent="0.25">
      <c r="B200" s="209">
        <v>167</v>
      </c>
      <c r="C200" s="480"/>
      <c r="D200" s="480"/>
      <c r="E200" s="481"/>
      <c r="F200" s="480"/>
      <c r="G200" s="480"/>
      <c r="H200" s="607" t="str">
        <f t="shared" si="46"/>
        <v/>
      </c>
      <c r="I200" s="607" t="str">
        <f t="shared" si="47"/>
        <v/>
      </c>
      <c r="J200" s="607" t="str">
        <f t="shared" si="48"/>
        <v/>
      </c>
      <c r="K200" s="208" t="str">
        <f t="shared" si="49"/>
        <v/>
      </c>
      <c r="L200" s="208" t="str">
        <f t="shared" si="50"/>
        <v/>
      </c>
      <c r="M200" s="208" t="str">
        <f t="shared" si="62"/>
        <v/>
      </c>
      <c r="N200" s="608" t="str">
        <f>IF($D$3="", "", IFERROR(VLOOKUP(L200,'PIPE INCENTIVE'!$B$4:$E$19,2,FALSE),""))</f>
        <v/>
      </c>
      <c r="O200" s="608" t="str">
        <f t="shared" si="63"/>
        <v/>
      </c>
      <c r="P200" s="208" t="str">
        <f t="shared" si="64"/>
        <v/>
      </c>
      <c r="Q200" s="208" t="str">
        <f t="shared" si="51"/>
        <v/>
      </c>
      <c r="R200" s="609" t="str">
        <f t="shared" si="52"/>
        <v/>
      </c>
      <c r="S200" s="609" t="str">
        <f t="shared" si="53"/>
        <v/>
      </c>
      <c r="T200" s="609" t="str">
        <f t="shared" si="54"/>
        <v/>
      </c>
      <c r="U200" s="609" t="str" cm="1">
        <f t="array" ref="U200">IFERROR(IF($D$3="","",_xlfn.LET(_xlpm.Mixed,AND(COUNTIF($G$34:$G$533,"Heating_Hot_Water")&gt;0,(COUNTIF($G$34:$G$533,"Steam_Low_Pressure") + COUNTIF($G$34:$G$533,"Steam_Medium_Pressure") + COUNTIF($G$34:$G$533,"Steam_High_Pressure"))&gt;0),_xlpm.fluid, G200,_xlpm.fuel, K200,_xlpm.load,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0" s="609" t="str">
        <f t="shared" si="65"/>
        <v/>
      </c>
      <c r="W200" s="482"/>
      <c r="X200" s="397" t="str" cm="1">
        <f t="array" ref="X200">IFERROR(IF($D$3="","", _xlfn.XLOOKUP(1,($AR$36:$AR$53=F200)*($AS$36:$AS$53=G200), INDEX($AT$36:$BJ$53,,_xlfn.XMATCH(E200,$AT$35:$BJ$35)))),"")</f>
        <v/>
      </c>
      <c r="Y200" s="480"/>
      <c r="Z200" s="482"/>
      <c r="AA200" s="607" t="str" cm="1">
        <f t="array" ref="AA200">IFERROR(IF($D$3="", "", _xlfn.LET(_xlpm.dia, E200, _xlpm.thk, Z200, _xlpm.temp, I200,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0" s="397" t="str" cm="1">
        <f t="array" ref="AB200">IFERROR(IF($D$3="", "", _xlfn.XLOOKUP(1,($AR$57:$AR$76=Y200)*($AS$57:$AS$76=Z200), INDEX($AT$57:$BJ$76,,_xlfn.XMATCH(E200,$AT$56:$BJ$56)))),"")</f>
        <v/>
      </c>
      <c r="AC200" s="208" t="str">
        <f t="shared" si="55"/>
        <v/>
      </c>
      <c r="AD200" s="397" t="str">
        <f t="shared" si="56"/>
        <v/>
      </c>
      <c r="AE200" s="610" t="str">
        <f t="shared" si="57"/>
        <v/>
      </c>
      <c r="AF200" s="610" t="str">
        <f t="shared" si="58"/>
        <v/>
      </c>
      <c r="AG200" s="610" t="str">
        <f t="shared" si="59"/>
        <v/>
      </c>
      <c r="AH200" s="608" t="str">
        <f t="shared" si="60"/>
        <v/>
      </c>
      <c r="AI200" s="610" t="str">
        <f t="shared" si="61"/>
        <v/>
      </c>
    </row>
    <row r="201" spans="2:35" x14ac:dyDescent="0.25">
      <c r="B201" s="209">
        <v>168</v>
      </c>
      <c r="C201" s="480"/>
      <c r="D201" s="480"/>
      <c r="E201" s="481"/>
      <c r="F201" s="480"/>
      <c r="G201" s="480"/>
      <c r="H201" s="607" t="str">
        <f t="shared" si="46"/>
        <v/>
      </c>
      <c r="I201" s="607" t="str">
        <f t="shared" si="47"/>
        <v/>
      </c>
      <c r="J201" s="607" t="str">
        <f t="shared" si="48"/>
        <v/>
      </c>
      <c r="K201" s="208" t="str">
        <f t="shared" si="49"/>
        <v/>
      </c>
      <c r="L201" s="208" t="str">
        <f t="shared" si="50"/>
        <v/>
      </c>
      <c r="M201" s="208" t="str">
        <f t="shared" si="62"/>
        <v/>
      </c>
      <c r="N201" s="608" t="str">
        <f>IF($D$3="", "", IFERROR(VLOOKUP(L201,'PIPE INCENTIVE'!$B$4:$E$19,2,FALSE),""))</f>
        <v/>
      </c>
      <c r="O201" s="608" t="str">
        <f t="shared" si="63"/>
        <v/>
      </c>
      <c r="P201" s="208" t="str">
        <f t="shared" si="64"/>
        <v/>
      </c>
      <c r="Q201" s="208" t="str">
        <f t="shared" si="51"/>
        <v/>
      </c>
      <c r="R201" s="609" t="str">
        <f t="shared" si="52"/>
        <v/>
      </c>
      <c r="S201" s="609" t="str">
        <f t="shared" si="53"/>
        <v/>
      </c>
      <c r="T201" s="609" t="str">
        <f t="shared" si="54"/>
        <v/>
      </c>
      <c r="U201" s="609" t="str" cm="1">
        <f t="array" ref="U201">IFERROR(IF($D$3="","",_xlfn.LET(_xlpm.Mixed,AND(COUNTIF($G$34:$G$533,"Heating_Hot_Water")&gt;0,(COUNTIF($G$34:$G$533,"Steam_Low_Pressure") + COUNTIF($G$34:$G$533,"Steam_Medium_Pressure") + COUNTIF($G$34:$G$533,"Steam_High_Pressure"))&gt;0),_xlpm.fluid, G201,_xlpm.fuel, K201,_xlpm.load,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1" s="609" t="str">
        <f t="shared" si="65"/>
        <v/>
      </c>
      <c r="W201" s="482"/>
      <c r="X201" s="397" t="str" cm="1">
        <f t="array" ref="X201">IFERROR(IF($D$3="","", _xlfn.XLOOKUP(1,($AR$36:$AR$53=F201)*($AS$36:$AS$53=G201), INDEX($AT$36:$BJ$53,,_xlfn.XMATCH(E201,$AT$35:$BJ$35)))),"")</f>
        <v/>
      </c>
      <c r="Y201" s="480"/>
      <c r="Z201" s="482"/>
      <c r="AA201" s="607" t="str" cm="1">
        <f t="array" ref="AA201">IFERROR(IF($D$3="", "", _xlfn.LET(_xlpm.dia, E201, _xlpm.thk, Z201, _xlpm.temp, I201,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1" s="397" t="str" cm="1">
        <f t="array" ref="AB201">IFERROR(IF($D$3="", "", _xlfn.XLOOKUP(1,($AR$57:$AR$76=Y201)*($AS$57:$AS$76=Z201), INDEX($AT$57:$BJ$76,,_xlfn.XMATCH(E201,$AT$56:$BJ$56)))),"")</f>
        <v/>
      </c>
      <c r="AC201" s="208" t="str">
        <f t="shared" si="55"/>
        <v/>
      </c>
      <c r="AD201" s="397" t="str">
        <f t="shared" si="56"/>
        <v/>
      </c>
      <c r="AE201" s="610" t="str">
        <f t="shared" si="57"/>
        <v/>
      </c>
      <c r="AF201" s="610" t="str">
        <f t="shared" si="58"/>
        <v/>
      </c>
      <c r="AG201" s="610" t="str">
        <f t="shared" si="59"/>
        <v/>
      </c>
      <c r="AH201" s="608" t="str">
        <f t="shared" si="60"/>
        <v/>
      </c>
      <c r="AI201" s="610" t="str">
        <f t="shared" si="61"/>
        <v/>
      </c>
    </row>
    <row r="202" spans="2:35" x14ac:dyDescent="0.25">
      <c r="B202" s="209">
        <v>169</v>
      </c>
      <c r="C202" s="480"/>
      <c r="D202" s="480"/>
      <c r="E202" s="481"/>
      <c r="F202" s="480"/>
      <c r="G202" s="480"/>
      <c r="H202" s="607" t="str">
        <f t="shared" si="46"/>
        <v/>
      </c>
      <c r="I202" s="607" t="str">
        <f t="shared" si="47"/>
        <v/>
      </c>
      <c r="J202" s="607" t="str">
        <f t="shared" si="48"/>
        <v/>
      </c>
      <c r="K202" s="208" t="str">
        <f t="shared" si="49"/>
        <v/>
      </c>
      <c r="L202" s="208" t="str">
        <f t="shared" si="50"/>
        <v/>
      </c>
      <c r="M202" s="208" t="str">
        <f t="shared" si="62"/>
        <v/>
      </c>
      <c r="N202" s="608" t="str">
        <f>IF($D$3="", "", IFERROR(VLOOKUP(L202,'PIPE INCENTIVE'!$B$4:$E$19,2,FALSE),""))</f>
        <v/>
      </c>
      <c r="O202" s="608" t="str">
        <f t="shared" si="63"/>
        <v/>
      </c>
      <c r="P202" s="208" t="str">
        <f t="shared" si="64"/>
        <v/>
      </c>
      <c r="Q202" s="208" t="str">
        <f t="shared" si="51"/>
        <v/>
      </c>
      <c r="R202" s="609" t="str">
        <f t="shared" si="52"/>
        <v/>
      </c>
      <c r="S202" s="609" t="str">
        <f t="shared" si="53"/>
        <v/>
      </c>
      <c r="T202" s="609" t="str">
        <f t="shared" si="54"/>
        <v/>
      </c>
      <c r="U202" s="609" t="str" cm="1">
        <f t="array" ref="U202">IFERROR(IF($D$3="","",_xlfn.LET(_xlpm.Mixed,AND(COUNTIF($G$34:$G$533,"Heating_Hot_Water")&gt;0,(COUNTIF($G$34:$G$533,"Steam_Low_Pressure") + COUNTIF($G$34:$G$533,"Steam_Medium_Pressure") + COUNTIF($G$34:$G$533,"Steam_High_Pressure"))&gt;0),_xlpm.fluid, G202,_xlpm.fuel, K202,_xlpm.load,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2" s="609" t="str">
        <f t="shared" si="65"/>
        <v/>
      </c>
      <c r="W202" s="482"/>
      <c r="X202" s="397" t="str" cm="1">
        <f t="array" ref="X202">IFERROR(IF($D$3="","", _xlfn.XLOOKUP(1,($AR$36:$AR$53=F202)*($AS$36:$AS$53=G202), INDEX($AT$36:$BJ$53,,_xlfn.XMATCH(E202,$AT$35:$BJ$35)))),"")</f>
        <v/>
      </c>
      <c r="Y202" s="480"/>
      <c r="Z202" s="482"/>
      <c r="AA202" s="607" t="str" cm="1">
        <f t="array" ref="AA202">IFERROR(IF($D$3="", "", _xlfn.LET(_xlpm.dia, E202, _xlpm.thk, Z202, _xlpm.temp, I202,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2" s="397" t="str" cm="1">
        <f t="array" ref="AB202">IFERROR(IF($D$3="", "", _xlfn.XLOOKUP(1,($AR$57:$AR$76=Y202)*($AS$57:$AS$76=Z202), INDEX($AT$57:$BJ$76,,_xlfn.XMATCH(E202,$AT$56:$BJ$56)))),"")</f>
        <v/>
      </c>
      <c r="AC202" s="208" t="str">
        <f t="shared" si="55"/>
        <v/>
      </c>
      <c r="AD202" s="397" t="str">
        <f t="shared" si="56"/>
        <v/>
      </c>
      <c r="AE202" s="610" t="str">
        <f t="shared" si="57"/>
        <v/>
      </c>
      <c r="AF202" s="610" t="str">
        <f t="shared" si="58"/>
        <v/>
      </c>
      <c r="AG202" s="610" t="str">
        <f t="shared" si="59"/>
        <v/>
      </c>
      <c r="AH202" s="608" t="str">
        <f t="shared" si="60"/>
        <v/>
      </c>
      <c r="AI202" s="610" t="str">
        <f t="shared" si="61"/>
        <v/>
      </c>
    </row>
    <row r="203" spans="2:35" x14ac:dyDescent="0.25">
      <c r="B203" s="209">
        <v>170</v>
      </c>
      <c r="C203" s="480"/>
      <c r="D203" s="480"/>
      <c r="E203" s="481"/>
      <c r="F203" s="480"/>
      <c r="G203" s="480"/>
      <c r="H203" s="607" t="str">
        <f t="shared" si="46"/>
        <v/>
      </c>
      <c r="I203" s="607" t="str">
        <f t="shared" si="47"/>
        <v/>
      </c>
      <c r="J203" s="607" t="str">
        <f t="shared" si="48"/>
        <v/>
      </c>
      <c r="K203" s="208" t="str">
        <f t="shared" si="49"/>
        <v/>
      </c>
      <c r="L203" s="208" t="str">
        <f t="shared" si="50"/>
        <v/>
      </c>
      <c r="M203" s="208" t="str">
        <f t="shared" si="62"/>
        <v/>
      </c>
      <c r="N203" s="608" t="str">
        <f>IF($D$3="", "", IFERROR(VLOOKUP(L203,'PIPE INCENTIVE'!$B$4:$E$19,2,FALSE),""))</f>
        <v/>
      </c>
      <c r="O203" s="608" t="str">
        <f t="shared" si="63"/>
        <v/>
      </c>
      <c r="P203" s="208" t="str">
        <f t="shared" si="64"/>
        <v/>
      </c>
      <c r="Q203" s="208" t="str">
        <f t="shared" si="51"/>
        <v/>
      </c>
      <c r="R203" s="609" t="str">
        <f t="shared" si="52"/>
        <v/>
      </c>
      <c r="S203" s="609" t="str">
        <f t="shared" si="53"/>
        <v/>
      </c>
      <c r="T203" s="609" t="str">
        <f t="shared" si="54"/>
        <v/>
      </c>
      <c r="U203" s="609" t="str" cm="1">
        <f t="array" ref="U203">IFERROR(IF($D$3="","",_xlfn.LET(_xlpm.Mixed,AND(COUNTIF($G$34:$G$533,"Heating_Hot_Water")&gt;0,(COUNTIF($G$34:$G$533,"Steam_Low_Pressure") + COUNTIF($G$34:$G$533,"Steam_Medium_Pressure") + COUNTIF($G$34:$G$533,"Steam_High_Pressure"))&gt;0),_xlpm.fluid, G203,_xlpm.fuel, K203,_xlpm.load,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3" s="609" t="str">
        <f t="shared" si="65"/>
        <v/>
      </c>
      <c r="W203" s="482"/>
      <c r="X203" s="397" t="str" cm="1">
        <f t="array" ref="X203">IFERROR(IF($D$3="","", _xlfn.XLOOKUP(1,($AR$36:$AR$53=F203)*($AS$36:$AS$53=G203), INDEX($AT$36:$BJ$53,,_xlfn.XMATCH(E203,$AT$35:$BJ$35)))),"")</f>
        <v/>
      </c>
      <c r="Y203" s="480"/>
      <c r="Z203" s="482"/>
      <c r="AA203" s="607" t="str" cm="1">
        <f t="array" ref="AA203">IFERROR(IF($D$3="", "", _xlfn.LET(_xlpm.dia, E203, _xlpm.thk, Z203, _xlpm.temp, I203,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3" s="397" t="str" cm="1">
        <f t="array" ref="AB203">IFERROR(IF($D$3="", "", _xlfn.XLOOKUP(1,($AR$57:$AR$76=Y203)*($AS$57:$AS$76=Z203), INDEX($AT$57:$BJ$76,,_xlfn.XMATCH(E203,$AT$56:$BJ$56)))),"")</f>
        <v/>
      </c>
      <c r="AC203" s="208" t="str">
        <f t="shared" si="55"/>
        <v/>
      </c>
      <c r="AD203" s="397" t="str">
        <f t="shared" si="56"/>
        <v/>
      </c>
      <c r="AE203" s="610" t="str">
        <f t="shared" si="57"/>
        <v/>
      </c>
      <c r="AF203" s="610" t="str">
        <f t="shared" si="58"/>
        <v/>
      </c>
      <c r="AG203" s="610" t="str">
        <f t="shared" si="59"/>
        <v/>
      </c>
      <c r="AH203" s="608" t="str">
        <f t="shared" si="60"/>
        <v/>
      </c>
      <c r="AI203" s="610" t="str">
        <f t="shared" si="61"/>
        <v/>
      </c>
    </row>
    <row r="204" spans="2:35" x14ac:dyDescent="0.25">
      <c r="B204" s="209">
        <v>171</v>
      </c>
      <c r="C204" s="480"/>
      <c r="D204" s="480"/>
      <c r="E204" s="481"/>
      <c r="F204" s="480"/>
      <c r="G204" s="480"/>
      <c r="H204" s="607" t="str">
        <f t="shared" si="46"/>
        <v/>
      </c>
      <c r="I204" s="607" t="str">
        <f t="shared" si="47"/>
        <v/>
      </c>
      <c r="J204" s="607" t="str">
        <f t="shared" si="48"/>
        <v/>
      </c>
      <c r="K204" s="208" t="str">
        <f t="shared" si="49"/>
        <v/>
      </c>
      <c r="L204" s="208" t="str">
        <f t="shared" si="50"/>
        <v/>
      </c>
      <c r="M204" s="208" t="str">
        <f t="shared" si="62"/>
        <v/>
      </c>
      <c r="N204" s="608" t="str">
        <f>IF($D$3="", "", IFERROR(VLOOKUP(L204,'PIPE INCENTIVE'!$B$4:$E$19,2,FALSE),""))</f>
        <v/>
      </c>
      <c r="O204" s="608" t="str">
        <f t="shared" si="63"/>
        <v/>
      </c>
      <c r="P204" s="208" t="str">
        <f t="shared" si="64"/>
        <v/>
      </c>
      <c r="Q204" s="208" t="str">
        <f t="shared" si="51"/>
        <v/>
      </c>
      <c r="R204" s="609" t="str">
        <f t="shared" si="52"/>
        <v/>
      </c>
      <c r="S204" s="609" t="str">
        <f t="shared" si="53"/>
        <v/>
      </c>
      <c r="T204" s="609" t="str">
        <f t="shared" si="54"/>
        <v/>
      </c>
      <c r="U204" s="609" t="str" cm="1">
        <f t="array" ref="U204">IFERROR(IF($D$3="","",_xlfn.LET(_xlpm.Mixed,AND(COUNTIF($G$34:$G$533,"Heating_Hot_Water")&gt;0,(COUNTIF($G$34:$G$533,"Steam_Low_Pressure") + COUNTIF($G$34:$G$533,"Steam_Medium_Pressure") + COUNTIF($G$34:$G$533,"Steam_High_Pressure"))&gt;0),_xlpm.fluid, G204,_xlpm.fuel, K204,_xlpm.load,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4" s="609" t="str">
        <f t="shared" si="65"/>
        <v/>
      </c>
      <c r="W204" s="482"/>
      <c r="X204" s="397" t="str" cm="1">
        <f t="array" ref="X204">IFERROR(IF($D$3="","", _xlfn.XLOOKUP(1,($AR$36:$AR$53=F204)*($AS$36:$AS$53=G204), INDEX($AT$36:$BJ$53,,_xlfn.XMATCH(E204,$AT$35:$BJ$35)))),"")</f>
        <v/>
      </c>
      <c r="Y204" s="480"/>
      <c r="Z204" s="482"/>
      <c r="AA204" s="607" t="str" cm="1">
        <f t="array" ref="AA204">IFERROR(IF($D$3="", "", _xlfn.LET(_xlpm.dia, E204, _xlpm.thk, Z204, _xlpm.temp, I204,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4" s="397" t="str" cm="1">
        <f t="array" ref="AB204">IFERROR(IF($D$3="", "", _xlfn.XLOOKUP(1,($AR$57:$AR$76=Y204)*($AS$57:$AS$76=Z204), INDEX($AT$57:$BJ$76,,_xlfn.XMATCH(E204,$AT$56:$BJ$56)))),"")</f>
        <v/>
      </c>
      <c r="AC204" s="208" t="str">
        <f t="shared" si="55"/>
        <v/>
      </c>
      <c r="AD204" s="397" t="str">
        <f t="shared" si="56"/>
        <v/>
      </c>
      <c r="AE204" s="610" t="str">
        <f t="shared" si="57"/>
        <v/>
      </c>
      <c r="AF204" s="610" t="str">
        <f t="shared" si="58"/>
        <v/>
      </c>
      <c r="AG204" s="610" t="str">
        <f t="shared" si="59"/>
        <v/>
      </c>
      <c r="AH204" s="608" t="str">
        <f t="shared" si="60"/>
        <v/>
      </c>
      <c r="AI204" s="610" t="str">
        <f t="shared" si="61"/>
        <v/>
      </c>
    </row>
    <row r="205" spans="2:35" x14ac:dyDescent="0.25">
      <c r="B205" s="209">
        <v>172</v>
      </c>
      <c r="C205" s="480"/>
      <c r="D205" s="480"/>
      <c r="E205" s="481"/>
      <c r="F205" s="480"/>
      <c r="G205" s="480"/>
      <c r="H205" s="607" t="str">
        <f t="shared" si="46"/>
        <v/>
      </c>
      <c r="I205" s="607" t="str">
        <f t="shared" si="47"/>
        <v/>
      </c>
      <c r="J205" s="607" t="str">
        <f t="shared" si="48"/>
        <v/>
      </c>
      <c r="K205" s="208" t="str">
        <f t="shared" si="49"/>
        <v/>
      </c>
      <c r="L205" s="208" t="str">
        <f t="shared" si="50"/>
        <v/>
      </c>
      <c r="M205" s="208" t="str">
        <f t="shared" si="62"/>
        <v/>
      </c>
      <c r="N205" s="608" t="str">
        <f>IF($D$3="", "", IFERROR(VLOOKUP(L205,'PIPE INCENTIVE'!$B$4:$E$19,2,FALSE),""))</f>
        <v/>
      </c>
      <c r="O205" s="608" t="str">
        <f t="shared" si="63"/>
        <v/>
      </c>
      <c r="P205" s="208" t="str">
        <f t="shared" si="64"/>
        <v/>
      </c>
      <c r="Q205" s="208" t="str">
        <f t="shared" si="51"/>
        <v/>
      </c>
      <c r="R205" s="609" t="str">
        <f t="shared" si="52"/>
        <v/>
      </c>
      <c r="S205" s="609" t="str">
        <f t="shared" si="53"/>
        <v/>
      </c>
      <c r="T205" s="609" t="str">
        <f t="shared" si="54"/>
        <v/>
      </c>
      <c r="U205" s="609" t="str" cm="1">
        <f t="array" ref="U205">IFERROR(IF($D$3="","",_xlfn.LET(_xlpm.Mixed,AND(COUNTIF($G$34:$G$533,"Heating_Hot_Water")&gt;0,(COUNTIF($G$34:$G$533,"Steam_Low_Pressure") + COUNTIF($G$34:$G$533,"Steam_Medium_Pressure") + COUNTIF($G$34:$G$533,"Steam_High_Pressure"))&gt;0),_xlpm.fluid, G205,_xlpm.fuel, K205,_xlpm.load,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5" s="609" t="str">
        <f t="shared" si="65"/>
        <v/>
      </c>
      <c r="W205" s="482"/>
      <c r="X205" s="397" t="str" cm="1">
        <f t="array" ref="X205">IFERROR(IF($D$3="","", _xlfn.XLOOKUP(1,($AR$36:$AR$53=F205)*($AS$36:$AS$53=G205), INDEX($AT$36:$BJ$53,,_xlfn.XMATCH(E205,$AT$35:$BJ$35)))),"")</f>
        <v/>
      </c>
      <c r="Y205" s="480"/>
      <c r="Z205" s="482"/>
      <c r="AA205" s="607" t="str" cm="1">
        <f t="array" ref="AA205">IFERROR(IF($D$3="", "", _xlfn.LET(_xlpm.dia, E205, _xlpm.thk, Z205, _xlpm.temp, I205,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5" s="397" t="str" cm="1">
        <f t="array" ref="AB205">IFERROR(IF($D$3="", "", _xlfn.XLOOKUP(1,($AR$57:$AR$76=Y205)*($AS$57:$AS$76=Z205), INDEX($AT$57:$BJ$76,,_xlfn.XMATCH(E205,$AT$56:$BJ$56)))),"")</f>
        <v/>
      </c>
      <c r="AC205" s="208" t="str">
        <f t="shared" si="55"/>
        <v/>
      </c>
      <c r="AD205" s="397" t="str">
        <f t="shared" si="56"/>
        <v/>
      </c>
      <c r="AE205" s="610" t="str">
        <f t="shared" si="57"/>
        <v/>
      </c>
      <c r="AF205" s="610" t="str">
        <f t="shared" si="58"/>
        <v/>
      </c>
      <c r="AG205" s="610" t="str">
        <f t="shared" si="59"/>
        <v/>
      </c>
      <c r="AH205" s="608" t="str">
        <f t="shared" si="60"/>
        <v/>
      </c>
      <c r="AI205" s="610" t="str">
        <f t="shared" si="61"/>
        <v/>
      </c>
    </row>
    <row r="206" spans="2:35" x14ac:dyDescent="0.25">
      <c r="B206" s="209">
        <v>173</v>
      </c>
      <c r="C206" s="480"/>
      <c r="D206" s="480"/>
      <c r="E206" s="481"/>
      <c r="F206" s="480"/>
      <c r="G206" s="480"/>
      <c r="H206" s="607" t="str">
        <f t="shared" si="46"/>
        <v/>
      </c>
      <c r="I206" s="607" t="str">
        <f t="shared" si="47"/>
        <v/>
      </c>
      <c r="J206" s="607" t="str">
        <f t="shared" si="48"/>
        <v/>
      </c>
      <c r="K206" s="208" t="str">
        <f t="shared" si="49"/>
        <v/>
      </c>
      <c r="L206" s="208" t="str">
        <f t="shared" si="50"/>
        <v/>
      </c>
      <c r="M206" s="208" t="str">
        <f t="shared" si="62"/>
        <v/>
      </c>
      <c r="N206" s="608" t="str">
        <f>IF($D$3="", "", IFERROR(VLOOKUP(L206,'PIPE INCENTIVE'!$B$4:$E$19,2,FALSE),""))</f>
        <v/>
      </c>
      <c r="O206" s="608" t="str">
        <f t="shared" si="63"/>
        <v/>
      </c>
      <c r="P206" s="208" t="str">
        <f t="shared" si="64"/>
        <v/>
      </c>
      <c r="Q206" s="208" t="str">
        <f t="shared" si="51"/>
        <v/>
      </c>
      <c r="R206" s="609" t="str">
        <f t="shared" si="52"/>
        <v/>
      </c>
      <c r="S206" s="609" t="str">
        <f t="shared" si="53"/>
        <v/>
      </c>
      <c r="T206" s="609" t="str">
        <f t="shared" si="54"/>
        <v/>
      </c>
      <c r="U206" s="609" t="str" cm="1">
        <f t="array" ref="U206">IFERROR(IF($D$3="","",_xlfn.LET(_xlpm.Mixed,AND(COUNTIF($G$34:$G$533,"Heating_Hot_Water")&gt;0,(COUNTIF($G$34:$G$533,"Steam_Low_Pressure") + COUNTIF($G$34:$G$533,"Steam_Medium_Pressure") + COUNTIF($G$34:$G$533,"Steam_High_Pressure"))&gt;0),_xlpm.fluid, G206,_xlpm.fuel, K206,_xlpm.load,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6" s="609" t="str">
        <f t="shared" si="65"/>
        <v/>
      </c>
      <c r="W206" s="482"/>
      <c r="X206" s="397" t="str" cm="1">
        <f t="array" ref="X206">IFERROR(IF($D$3="","", _xlfn.XLOOKUP(1,($AR$36:$AR$53=F206)*($AS$36:$AS$53=G206), INDEX($AT$36:$BJ$53,,_xlfn.XMATCH(E206,$AT$35:$BJ$35)))),"")</f>
        <v/>
      </c>
      <c r="Y206" s="480"/>
      <c r="Z206" s="482"/>
      <c r="AA206" s="607" t="str" cm="1">
        <f t="array" ref="AA206">IFERROR(IF($D$3="", "", _xlfn.LET(_xlpm.dia, E206, _xlpm.thk, Z206, _xlpm.temp, I206,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6" s="397" t="str" cm="1">
        <f t="array" ref="AB206">IFERROR(IF($D$3="", "", _xlfn.XLOOKUP(1,($AR$57:$AR$76=Y206)*($AS$57:$AS$76=Z206), INDEX($AT$57:$BJ$76,,_xlfn.XMATCH(E206,$AT$56:$BJ$56)))),"")</f>
        <v/>
      </c>
      <c r="AC206" s="208" t="str">
        <f t="shared" si="55"/>
        <v/>
      </c>
      <c r="AD206" s="397" t="str">
        <f t="shared" si="56"/>
        <v/>
      </c>
      <c r="AE206" s="610" t="str">
        <f t="shared" si="57"/>
        <v/>
      </c>
      <c r="AF206" s="610" t="str">
        <f t="shared" si="58"/>
        <v/>
      </c>
      <c r="AG206" s="610" t="str">
        <f t="shared" si="59"/>
        <v/>
      </c>
      <c r="AH206" s="608" t="str">
        <f t="shared" si="60"/>
        <v/>
      </c>
      <c r="AI206" s="610" t="str">
        <f t="shared" si="61"/>
        <v/>
      </c>
    </row>
    <row r="207" spans="2:35" x14ac:dyDescent="0.25">
      <c r="B207" s="209">
        <v>174</v>
      </c>
      <c r="C207" s="480"/>
      <c r="D207" s="480"/>
      <c r="E207" s="481"/>
      <c r="F207" s="480"/>
      <c r="G207" s="480"/>
      <c r="H207" s="607" t="str">
        <f t="shared" si="46"/>
        <v/>
      </c>
      <c r="I207" s="607" t="str">
        <f t="shared" si="47"/>
        <v/>
      </c>
      <c r="J207" s="607" t="str">
        <f t="shared" si="48"/>
        <v/>
      </c>
      <c r="K207" s="208" t="str">
        <f t="shared" si="49"/>
        <v/>
      </c>
      <c r="L207" s="208" t="str">
        <f t="shared" si="50"/>
        <v/>
      </c>
      <c r="M207" s="208" t="str">
        <f t="shared" si="62"/>
        <v/>
      </c>
      <c r="N207" s="608" t="str">
        <f>IF($D$3="", "", IFERROR(VLOOKUP(L207,'PIPE INCENTIVE'!$B$4:$E$19,2,FALSE),""))</f>
        <v/>
      </c>
      <c r="O207" s="608" t="str">
        <f t="shared" si="63"/>
        <v/>
      </c>
      <c r="P207" s="208" t="str">
        <f t="shared" si="64"/>
        <v/>
      </c>
      <c r="Q207" s="208" t="str">
        <f t="shared" si="51"/>
        <v/>
      </c>
      <c r="R207" s="609" t="str">
        <f t="shared" si="52"/>
        <v/>
      </c>
      <c r="S207" s="609" t="str">
        <f t="shared" si="53"/>
        <v/>
      </c>
      <c r="T207" s="609" t="str">
        <f t="shared" si="54"/>
        <v/>
      </c>
      <c r="U207" s="609" t="str" cm="1">
        <f t="array" ref="U207">IFERROR(IF($D$3="","",_xlfn.LET(_xlpm.Mixed,AND(COUNTIF($G$34:$G$533,"Heating_Hot_Water")&gt;0,(COUNTIF($G$34:$G$533,"Steam_Low_Pressure") + COUNTIF($G$34:$G$533,"Steam_Medium_Pressure") + COUNTIF($G$34:$G$533,"Steam_High_Pressure"))&gt;0),_xlpm.fluid, G207,_xlpm.fuel, K207,_xlpm.load,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7" s="609" t="str">
        <f t="shared" si="65"/>
        <v/>
      </c>
      <c r="W207" s="482"/>
      <c r="X207" s="397" t="str" cm="1">
        <f t="array" ref="X207">IFERROR(IF($D$3="","", _xlfn.XLOOKUP(1,($AR$36:$AR$53=F207)*($AS$36:$AS$53=G207), INDEX($AT$36:$BJ$53,,_xlfn.XMATCH(E207,$AT$35:$BJ$35)))),"")</f>
        <v/>
      </c>
      <c r="Y207" s="480"/>
      <c r="Z207" s="482"/>
      <c r="AA207" s="607" t="str" cm="1">
        <f t="array" ref="AA207">IFERROR(IF($D$3="", "", _xlfn.LET(_xlpm.dia, E207, _xlpm.thk, Z207, _xlpm.temp, I207,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7" s="397" t="str" cm="1">
        <f t="array" ref="AB207">IFERROR(IF($D$3="", "", _xlfn.XLOOKUP(1,($AR$57:$AR$76=Y207)*($AS$57:$AS$76=Z207), INDEX($AT$57:$BJ$76,,_xlfn.XMATCH(E207,$AT$56:$BJ$56)))),"")</f>
        <v/>
      </c>
      <c r="AC207" s="208" t="str">
        <f t="shared" si="55"/>
        <v/>
      </c>
      <c r="AD207" s="397" t="str">
        <f t="shared" si="56"/>
        <v/>
      </c>
      <c r="AE207" s="610" t="str">
        <f t="shared" si="57"/>
        <v/>
      </c>
      <c r="AF207" s="610" t="str">
        <f t="shared" si="58"/>
        <v/>
      </c>
      <c r="AG207" s="610" t="str">
        <f t="shared" si="59"/>
        <v/>
      </c>
      <c r="AH207" s="608" t="str">
        <f t="shared" si="60"/>
        <v/>
      </c>
      <c r="AI207" s="610" t="str">
        <f t="shared" si="61"/>
        <v/>
      </c>
    </row>
    <row r="208" spans="2:35" x14ac:dyDescent="0.25">
      <c r="B208" s="209">
        <v>175</v>
      </c>
      <c r="C208" s="480"/>
      <c r="D208" s="480"/>
      <c r="E208" s="481"/>
      <c r="F208" s="480"/>
      <c r="G208" s="480"/>
      <c r="H208" s="607" t="str">
        <f t="shared" si="46"/>
        <v/>
      </c>
      <c r="I208" s="607" t="str">
        <f t="shared" si="47"/>
        <v/>
      </c>
      <c r="J208" s="607" t="str">
        <f t="shared" si="48"/>
        <v/>
      </c>
      <c r="K208" s="208" t="str">
        <f t="shared" si="49"/>
        <v/>
      </c>
      <c r="L208" s="208" t="str">
        <f t="shared" si="50"/>
        <v/>
      </c>
      <c r="M208" s="208" t="str">
        <f t="shared" si="62"/>
        <v/>
      </c>
      <c r="N208" s="608" t="str">
        <f>IF($D$3="", "", IFERROR(VLOOKUP(L208,'PIPE INCENTIVE'!$B$4:$E$19,2,FALSE),""))</f>
        <v/>
      </c>
      <c r="O208" s="608" t="str">
        <f t="shared" si="63"/>
        <v/>
      </c>
      <c r="P208" s="208" t="str">
        <f t="shared" si="64"/>
        <v/>
      </c>
      <c r="Q208" s="208" t="str">
        <f t="shared" si="51"/>
        <v/>
      </c>
      <c r="R208" s="609" t="str">
        <f t="shared" si="52"/>
        <v/>
      </c>
      <c r="S208" s="609" t="str">
        <f t="shared" si="53"/>
        <v/>
      </c>
      <c r="T208" s="609" t="str">
        <f t="shared" si="54"/>
        <v/>
      </c>
      <c r="U208" s="609" t="str" cm="1">
        <f t="array" ref="U208">IFERROR(IF($D$3="","",_xlfn.LET(_xlpm.Mixed,AND(COUNTIF($G$34:$G$533,"Heating_Hot_Water")&gt;0,(COUNTIF($G$34:$G$533,"Steam_Low_Pressure") + COUNTIF($G$34:$G$533,"Steam_Medium_Pressure") + COUNTIF($G$34:$G$533,"Steam_High_Pressure"))&gt;0),_xlpm.fluid, G208,_xlpm.fuel, K208,_xlpm.load,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8" s="609" t="str">
        <f t="shared" si="65"/>
        <v/>
      </c>
      <c r="W208" s="482"/>
      <c r="X208" s="397" t="str" cm="1">
        <f t="array" ref="X208">IFERROR(IF($D$3="","", _xlfn.XLOOKUP(1,($AR$36:$AR$53=F208)*($AS$36:$AS$53=G208), INDEX($AT$36:$BJ$53,,_xlfn.XMATCH(E208,$AT$35:$BJ$35)))),"")</f>
        <v/>
      </c>
      <c r="Y208" s="480"/>
      <c r="Z208" s="482"/>
      <c r="AA208" s="607" t="str" cm="1">
        <f t="array" ref="AA208">IFERROR(IF($D$3="", "", _xlfn.LET(_xlpm.dia, E208, _xlpm.thk, Z208, _xlpm.temp, I208,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8" s="397" t="str" cm="1">
        <f t="array" ref="AB208">IFERROR(IF($D$3="", "", _xlfn.XLOOKUP(1,($AR$57:$AR$76=Y208)*($AS$57:$AS$76=Z208), INDEX($AT$57:$BJ$76,,_xlfn.XMATCH(E208,$AT$56:$BJ$56)))),"")</f>
        <v/>
      </c>
      <c r="AC208" s="208" t="str">
        <f t="shared" si="55"/>
        <v/>
      </c>
      <c r="AD208" s="397" t="str">
        <f t="shared" si="56"/>
        <v/>
      </c>
      <c r="AE208" s="610" t="str">
        <f t="shared" si="57"/>
        <v/>
      </c>
      <c r="AF208" s="610" t="str">
        <f t="shared" si="58"/>
        <v/>
      </c>
      <c r="AG208" s="610" t="str">
        <f t="shared" si="59"/>
        <v/>
      </c>
      <c r="AH208" s="608" t="str">
        <f t="shared" si="60"/>
        <v/>
      </c>
      <c r="AI208" s="610" t="str">
        <f t="shared" si="61"/>
        <v/>
      </c>
    </row>
    <row r="209" spans="2:35" x14ac:dyDescent="0.25">
      <c r="B209" s="209">
        <v>176</v>
      </c>
      <c r="C209" s="480"/>
      <c r="D209" s="480"/>
      <c r="E209" s="481"/>
      <c r="F209" s="480"/>
      <c r="G209" s="480"/>
      <c r="H209" s="607" t="str">
        <f t="shared" si="46"/>
        <v/>
      </c>
      <c r="I209" s="607" t="str">
        <f t="shared" si="47"/>
        <v/>
      </c>
      <c r="J209" s="607" t="str">
        <f t="shared" si="48"/>
        <v/>
      </c>
      <c r="K209" s="208" t="str">
        <f t="shared" si="49"/>
        <v/>
      </c>
      <c r="L209" s="208" t="str">
        <f t="shared" si="50"/>
        <v/>
      </c>
      <c r="M209" s="208" t="str">
        <f t="shared" si="62"/>
        <v/>
      </c>
      <c r="N209" s="608" t="str">
        <f>IF($D$3="", "", IFERROR(VLOOKUP(L209,'PIPE INCENTIVE'!$B$4:$E$19,2,FALSE),""))</f>
        <v/>
      </c>
      <c r="O209" s="608" t="str">
        <f t="shared" si="63"/>
        <v/>
      </c>
      <c r="P209" s="208" t="str">
        <f t="shared" si="64"/>
        <v/>
      </c>
      <c r="Q209" s="208" t="str">
        <f t="shared" si="51"/>
        <v/>
      </c>
      <c r="R209" s="609" t="str">
        <f t="shared" si="52"/>
        <v/>
      </c>
      <c r="S209" s="609" t="str">
        <f t="shared" si="53"/>
        <v/>
      </c>
      <c r="T209" s="609" t="str">
        <f t="shared" si="54"/>
        <v/>
      </c>
      <c r="U209" s="609" t="str" cm="1">
        <f t="array" ref="U209">IFERROR(IF($D$3="","",_xlfn.LET(_xlpm.Mixed,AND(COUNTIF($G$34:$G$533,"Heating_Hot_Water")&gt;0,(COUNTIF($G$34:$G$533,"Steam_Low_Pressure") + COUNTIF($G$34:$G$533,"Steam_Medium_Pressure") + COUNTIF($G$34:$G$533,"Steam_High_Pressure"))&gt;0),_xlpm.fluid, G209,_xlpm.fuel, K209,_xlpm.load,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09" s="609" t="str">
        <f t="shared" si="65"/>
        <v/>
      </c>
      <c r="W209" s="482"/>
      <c r="X209" s="397" t="str" cm="1">
        <f t="array" ref="X209">IFERROR(IF($D$3="","", _xlfn.XLOOKUP(1,($AR$36:$AR$53=F209)*($AS$36:$AS$53=G209), INDEX($AT$36:$BJ$53,,_xlfn.XMATCH(E209,$AT$35:$BJ$35)))),"")</f>
        <v/>
      </c>
      <c r="Y209" s="480"/>
      <c r="Z209" s="482"/>
      <c r="AA209" s="607" t="str" cm="1">
        <f t="array" ref="AA209">IFERROR(IF($D$3="", "", _xlfn.LET(_xlpm.dia, E209, _xlpm.thk, Z209, _xlpm.temp, I209,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09" s="397" t="str" cm="1">
        <f t="array" ref="AB209">IFERROR(IF($D$3="", "", _xlfn.XLOOKUP(1,($AR$57:$AR$76=Y209)*($AS$57:$AS$76=Z209), INDEX($AT$57:$BJ$76,,_xlfn.XMATCH(E209,$AT$56:$BJ$56)))),"")</f>
        <v/>
      </c>
      <c r="AC209" s="208" t="str">
        <f t="shared" si="55"/>
        <v/>
      </c>
      <c r="AD209" s="397" t="str">
        <f t="shared" si="56"/>
        <v/>
      </c>
      <c r="AE209" s="610" t="str">
        <f t="shared" si="57"/>
        <v/>
      </c>
      <c r="AF209" s="610" t="str">
        <f t="shared" si="58"/>
        <v/>
      </c>
      <c r="AG209" s="610" t="str">
        <f t="shared" si="59"/>
        <v/>
      </c>
      <c r="AH209" s="608" t="str">
        <f t="shared" si="60"/>
        <v/>
      </c>
      <c r="AI209" s="610" t="str">
        <f t="shared" si="61"/>
        <v/>
      </c>
    </row>
    <row r="210" spans="2:35" x14ac:dyDescent="0.25">
      <c r="B210" s="209">
        <v>177</v>
      </c>
      <c r="C210" s="480"/>
      <c r="D210" s="480"/>
      <c r="E210" s="481"/>
      <c r="F210" s="480"/>
      <c r="G210" s="480"/>
      <c r="H210" s="607" t="str">
        <f t="shared" si="46"/>
        <v/>
      </c>
      <c r="I210" s="607" t="str">
        <f t="shared" si="47"/>
        <v/>
      </c>
      <c r="J210" s="607" t="str">
        <f t="shared" si="48"/>
        <v/>
      </c>
      <c r="K210" s="208" t="str">
        <f t="shared" si="49"/>
        <v/>
      </c>
      <c r="L210" s="208" t="str">
        <f t="shared" si="50"/>
        <v/>
      </c>
      <c r="M210" s="208" t="str">
        <f t="shared" si="62"/>
        <v/>
      </c>
      <c r="N210" s="608" t="str">
        <f>IF($D$3="", "", IFERROR(VLOOKUP(L210,'PIPE INCENTIVE'!$B$4:$E$19,2,FALSE),""))</f>
        <v/>
      </c>
      <c r="O210" s="608" t="str">
        <f t="shared" si="63"/>
        <v/>
      </c>
      <c r="P210" s="208" t="str">
        <f t="shared" si="64"/>
        <v/>
      </c>
      <c r="Q210" s="208" t="str">
        <f t="shared" si="51"/>
        <v/>
      </c>
      <c r="R210" s="609" t="str">
        <f t="shared" si="52"/>
        <v/>
      </c>
      <c r="S210" s="609" t="str">
        <f t="shared" si="53"/>
        <v/>
      </c>
      <c r="T210" s="609" t="str">
        <f t="shared" si="54"/>
        <v/>
      </c>
      <c r="U210" s="609" t="str" cm="1">
        <f t="array" ref="U210">IFERROR(IF($D$3="","",_xlfn.LET(_xlpm.Mixed,AND(COUNTIF($G$34:$G$533,"Heating_Hot_Water")&gt;0,(COUNTIF($G$34:$G$533,"Steam_Low_Pressure") + COUNTIF($G$34:$G$533,"Steam_Medium_Pressure") + COUNTIF($G$34:$G$533,"Steam_High_Pressure"))&gt;0),_xlpm.fluid, G210,_xlpm.fuel, K210,_xlpm.load,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0" s="609" t="str">
        <f t="shared" si="65"/>
        <v/>
      </c>
      <c r="W210" s="482"/>
      <c r="X210" s="397" t="str" cm="1">
        <f t="array" ref="X210">IFERROR(IF($D$3="","", _xlfn.XLOOKUP(1,($AR$36:$AR$53=F210)*($AS$36:$AS$53=G210), INDEX($AT$36:$BJ$53,,_xlfn.XMATCH(E210,$AT$35:$BJ$35)))),"")</f>
        <v/>
      </c>
      <c r="Y210" s="480"/>
      <c r="Z210" s="482"/>
      <c r="AA210" s="607" t="str" cm="1">
        <f t="array" ref="AA210">IFERROR(IF($D$3="", "", _xlfn.LET(_xlpm.dia, E210, _xlpm.thk, Z210, _xlpm.temp, I210,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0" s="397" t="str" cm="1">
        <f t="array" ref="AB210">IFERROR(IF($D$3="", "", _xlfn.XLOOKUP(1,($AR$57:$AR$76=Y210)*($AS$57:$AS$76=Z210), INDEX($AT$57:$BJ$76,,_xlfn.XMATCH(E210,$AT$56:$BJ$56)))),"")</f>
        <v/>
      </c>
      <c r="AC210" s="208" t="str">
        <f t="shared" si="55"/>
        <v/>
      </c>
      <c r="AD210" s="397" t="str">
        <f t="shared" si="56"/>
        <v/>
      </c>
      <c r="AE210" s="610" t="str">
        <f t="shared" si="57"/>
        <v/>
      </c>
      <c r="AF210" s="610" t="str">
        <f t="shared" si="58"/>
        <v/>
      </c>
      <c r="AG210" s="610" t="str">
        <f t="shared" si="59"/>
        <v/>
      </c>
      <c r="AH210" s="608" t="str">
        <f t="shared" si="60"/>
        <v/>
      </c>
      <c r="AI210" s="610" t="str">
        <f t="shared" si="61"/>
        <v/>
      </c>
    </row>
    <row r="211" spans="2:35" x14ac:dyDescent="0.25">
      <c r="B211" s="209">
        <v>178</v>
      </c>
      <c r="C211" s="480"/>
      <c r="D211" s="480"/>
      <c r="E211" s="481"/>
      <c r="F211" s="480"/>
      <c r="G211" s="480"/>
      <c r="H211" s="607" t="str">
        <f t="shared" si="46"/>
        <v/>
      </c>
      <c r="I211" s="607" t="str">
        <f t="shared" si="47"/>
        <v/>
      </c>
      <c r="J211" s="607" t="str">
        <f t="shared" si="48"/>
        <v/>
      </c>
      <c r="K211" s="208" t="str">
        <f t="shared" si="49"/>
        <v/>
      </c>
      <c r="L211" s="208" t="str">
        <f t="shared" si="50"/>
        <v/>
      </c>
      <c r="M211" s="208" t="str">
        <f t="shared" si="62"/>
        <v/>
      </c>
      <c r="N211" s="608" t="str">
        <f>IF($D$3="", "", IFERROR(VLOOKUP(L211,'PIPE INCENTIVE'!$B$4:$E$19,2,FALSE),""))</f>
        <v/>
      </c>
      <c r="O211" s="608" t="str">
        <f t="shared" si="63"/>
        <v/>
      </c>
      <c r="P211" s="208" t="str">
        <f t="shared" si="64"/>
        <v/>
      </c>
      <c r="Q211" s="208" t="str">
        <f t="shared" si="51"/>
        <v/>
      </c>
      <c r="R211" s="609" t="str">
        <f t="shared" si="52"/>
        <v/>
      </c>
      <c r="S211" s="609" t="str">
        <f t="shared" si="53"/>
        <v/>
      </c>
      <c r="T211" s="609" t="str">
        <f t="shared" si="54"/>
        <v/>
      </c>
      <c r="U211" s="609" t="str" cm="1">
        <f t="array" ref="U211">IFERROR(IF($D$3="","",_xlfn.LET(_xlpm.Mixed,AND(COUNTIF($G$34:$G$533,"Heating_Hot_Water")&gt;0,(COUNTIF($G$34:$G$533,"Steam_Low_Pressure") + COUNTIF($G$34:$G$533,"Steam_Medium_Pressure") + COUNTIF($G$34:$G$533,"Steam_High_Pressure"))&gt;0),_xlpm.fluid, G211,_xlpm.fuel, K211,_xlpm.load,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1" s="609" t="str">
        <f t="shared" si="65"/>
        <v/>
      </c>
      <c r="W211" s="482"/>
      <c r="X211" s="397" t="str" cm="1">
        <f t="array" ref="X211">IFERROR(IF($D$3="","", _xlfn.XLOOKUP(1,($AR$36:$AR$53=F211)*($AS$36:$AS$53=G211), INDEX($AT$36:$BJ$53,,_xlfn.XMATCH(E211,$AT$35:$BJ$35)))),"")</f>
        <v/>
      </c>
      <c r="Y211" s="480"/>
      <c r="Z211" s="482"/>
      <c r="AA211" s="607" t="str" cm="1">
        <f t="array" ref="AA211">IFERROR(IF($D$3="", "", _xlfn.LET(_xlpm.dia, E211, _xlpm.thk, Z211, _xlpm.temp, I211,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1" s="397" t="str" cm="1">
        <f t="array" ref="AB211">IFERROR(IF($D$3="", "", _xlfn.XLOOKUP(1,($AR$57:$AR$76=Y211)*($AS$57:$AS$76=Z211), INDEX($AT$57:$BJ$76,,_xlfn.XMATCH(E211,$AT$56:$BJ$56)))),"")</f>
        <v/>
      </c>
      <c r="AC211" s="208" t="str">
        <f t="shared" si="55"/>
        <v/>
      </c>
      <c r="AD211" s="397" t="str">
        <f t="shared" si="56"/>
        <v/>
      </c>
      <c r="AE211" s="610" t="str">
        <f t="shared" si="57"/>
        <v/>
      </c>
      <c r="AF211" s="610" t="str">
        <f t="shared" si="58"/>
        <v/>
      </c>
      <c r="AG211" s="610" t="str">
        <f t="shared" si="59"/>
        <v/>
      </c>
      <c r="AH211" s="608" t="str">
        <f t="shared" si="60"/>
        <v/>
      </c>
      <c r="AI211" s="610" t="str">
        <f t="shared" si="61"/>
        <v/>
      </c>
    </row>
    <row r="212" spans="2:35" x14ac:dyDescent="0.25">
      <c r="B212" s="209">
        <v>179</v>
      </c>
      <c r="C212" s="480"/>
      <c r="D212" s="480"/>
      <c r="E212" s="481"/>
      <c r="F212" s="480"/>
      <c r="G212" s="480"/>
      <c r="H212" s="607" t="str">
        <f t="shared" si="46"/>
        <v/>
      </c>
      <c r="I212" s="607" t="str">
        <f t="shared" si="47"/>
        <v/>
      </c>
      <c r="J212" s="607" t="str">
        <f t="shared" si="48"/>
        <v/>
      </c>
      <c r="K212" s="208" t="str">
        <f t="shared" si="49"/>
        <v/>
      </c>
      <c r="L212" s="208" t="str">
        <f t="shared" si="50"/>
        <v/>
      </c>
      <c r="M212" s="208" t="str">
        <f t="shared" si="62"/>
        <v/>
      </c>
      <c r="N212" s="608" t="str">
        <f>IF($D$3="", "", IFERROR(VLOOKUP(L212,'PIPE INCENTIVE'!$B$4:$E$19,2,FALSE),""))</f>
        <v/>
      </c>
      <c r="O212" s="608" t="str">
        <f t="shared" si="63"/>
        <v/>
      </c>
      <c r="P212" s="208" t="str">
        <f t="shared" si="64"/>
        <v/>
      </c>
      <c r="Q212" s="208" t="str">
        <f t="shared" si="51"/>
        <v/>
      </c>
      <c r="R212" s="609" t="str">
        <f t="shared" si="52"/>
        <v/>
      </c>
      <c r="S212" s="609" t="str">
        <f t="shared" si="53"/>
        <v/>
      </c>
      <c r="T212" s="609" t="str">
        <f t="shared" si="54"/>
        <v/>
      </c>
      <c r="U212" s="609" t="str" cm="1">
        <f t="array" ref="U212">IFERROR(IF($D$3="","",_xlfn.LET(_xlpm.Mixed,AND(COUNTIF($G$34:$G$533,"Heating_Hot_Water")&gt;0,(COUNTIF($G$34:$G$533,"Steam_Low_Pressure") + COUNTIF($G$34:$G$533,"Steam_Medium_Pressure") + COUNTIF($G$34:$G$533,"Steam_High_Pressure"))&gt;0),_xlpm.fluid, G212,_xlpm.fuel, K212,_xlpm.load,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2" s="609" t="str">
        <f t="shared" si="65"/>
        <v/>
      </c>
      <c r="W212" s="482"/>
      <c r="X212" s="397" t="str" cm="1">
        <f t="array" ref="X212">IFERROR(IF($D$3="","", _xlfn.XLOOKUP(1,($AR$36:$AR$53=F212)*($AS$36:$AS$53=G212), INDEX($AT$36:$BJ$53,,_xlfn.XMATCH(E212,$AT$35:$BJ$35)))),"")</f>
        <v/>
      </c>
      <c r="Y212" s="480"/>
      <c r="Z212" s="482"/>
      <c r="AA212" s="607" t="str" cm="1">
        <f t="array" ref="AA212">IFERROR(IF($D$3="", "", _xlfn.LET(_xlpm.dia, E212, _xlpm.thk, Z212, _xlpm.temp, I212,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2" s="397" t="str" cm="1">
        <f t="array" ref="AB212">IFERROR(IF($D$3="", "", _xlfn.XLOOKUP(1,($AR$57:$AR$76=Y212)*($AS$57:$AS$76=Z212), INDEX($AT$57:$BJ$76,,_xlfn.XMATCH(E212,$AT$56:$BJ$56)))),"")</f>
        <v/>
      </c>
      <c r="AC212" s="208" t="str">
        <f t="shared" si="55"/>
        <v/>
      </c>
      <c r="AD212" s="397" t="str">
        <f t="shared" si="56"/>
        <v/>
      </c>
      <c r="AE212" s="610" t="str">
        <f t="shared" si="57"/>
        <v/>
      </c>
      <c r="AF212" s="610" t="str">
        <f t="shared" si="58"/>
        <v/>
      </c>
      <c r="AG212" s="610" t="str">
        <f t="shared" si="59"/>
        <v/>
      </c>
      <c r="AH212" s="608" t="str">
        <f t="shared" si="60"/>
        <v/>
      </c>
      <c r="AI212" s="610" t="str">
        <f t="shared" si="61"/>
        <v/>
      </c>
    </row>
    <row r="213" spans="2:35" x14ac:dyDescent="0.25">
      <c r="B213" s="209">
        <v>180</v>
      </c>
      <c r="C213" s="480"/>
      <c r="D213" s="480"/>
      <c r="E213" s="481"/>
      <c r="F213" s="480"/>
      <c r="G213" s="480"/>
      <c r="H213" s="607" t="str">
        <f t="shared" si="46"/>
        <v/>
      </c>
      <c r="I213" s="607" t="str">
        <f t="shared" si="47"/>
        <v/>
      </c>
      <c r="J213" s="607" t="str">
        <f t="shared" si="48"/>
        <v/>
      </c>
      <c r="K213" s="208" t="str">
        <f t="shared" si="49"/>
        <v/>
      </c>
      <c r="L213" s="208" t="str">
        <f t="shared" si="50"/>
        <v/>
      </c>
      <c r="M213" s="208" t="str">
        <f t="shared" si="62"/>
        <v/>
      </c>
      <c r="N213" s="608" t="str">
        <f>IF($D$3="", "", IFERROR(VLOOKUP(L213,'PIPE INCENTIVE'!$B$4:$E$19,2,FALSE),""))</f>
        <v/>
      </c>
      <c r="O213" s="608" t="str">
        <f t="shared" si="63"/>
        <v/>
      </c>
      <c r="P213" s="208" t="str">
        <f t="shared" si="64"/>
        <v/>
      </c>
      <c r="Q213" s="208" t="str">
        <f t="shared" si="51"/>
        <v/>
      </c>
      <c r="R213" s="609" t="str">
        <f t="shared" si="52"/>
        <v/>
      </c>
      <c r="S213" s="609" t="str">
        <f t="shared" si="53"/>
        <v/>
      </c>
      <c r="T213" s="609" t="str">
        <f t="shared" si="54"/>
        <v/>
      </c>
      <c r="U213" s="609" t="str" cm="1">
        <f t="array" ref="U213">IFERROR(IF($D$3="","",_xlfn.LET(_xlpm.Mixed,AND(COUNTIF($G$34:$G$533,"Heating_Hot_Water")&gt;0,(COUNTIF($G$34:$G$533,"Steam_Low_Pressure") + COUNTIF($G$34:$G$533,"Steam_Medium_Pressure") + COUNTIF($G$34:$G$533,"Steam_High_Pressure"))&gt;0),_xlpm.fluid, G213,_xlpm.fuel, K213,_xlpm.load,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3" s="609" t="str">
        <f t="shared" si="65"/>
        <v/>
      </c>
      <c r="W213" s="482"/>
      <c r="X213" s="397" t="str" cm="1">
        <f t="array" ref="X213">IFERROR(IF($D$3="","", _xlfn.XLOOKUP(1,($AR$36:$AR$53=F213)*($AS$36:$AS$53=G213), INDEX($AT$36:$BJ$53,,_xlfn.XMATCH(E213,$AT$35:$BJ$35)))),"")</f>
        <v/>
      </c>
      <c r="Y213" s="480"/>
      <c r="Z213" s="482"/>
      <c r="AA213" s="607" t="str" cm="1">
        <f t="array" ref="AA213">IFERROR(IF($D$3="", "", _xlfn.LET(_xlpm.dia, E213, _xlpm.thk, Z213, _xlpm.temp, I213,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3" s="397" t="str" cm="1">
        <f t="array" ref="AB213">IFERROR(IF($D$3="", "", _xlfn.XLOOKUP(1,($AR$57:$AR$76=Y213)*($AS$57:$AS$76=Z213), INDEX($AT$57:$BJ$76,,_xlfn.XMATCH(E213,$AT$56:$BJ$56)))),"")</f>
        <v/>
      </c>
      <c r="AC213" s="208" t="str">
        <f t="shared" si="55"/>
        <v/>
      </c>
      <c r="AD213" s="397" t="str">
        <f t="shared" si="56"/>
        <v/>
      </c>
      <c r="AE213" s="610" t="str">
        <f t="shared" si="57"/>
        <v/>
      </c>
      <c r="AF213" s="610" t="str">
        <f t="shared" si="58"/>
        <v/>
      </c>
      <c r="AG213" s="610" t="str">
        <f t="shared" si="59"/>
        <v/>
      </c>
      <c r="AH213" s="608" t="str">
        <f t="shared" si="60"/>
        <v/>
      </c>
      <c r="AI213" s="610" t="str">
        <f t="shared" si="61"/>
        <v/>
      </c>
    </row>
    <row r="214" spans="2:35" x14ac:dyDescent="0.25">
      <c r="B214" s="209">
        <v>181</v>
      </c>
      <c r="C214" s="480"/>
      <c r="D214" s="480"/>
      <c r="E214" s="481"/>
      <c r="F214" s="480"/>
      <c r="G214" s="480"/>
      <c r="H214" s="607" t="str">
        <f t="shared" si="46"/>
        <v/>
      </c>
      <c r="I214" s="607" t="str">
        <f t="shared" si="47"/>
        <v/>
      </c>
      <c r="J214" s="607" t="str">
        <f t="shared" si="48"/>
        <v/>
      </c>
      <c r="K214" s="208" t="str">
        <f t="shared" si="49"/>
        <v/>
      </c>
      <c r="L214" s="208" t="str">
        <f t="shared" si="50"/>
        <v/>
      </c>
      <c r="M214" s="208" t="str">
        <f t="shared" si="62"/>
        <v/>
      </c>
      <c r="N214" s="608" t="str">
        <f>IF($D$3="", "", IFERROR(VLOOKUP(L214,'PIPE INCENTIVE'!$B$4:$E$19,2,FALSE),""))</f>
        <v/>
      </c>
      <c r="O214" s="608" t="str">
        <f t="shared" si="63"/>
        <v/>
      </c>
      <c r="P214" s="208" t="str">
        <f t="shared" si="64"/>
        <v/>
      </c>
      <c r="Q214" s="208" t="str">
        <f t="shared" si="51"/>
        <v/>
      </c>
      <c r="R214" s="609" t="str">
        <f t="shared" si="52"/>
        <v/>
      </c>
      <c r="S214" s="609" t="str">
        <f t="shared" si="53"/>
        <v/>
      </c>
      <c r="T214" s="609" t="str">
        <f t="shared" si="54"/>
        <v/>
      </c>
      <c r="U214" s="609" t="str" cm="1">
        <f t="array" ref="U214">IFERROR(IF($D$3="","",_xlfn.LET(_xlpm.Mixed,AND(COUNTIF($G$34:$G$533,"Heating_Hot_Water")&gt;0,(COUNTIF($G$34:$G$533,"Steam_Low_Pressure") + COUNTIF($G$34:$G$533,"Steam_Medium_Pressure") + COUNTIF($G$34:$G$533,"Steam_High_Pressure"))&gt;0),_xlpm.fluid, G214,_xlpm.fuel, K214,_xlpm.load,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4" s="609" t="str">
        <f t="shared" si="65"/>
        <v/>
      </c>
      <c r="W214" s="482"/>
      <c r="X214" s="397" t="str" cm="1">
        <f t="array" ref="X214">IFERROR(IF($D$3="","", _xlfn.XLOOKUP(1,($AR$36:$AR$53=F214)*($AS$36:$AS$53=G214), INDEX($AT$36:$BJ$53,,_xlfn.XMATCH(E214,$AT$35:$BJ$35)))),"")</f>
        <v/>
      </c>
      <c r="Y214" s="480"/>
      <c r="Z214" s="482"/>
      <c r="AA214" s="607" t="str" cm="1">
        <f t="array" ref="AA214">IFERROR(IF($D$3="", "", _xlfn.LET(_xlpm.dia, E214, _xlpm.thk, Z214, _xlpm.temp, I214,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4" s="397" t="str" cm="1">
        <f t="array" ref="AB214">IFERROR(IF($D$3="", "", _xlfn.XLOOKUP(1,($AR$57:$AR$76=Y214)*($AS$57:$AS$76=Z214), INDEX($AT$57:$BJ$76,,_xlfn.XMATCH(E214,$AT$56:$BJ$56)))),"")</f>
        <v/>
      </c>
      <c r="AC214" s="208" t="str">
        <f t="shared" si="55"/>
        <v/>
      </c>
      <c r="AD214" s="397" t="str">
        <f t="shared" si="56"/>
        <v/>
      </c>
      <c r="AE214" s="610" t="str">
        <f t="shared" si="57"/>
        <v/>
      </c>
      <c r="AF214" s="610" t="str">
        <f t="shared" si="58"/>
        <v/>
      </c>
      <c r="AG214" s="610" t="str">
        <f t="shared" si="59"/>
        <v/>
      </c>
      <c r="AH214" s="608" t="str">
        <f t="shared" si="60"/>
        <v/>
      </c>
      <c r="AI214" s="610" t="str">
        <f t="shared" si="61"/>
        <v/>
      </c>
    </row>
    <row r="215" spans="2:35" x14ac:dyDescent="0.25">
      <c r="B215" s="209">
        <v>182</v>
      </c>
      <c r="C215" s="480"/>
      <c r="D215" s="480"/>
      <c r="E215" s="481"/>
      <c r="F215" s="480"/>
      <c r="G215" s="480"/>
      <c r="H215" s="607" t="str">
        <f t="shared" si="46"/>
        <v/>
      </c>
      <c r="I215" s="607" t="str">
        <f t="shared" si="47"/>
        <v/>
      </c>
      <c r="J215" s="607" t="str">
        <f t="shared" si="48"/>
        <v/>
      </c>
      <c r="K215" s="208" t="str">
        <f t="shared" si="49"/>
        <v/>
      </c>
      <c r="L215" s="208" t="str">
        <f t="shared" si="50"/>
        <v/>
      </c>
      <c r="M215" s="208" t="str">
        <f t="shared" si="62"/>
        <v/>
      </c>
      <c r="N215" s="608" t="str">
        <f>IF($D$3="", "", IFERROR(VLOOKUP(L215,'PIPE INCENTIVE'!$B$4:$E$19,2,FALSE),""))</f>
        <v/>
      </c>
      <c r="O215" s="608" t="str">
        <f t="shared" si="63"/>
        <v/>
      </c>
      <c r="P215" s="208" t="str">
        <f t="shared" si="64"/>
        <v/>
      </c>
      <c r="Q215" s="208" t="str">
        <f t="shared" si="51"/>
        <v/>
      </c>
      <c r="R215" s="609" t="str">
        <f t="shared" si="52"/>
        <v/>
      </c>
      <c r="S215" s="609" t="str">
        <f t="shared" si="53"/>
        <v/>
      </c>
      <c r="T215" s="609" t="str">
        <f t="shared" si="54"/>
        <v/>
      </c>
      <c r="U215" s="609" t="str" cm="1">
        <f t="array" ref="U215">IFERROR(IF($D$3="","",_xlfn.LET(_xlpm.Mixed,AND(COUNTIF($G$34:$G$533,"Heating_Hot_Water")&gt;0,(COUNTIF($G$34:$G$533,"Steam_Low_Pressure") + COUNTIF($G$34:$G$533,"Steam_Medium_Pressure") + COUNTIF($G$34:$G$533,"Steam_High_Pressure"))&gt;0),_xlpm.fluid, G215,_xlpm.fuel, K215,_xlpm.load,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5" s="609" t="str">
        <f t="shared" si="65"/>
        <v/>
      </c>
      <c r="W215" s="482"/>
      <c r="X215" s="397" t="str" cm="1">
        <f t="array" ref="X215">IFERROR(IF($D$3="","", _xlfn.XLOOKUP(1,($AR$36:$AR$53=F215)*($AS$36:$AS$53=G215), INDEX($AT$36:$BJ$53,,_xlfn.XMATCH(E215,$AT$35:$BJ$35)))),"")</f>
        <v/>
      </c>
      <c r="Y215" s="480"/>
      <c r="Z215" s="482"/>
      <c r="AA215" s="607" t="str" cm="1">
        <f t="array" ref="AA215">IFERROR(IF($D$3="", "", _xlfn.LET(_xlpm.dia, E215, _xlpm.thk, Z215, _xlpm.temp, I215,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5" s="397" t="str" cm="1">
        <f t="array" ref="AB215">IFERROR(IF($D$3="", "", _xlfn.XLOOKUP(1,($AR$57:$AR$76=Y215)*($AS$57:$AS$76=Z215), INDEX($AT$57:$BJ$76,,_xlfn.XMATCH(E215,$AT$56:$BJ$56)))),"")</f>
        <v/>
      </c>
      <c r="AC215" s="208" t="str">
        <f t="shared" si="55"/>
        <v/>
      </c>
      <c r="AD215" s="397" t="str">
        <f t="shared" si="56"/>
        <v/>
      </c>
      <c r="AE215" s="610" t="str">
        <f t="shared" si="57"/>
        <v/>
      </c>
      <c r="AF215" s="610" t="str">
        <f t="shared" si="58"/>
        <v/>
      </c>
      <c r="AG215" s="610" t="str">
        <f t="shared" si="59"/>
        <v/>
      </c>
      <c r="AH215" s="608" t="str">
        <f t="shared" si="60"/>
        <v/>
      </c>
      <c r="AI215" s="610" t="str">
        <f t="shared" si="61"/>
        <v/>
      </c>
    </row>
    <row r="216" spans="2:35" x14ac:dyDescent="0.25">
      <c r="B216" s="209">
        <v>183</v>
      </c>
      <c r="C216" s="480"/>
      <c r="D216" s="480"/>
      <c r="E216" s="481"/>
      <c r="F216" s="480"/>
      <c r="G216" s="480"/>
      <c r="H216" s="607" t="str">
        <f t="shared" si="46"/>
        <v/>
      </c>
      <c r="I216" s="607" t="str">
        <f t="shared" si="47"/>
        <v/>
      </c>
      <c r="J216" s="607" t="str">
        <f t="shared" si="48"/>
        <v/>
      </c>
      <c r="K216" s="208" t="str">
        <f t="shared" si="49"/>
        <v/>
      </c>
      <c r="L216" s="208" t="str">
        <f t="shared" si="50"/>
        <v/>
      </c>
      <c r="M216" s="208" t="str">
        <f t="shared" si="62"/>
        <v/>
      </c>
      <c r="N216" s="608" t="str">
        <f>IF($D$3="", "", IFERROR(VLOOKUP(L216,'PIPE INCENTIVE'!$B$4:$E$19,2,FALSE),""))</f>
        <v/>
      </c>
      <c r="O216" s="608" t="str">
        <f t="shared" si="63"/>
        <v/>
      </c>
      <c r="P216" s="208" t="str">
        <f t="shared" si="64"/>
        <v/>
      </c>
      <c r="Q216" s="208" t="str">
        <f t="shared" si="51"/>
        <v/>
      </c>
      <c r="R216" s="609" t="str">
        <f t="shared" si="52"/>
        <v/>
      </c>
      <c r="S216" s="609" t="str">
        <f t="shared" si="53"/>
        <v/>
      </c>
      <c r="T216" s="609" t="str">
        <f t="shared" si="54"/>
        <v/>
      </c>
      <c r="U216" s="609" t="str" cm="1">
        <f t="array" ref="U216">IFERROR(IF($D$3="","",_xlfn.LET(_xlpm.Mixed,AND(COUNTIF($G$34:$G$533,"Heating_Hot_Water")&gt;0,(COUNTIF($G$34:$G$533,"Steam_Low_Pressure") + COUNTIF($G$34:$G$533,"Steam_Medium_Pressure") + COUNTIF($G$34:$G$533,"Steam_High_Pressure"))&gt;0),_xlpm.fluid, G216,_xlpm.fuel, K216,_xlpm.load,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6" s="609" t="str">
        <f t="shared" si="65"/>
        <v/>
      </c>
      <c r="W216" s="482"/>
      <c r="X216" s="397" t="str" cm="1">
        <f t="array" ref="X216">IFERROR(IF($D$3="","", _xlfn.XLOOKUP(1,($AR$36:$AR$53=F216)*($AS$36:$AS$53=G216), INDEX($AT$36:$BJ$53,,_xlfn.XMATCH(E216,$AT$35:$BJ$35)))),"")</f>
        <v/>
      </c>
      <c r="Y216" s="480"/>
      <c r="Z216" s="482"/>
      <c r="AA216" s="607" t="str" cm="1">
        <f t="array" ref="AA216">IFERROR(IF($D$3="", "", _xlfn.LET(_xlpm.dia, E216, _xlpm.thk, Z216, _xlpm.temp, I216,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6" s="397" t="str" cm="1">
        <f t="array" ref="AB216">IFERROR(IF($D$3="", "", _xlfn.XLOOKUP(1,($AR$57:$AR$76=Y216)*($AS$57:$AS$76=Z216), INDEX($AT$57:$BJ$76,,_xlfn.XMATCH(E216,$AT$56:$BJ$56)))),"")</f>
        <v/>
      </c>
      <c r="AC216" s="208" t="str">
        <f t="shared" si="55"/>
        <v/>
      </c>
      <c r="AD216" s="397" t="str">
        <f t="shared" si="56"/>
        <v/>
      </c>
      <c r="AE216" s="610" t="str">
        <f t="shared" si="57"/>
        <v/>
      </c>
      <c r="AF216" s="610" t="str">
        <f t="shared" si="58"/>
        <v/>
      </c>
      <c r="AG216" s="610" t="str">
        <f t="shared" si="59"/>
        <v/>
      </c>
      <c r="AH216" s="608" t="str">
        <f t="shared" si="60"/>
        <v/>
      </c>
      <c r="AI216" s="610" t="str">
        <f t="shared" si="61"/>
        <v/>
      </c>
    </row>
    <row r="217" spans="2:35" x14ac:dyDescent="0.25">
      <c r="B217" s="209">
        <v>184</v>
      </c>
      <c r="C217" s="480"/>
      <c r="D217" s="480"/>
      <c r="E217" s="481"/>
      <c r="F217" s="480"/>
      <c r="G217" s="480"/>
      <c r="H217" s="607" t="str">
        <f t="shared" si="46"/>
        <v/>
      </c>
      <c r="I217" s="607" t="str">
        <f t="shared" si="47"/>
        <v/>
      </c>
      <c r="J217" s="607" t="str">
        <f t="shared" si="48"/>
        <v/>
      </c>
      <c r="K217" s="208" t="str">
        <f t="shared" si="49"/>
        <v/>
      </c>
      <c r="L217" s="208" t="str">
        <f t="shared" si="50"/>
        <v/>
      </c>
      <c r="M217" s="208" t="str">
        <f t="shared" si="62"/>
        <v/>
      </c>
      <c r="N217" s="608" t="str">
        <f>IF($D$3="", "", IFERROR(VLOOKUP(L217,'PIPE INCENTIVE'!$B$4:$E$19,2,FALSE),""))</f>
        <v/>
      </c>
      <c r="O217" s="608" t="str">
        <f t="shared" si="63"/>
        <v/>
      </c>
      <c r="P217" s="208" t="str">
        <f t="shared" si="64"/>
        <v/>
      </c>
      <c r="Q217" s="208" t="str">
        <f t="shared" si="51"/>
        <v/>
      </c>
      <c r="R217" s="609" t="str">
        <f t="shared" si="52"/>
        <v/>
      </c>
      <c r="S217" s="609" t="str">
        <f t="shared" si="53"/>
        <v/>
      </c>
      <c r="T217" s="609" t="str">
        <f t="shared" si="54"/>
        <v/>
      </c>
      <c r="U217" s="609" t="str" cm="1">
        <f t="array" ref="U217">IFERROR(IF($D$3="","",_xlfn.LET(_xlpm.Mixed,AND(COUNTIF($G$34:$G$533,"Heating_Hot_Water")&gt;0,(COUNTIF($G$34:$G$533,"Steam_Low_Pressure") + COUNTIF($G$34:$G$533,"Steam_Medium_Pressure") + COUNTIF($G$34:$G$533,"Steam_High_Pressure"))&gt;0),_xlpm.fluid, G217,_xlpm.fuel, K217,_xlpm.load,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7" s="609" t="str">
        <f t="shared" si="65"/>
        <v/>
      </c>
      <c r="W217" s="482"/>
      <c r="X217" s="397" t="str" cm="1">
        <f t="array" ref="X217">IFERROR(IF($D$3="","", _xlfn.XLOOKUP(1,($AR$36:$AR$53=F217)*($AS$36:$AS$53=G217), INDEX($AT$36:$BJ$53,,_xlfn.XMATCH(E217,$AT$35:$BJ$35)))),"")</f>
        <v/>
      </c>
      <c r="Y217" s="480"/>
      <c r="Z217" s="482"/>
      <c r="AA217" s="607" t="str" cm="1">
        <f t="array" ref="AA217">IFERROR(IF($D$3="", "", _xlfn.LET(_xlpm.dia, E217, _xlpm.thk, Z217, _xlpm.temp, I217,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7" s="397" t="str" cm="1">
        <f t="array" ref="AB217">IFERROR(IF($D$3="", "", _xlfn.XLOOKUP(1,($AR$57:$AR$76=Y217)*($AS$57:$AS$76=Z217), INDEX($AT$57:$BJ$76,,_xlfn.XMATCH(E217,$AT$56:$BJ$56)))),"")</f>
        <v/>
      </c>
      <c r="AC217" s="208" t="str">
        <f t="shared" si="55"/>
        <v/>
      </c>
      <c r="AD217" s="397" t="str">
        <f t="shared" si="56"/>
        <v/>
      </c>
      <c r="AE217" s="610" t="str">
        <f t="shared" si="57"/>
        <v/>
      </c>
      <c r="AF217" s="610" t="str">
        <f t="shared" si="58"/>
        <v/>
      </c>
      <c r="AG217" s="610" t="str">
        <f t="shared" si="59"/>
        <v/>
      </c>
      <c r="AH217" s="608" t="str">
        <f t="shared" si="60"/>
        <v/>
      </c>
      <c r="AI217" s="610" t="str">
        <f t="shared" si="61"/>
        <v/>
      </c>
    </row>
    <row r="218" spans="2:35" x14ac:dyDescent="0.25">
      <c r="B218" s="209">
        <v>185</v>
      </c>
      <c r="C218" s="480"/>
      <c r="D218" s="480"/>
      <c r="E218" s="481"/>
      <c r="F218" s="480"/>
      <c r="G218" s="480"/>
      <c r="H218" s="607" t="str">
        <f t="shared" si="46"/>
        <v/>
      </c>
      <c r="I218" s="607" t="str">
        <f t="shared" si="47"/>
        <v/>
      </c>
      <c r="J218" s="607" t="str">
        <f t="shared" si="48"/>
        <v/>
      </c>
      <c r="K218" s="208" t="str">
        <f t="shared" si="49"/>
        <v/>
      </c>
      <c r="L218" s="208" t="str">
        <f t="shared" si="50"/>
        <v/>
      </c>
      <c r="M218" s="208" t="str">
        <f t="shared" si="62"/>
        <v/>
      </c>
      <c r="N218" s="608" t="str">
        <f>IF($D$3="", "", IFERROR(VLOOKUP(L218,'PIPE INCENTIVE'!$B$4:$E$19,2,FALSE),""))</f>
        <v/>
      </c>
      <c r="O218" s="608" t="str">
        <f t="shared" si="63"/>
        <v/>
      </c>
      <c r="P218" s="208" t="str">
        <f t="shared" si="64"/>
        <v/>
      </c>
      <c r="Q218" s="208" t="str">
        <f t="shared" si="51"/>
        <v/>
      </c>
      <c r="R218" s="609" t="str">
        <f t="shared" si="52"/>
        <v/>
      </c>
      <c r="S218" s="609" t="str">
        <f t="shared" si="53"/>
        <v/>
      </c>
      <c r="T218" s="609" t="str">
        <f t="shared" si="54"/>
        <v/>
      </c>
      <c r="U218" s="609" t="str" cm="1">
        <f t="array" ref="U218">IFERROR(IF($D$3="","",_xlfn.LET(_xlpm.Mixed,AND(COUNTIF($G$34:$G$533,"Heating_Hot_Water")&gt;0,(COUNTIF($G$34:$G$533,"Steam_Low_Pressure") + COUNTIF($G$34:$G$533,"Steam_Medium_Pressure") + COUNTIF($G$34:$G$533,"Steam_High_Pressure"))&gt;0),_xlpm.fluid, G218,_xlpm.fuel, K218,_xlpm.load,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8" s="609" t="str">
        <f t="shared" si="65"/>
        <v/>
      </c>
      <c r="W218" s="482"/>
      <c r="X218" s="397" t="str" cm="1">
        <f t="array" ref="X218">IFERROR(IF($D$3="","", _xlfn.XLOOKUP(1,($AR$36:$AR$53=F218)*($AS$36:$AS$53=G218), INDEX($AT$36:$BJ$53,,_xlfn.XMATCH(E218,$AT$35:$BJ$35)))),"")</f>
        <v/>
      </c>
      <c r="Y218" s="480"/>
      <c r="Z218" s="482"/>
      <c r="AA218" s="607" t="str" cm="1">
        <f t="array" ref="AA218">IFERROR(IF($D$3="", "", _xlfn.LET(_xlpm.dia, E218, _xlpm.thk, Z218, _xlpm.temp, I218,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8" s="397" t="str" cm="1">
        <f t="array" ref="AB218">IFERROR(IF($D$3="", "", _xlfn.XLOOKUP(1,($AR$57:$AR$76=Y218)*($AS$57:$AS$76=Z218), INDEX($AT$57:$BJ$76,,_xlfn.XMATCH(E218,$AT$56:$BJ$56)))),"")</f>
        <v/>
      </c>
      <c r="AC218" s="208" t="str">
        <f t="shared" si="55"/>
        <v/>
      </c>
      <c r="AD218" s="397" t="str">
        <f t="shared" si="56"/>
        <v/>
      </c>
      <c r="AE218" s="610" t="str">
        <f t="shared" si="57"/>
        <v/>
      </c>
      <c r="AF218" s="610" t="str">
        <f t="shared" si="58"/>
        <v/>
      </c>
      <c r="AG218" s="610" t="str">
        <f t="shared" si="59"/>
        <v/>
      </c>
      <c r="AH218" s="608" t="str">
        <f t="shared" si="60"/>
        <v/>
      </c>
      <c r="AI218" s="610" t="str">
        <f t="shared" si="61"/>
        <v/>
      </c>
    </row>
    <row r="219" spans="2:35" x14ac:dyDescent="0.25">
      <c r="B219" s="209">
        <v>186</v>
      </c>
      <c r="C219" s="480"/>
      <c r="D219" s="480"/>
      <c r="E219" s="481"/>
      <c r="F219" s="480"/>
      <c r="G219" s="480"/>
      <c r="H219" s="607" t="str">
        <f t="shared" si="46"/>
        <v/>
      </c>
      <c r="I219" s="607" t="str">
        <f t="shared" si="47"/>
        <v/>
      </c>
      <c r="J219" s="607" t="str">
        <f t="shared" si="48"/>
        <v/>
      </c>
      <c r="K219" s="208" t="str">
        <f t="shared" si="49"/>
        <v/>
      </c>
      <c r="L219" s="208" t="str">
        <f t="shared" si="50"/>
        <v/>
      </c>
      <c r="M219" s="208" t="str">
        <f t="shared" si="62"/>
        <v/>
      </c>
      <c r="N219" s="608" t="str">
        <f>IF($D$3="", "", IFERROR(VLOOKUP(L219,'PIPE INCENTIVE'!$B$4:$E$19,2,FALSE),""))</f>
        <v/>
      </c>
      <c r="O219" s="608" t="str">
        <f t="shared" si="63"/>
        <v/>
      </c>
      <c r="P219" s="208" t="str">
        <f t="shared" si="64"/>
        <v/>
      </c>
      <c r="Q219" s="208" t="str">
        <f t="shared" si="51"/>
        <v/>
      </c>
      <c r="R219" s="609" t="str">
        <f t="shared" si="52"/>
        <v/>
      </c>
      <c r="S219" s="609" t="str">
        <f t="shared" si="53"/>
        <v/>
      </c>
      <c r="T219" s="609" t="str">
        <f t="shared" si="54"/>
        <v/>
      </c>
      <c r="U219" s="609" t="str" cm="1">
        <f t="array" ref="U219">IFERROR(IF($D$3="","",_xlfn.LET(_xlpm.Mixed,AND(COUNTIF($G$34:$G$533,"Heating_Hot_Water")&gt;0,(COUNTIF($G$34:$G$533,"Steam_Low_Pressure") + COUNTIF($G$34:$G$533,"Steam_Medium_Pressure") + COUNTIF($G$34:$G$533,"Steam_High_Pressure"))&gt;0),_xlpm.fluid, G219,_xlpm.fuel, K219,_xlpm.load,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19" s="609" t="str">
        <f t="shared" si="65"/>
        <v/>
      </c>
      <c r="W219" s="482"/>
      <c r="X219" s="397" t="str" cm="1">
        <f t="array" ref="X219">IFERROR(IF($D$3="","", _xlfn.XLOOKUP(1,($AR$36:$AR$53=F219)*($AS$36:$AS$53=G219), INDEX($AT$36:$BJ$53,,_xlfn.XMATCH(E219,$AT$35:$BJ$35)))),"")</f>
        <v/>
      </c>
      <c r="Y219" s="480"/>
      <c r="Z219" s="482"/>
      <c r="AA219" s="607" t="str" cm="1">
        <f t="array" ref="AA219">IFERROR(IF($D$3="", "", _xlfn.LET(_xlpm.dia, E219, _xlpm.thk, Z219, _xlpm.temp, I219,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19" s="397" t="str" cm="1">
        <f t="array" ref="AB219">IFERROR(IF($D$3="", "", _xlfn.XLOOKUP(1,($AR$57:$AR$76=Y219)*($AS$57:$AS$76=Z219), INDEX($AT$57:$BJ$76,,_xlfn.XMATCH(E219,$AT$56:$BJ$56)))),"")</f>
        <v/>
      </c>
      <c r="AC219" s="208" t="str">
        <f t="shared" si="55"/>
        <v/>
      </c>
      <c r="AD219" s="397" t="str">
        <f t="shared" si="56"/>
        <v/>
      </c>
      <c r="AE219" s="610" t="str">
        <f t="shared" si="57"/>
        <v/>
      </c>
      <c r="AF219" s="610" t="str">
        <f t="shared" si="58"/>
        <v/>
      </c>
      <c r="AG219" s="610" t="str">
        <f t="shared" si="59"/>
        <v/>
      </c>
      <c r="AH219" s="608" t="str">
        <f t="shared" si="60"/>
        <v/>
      </c>
      <c r="AI219" s="610" t="str">
        <f t="shared" si="61"/>
        <v/>
      </c>
    </row>
    <row r="220" spans="2:35" x14ac:dyDescent="0.25">
      <c r="B220" s="209">
        <v>187</v>
      </c>
      <c r="C220" s="480"/>
      <c r="D220" s="480"/>
      <c r="E220" s="481"/>
      <c r="F220" s="480"/>
      <c r="G220" s="480"/>
      <c r="H220" s="607" t="str">
        <f t="shared" si="46"/>
        <v/>
      </c>
      <c r="I220" s="607" t="str">
        <f t="shared" si="47"/>
        <v/>
      </c>
      <c r="J220" s="607" t="str">
        <f t="shared" si="48"/>
        <v/>
      </c>
      <c r="K220" s="208" t="str">
        <f t="shared" si="49"/>
        <v/>
      </c>
      <c r="L220" s="208" t="str">
        <f t="shared" si="50"/>
        <v/>
      </c>
      <c r="M220" s="208" t="str">
        <f t="shared" si="62"/>
        <v/>
      </c>
      <c r="N220" s="608" t="str">
        <f>IF($D$3="", "", IFERROR(VLOOKUP(L220,'PIPE INCENTIVE'!$B$4:$E$19,2,FALSE),""))</f>
        <v/>
      </c>
      <c r="O220" s="608" t="str">
        <f t="shared" si="63"/>
        <v/>
      </c>
      <c r="P220" s="208" t="str">
        <f t="shared" si="64"/>
        <v/>
      </c>
      <c r="Q220" s="208" t="str">
        <f t="shared" si="51"/>
        <v/>
      </c>
      <c r="R220" s="609" t="str">
        <f t="shared" si="52"/>
        <v/>
      </c>
      <c r="S220" s="609" t="str">
        <f t="shared" si="53"/>
        <v/>
      </c>
      <c r="T220" s="609" t="str">
        <f t="shared" si="54"/>
        <v/>
      </c>
      <c r="U220" s="609" t="str" cm="1">
        <f t="array" ref="U220">IFERROR(IF($D$3="","",_xlfn.LET(_xlpm.Mixed,AND(COUNTIF($G$34:$G$533,"Heating_Hot_Water")&gt;0,(COUNTIF($G$34:$G$533,"Steam_Low_Pressure") + COUNTIF($G$34:$G$533,"Steam_Medium_Pressure") + COUNTIF($G$34:$G$533,"Steam_High_Pressure"))&gt;0),_xlpm.fluid, G220,_xlpm.fuel, K220,_xlpm.load,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0" s="609" t="str">
        <f t="shared" si="65"/>
        <v/>
      </c>
      <c r="W220" s="482"/>
      <c r="X220" s="397" t="str" cm="1">
        <f t="array" ref="X220">IFERROR(IF($D$3="","", _xlfn.XLOOKUP(1,($AR$36:$AR$53=F220)*($AS$36:$AS$53=G220), INDEX($AT$36:$BJ$53,,_xlfn.XMATCH(E220,$AT$35:$BJ$35)))),"")</f>
        <v/>
      </c>
      <c r="Y220" s="480"/>
      <c r="Z220" s="482"/>
      <c r="AA220" s="607" t="str" cm="1">
        <f t="array" ref="AA220">IFERROR(IF($D$3="", "", _xlfn.LET(_xlpm.dia, E220, _xlpm.thk, Z220, _xlpm.temp, I220,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0" s="397" t="str" cm="1">
        <f t="array" ref="AB220">IFERROR(IF($D$3="", "", _xlfn.XLOOKUP(1,($AR$57:$AR$76=Y220)*($AS$57:$AS$76=Z220), INDEX($AT$57:$BJ$76,,_xlfn.XMATCH(E220,$AT$56:$BJ$56)))),"")</f>
        <v/>
      </c>
      <c r="AC220" s="208" t="str">
        <f t="shared" si="55"/>
        <v/>
      </c>
      <c r="AD220" s="397" t="str">
        <f t="shared" si="56"/>
        <v/>
      </c>
      <c r="AE220" s="610" t="str">
        <f t="shared" si="57"/>
        <v/>
      </c>
      <c r="AF220" s="610" t="str">
        <f t="shared" si="58"/>
        <v/>
      </c>
      <c r="AG220" s="610" t="str">
        <f t="shared" si="59"/>
        <v/>
      </c>
      <c r="AH220" s="608" t="str">
        <f t="shared" si="60"/>
        <v/>
      </c>
      <c r="AI220" s="610" t="str">
        <f t="shared" si="61"/>
        <v/>
      </c>
    </row>
    <row r="221" spans="2:35" x14ac:dyDescent="0.25">
      <c r="B221" s="209">
        <v>188</v>
      </c>
      <c r="C221" s="480"/>
      <c r="D221" s="480"/>
      <c r="E221" s="481"/>
      <c r="F221" s="480"/>
      <c r="G221" s="480"/>
      <c r="H221" s="607" t="str">
        <f t="shared" si="46"/>
        <v/>
      </c>
      <c r="I221" s="607" t="str">
        <f t="shared" si="47"/>
        <v/>
      </c>
      <c r="J221" s="607" t="str">
        <f t="shared" si="48"/>
        <v/>
      </c>
      <c r="K221" s="208" t="str">
        <f t="shared" si="49"/>
        <v/>
      </c>
      <c r="L221" s="208" t="str">
        <f t="shared" si="50"/>
        <v/>
      </c>
      <c r="M221" s="208" t="str">
        <f t="shared" si="62"/>
        <v/>
      </c>
      <c r="N221" s="608" t="str">
        <f>IF($D$3="", "", IFERROR(VLOOKUP(L221,'PIPE INCENTIVE'!$B$4:$E$19,2,FALSE),""))</f>
        <v/>
      </c>
      <c r="O221" s="608" t="str">
        <f t="shared" si="63"/>
        <v/>
      </c>
      <c r="P221" s="208" t="str">
        <f t="shared" si="64"/>
        <v/>
      </c>
      <c r="Q221" s="208" t="str">
        <f t="shared" si="51"/>
        <v/>
      </c>
      <c r="R221" s="609" t="str">
        <f t="shared" si="52"/>
        <v/>
      </c>
      <c r="S221" s="609" t="str">
        <f t="shared" si="53"/>
        <v/>
      </c>
      <c r="T221" s="609" t="str">
        <f t="shared" si="54"/>
        <v/>
      </c>
      <c r="U221" s="609" t="str" cm="1">
        <f t="array" ref="U221">IFERROR(IF($D$3="","",_xlfn.LET(_xlpm.Mixed,AND(COUNTIF($G$34:$G$533,"Heating_Hot_Water")&gt;0,(COUNTIF($G$34:$G$533,"Steam_Low_Pressure") + COUNTIF($G$34:$G$533,"Steam_Medium_Pressure") + COUNTIF($G$34:$G$533,"Steam_High_Pressure"))&gt;0),_xlpm.fluid, G221,_xlpm.fuel, K221,_xlpm.load,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1" s="609" t="str">
        <f t="shared" si="65"/>
        <v/>
      </c>
      <c r="W221" s="482"/>
      <c r="X221" s="397" t="str" cm="1">
        <f t="array" ref="X221">IFERROR(IF($D$3="","", _xlfn.XLOOKUP(1,($AR$36:$AR$53=F221)*($AS$36:$AS$53=G221), INDEX($AT$36:$BJ$53,,_xlfn.XMATCH(E221,$AT$35:$BJ$35)))),"")</f>
        <v/>
      </c>
      <c r="Y221" s="480"/>
      <c r="Z221" s="482"/>
      <c r="AA221" s="607" t="str" cm="1">
        <f t="array" ref="AA221">IFERROR(IF($D$3="", "", _xlfn.LET(_xlpm.dia, E221, _xlpm.thk, Z221, _xlpm.temp, I221,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1" s="397" t="str" cm="1">
        <f t="array" ref="AB221">IFERROR(IF($D$3="", "", _xlfn.XLOOKUP(1,($AR$57:$AR$76=Y221)*($AS$57:$AS$76=Z221), INDEX($AT$57:$BJ$76,,_xlfn.XMATCH(E221,$AT$56:$BJ$56)))),"")</f>
        <v/>
      </c>
      <c r="AC221" s="208" t="str">
        <f t="shared" si="55"/>
        <v/>
      </c>
      <c r="AD221" s="397" t="str">
        <f t="shared" si="56"/>
        <v/>
      </c>
      <c r="AE221" s="610" t="str">
        <f t="shared" si="57"/>
        <v/>
      </c>
      <c r="AF221" s="610" t="str">
        <f t="shared" si="58"/>
        <v/>
      </c>
      <c r="AG221" s="610" t="str">
        <f t="shared" si="59"/>
        <v/>
      </c>
      <c r="AH221" s="608" t="str">
        <f t="shared" si="60"/>
        <v/>
      </c>
      <c r="AI221" s="610" t="str">
        <f t="shared" si="61"/>
        <v/>
      </c>
    </row>
    <row r="222" spans="2:35" x14ac:dyDescent="0.25">
      <c r="B222" s="209">
        <v>189</v>
      </c>
      <c r="C222" s="480"/>
      <c r="D222" s="480"/>
      <c r="E222" s="481"/>
      <c r="F222" s="480"/>
      <c r="G222" s="480"/>
      <c r="H222" s="607" t="str">
        <f t="shared" si="46"/>
        <v/>
      </c>
      <c r="I222" s="607" t="str">
        <f t="shared" si="47"/>
        <v/>
      </c>
      <c r="J222" s="607" t="str">
        <f t="shared" si="48"/>
        <v/>
      </c>
      <c r="K222" s="208" t="str">
        <f t="shared" si="49"/>
        <v/>
      </c>
      <c r="L222" s="208" t="str">
        <f t="shared" si="50"/>
        <v/>
      </c>
      <c r="M222" s="208" t="str">
        <f t="shared" si="62"/>
        <v/>
      </c>
      <c r="N222" s="608" t="str">
        <f>IF($D$3="", "", IFERROR(VLOOKUP(L222,'PIPE INCENTIVE'!$B$4:$E$19,2,FALSE),""))</f>
        <v/>
      </c>
      <c r="O222" s="608" t="str">
        <f t="shared" si="63"/>
        <v/>
      </c>
      <c r="P222" s="208" t="str">
        <f t="shared" si="64"/>
        <v/>
      </c>
      <c r="Q222" s="208" t="str">
        <f t="shared" si="51"/>
        <v/>
      </c>
      <c r="R222" s="609" t="str">
        <f t="shared" si="52"/>
        <v/>
      </c>
      <c r="S222" s="609" t="str">
        <f t="shared" si="53"/>
        <v/>
      </c>
      <c r="T222" s="609" t="str">
        <f t="shared" si="54"/>
        <v/>
      </c>
      <c r="U222" s="609" t="str" cm="1">
        <f t="array" ref="U222">IFERROR(IF($D$3="","",_xlfn.LET(_xlpm.Mixed,AND(COUNTIF($G$34:$G$533,"Heating_Hot_Water")&gt;0,(COUNTIF($G$34:$G$533,"Steam_Low_Pressure") + COUNTIF($G$34:$G$533,"Steam_Medium_Pressure") + COUNTIF($G$34:$G$533,"Steam_High_Pressure"))&gt;0),_xlpm.fluid, G222,_xlpm.fuel, K222,_xlpm.load,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2" s="609" t="str">
        <f t="shared" si="65"/>
        <v/>
      </c>
      <c r="W222" s="482"/>
      <c r="X222" s="397" t="str" cm="1">
        <f t="array" ref="X222">IFERROR(IF($D$3="","", _xlfn.XLOOKUP(1,($AR$36:$AR$53=F222)*($AS$36:$AS$53=G222), INDEX($AT$36:$BJ$53,,_xlfn.XMATCH(E222,$AT$35:$BJ$35)))),"")</f>
        <v/>
      </c>
      <c r="Y222" s="480"/>
      <c r="Z222" s="482"/>
      <c r="AA222" s="607" t="str" cm="1">
        <f t="array" ref="AA222">IFERROR(IF($D$3="", "", _xlfn.LET(_xlpm.dia, E222, _xlpm.thk, Z222, _xlpm.temp, I222,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2" s="397" t="str" cm="1">
        <f t="array" ref="AB222">IFERROR(IF($D$3="", "", _xlfn.XLOOKUP(1,($AR$57:$AR$76=Y222)*($AS$57:$AS$76=Z222), INDEX($AT$57:$BJ$76,,_xlfn.XMATCH(E222,$AT$56:$BJ$56)))),"")</f>
        <v/>
      </c>
      <c r="AC222" s="208" t="str">
        <f t="shared" si="55"/>
        <v/>
      </c>
      <c r="AD222" s="397" t="str">
        <f t="shared" si="56"/>
        <v/>
      </c>
      <c r="AE222" s="610" t="str">
        <f t="shared" si="57"/>
        <v/>
      </c>
      <c r="AF222" s="610" t="str">
        <f t="shared" si="58"/>
        <v/>
      </c>
      <c r="AG222" s="610" t="str">
        <f t="shared" si="59"/>
        <v/>
      </c>
      <c r="AH222" s="608" t="str">
        <f t="shared" si="60"/>
        <v/>
      </c>
      <c r="AI222" s="610" t="str">
        <f t="shared" si="61"/>
        <v/>
      </c>
    </row>
    <row r="223" spans="2:35" x14ac:dyDescent="0.25">
      <c r="B223" s="209">
        <v>190</v>
      </c>
      <c r="C223" s="480"/>
      <c r="D223" s="480"/>
      <c r="E223" s="481"/>
      <c r="F223" s="480"/>
      <c r="G223" s="480"/>
      <c r="H223" s="607" t="str">
        <f t="shared" si="46"/>
        <v/>
      </c>
      <c r="I223" s="607" t="str">
        <f t="shared" si="47"/>
        <v/>
      </c>
      <c r="J223" s="607" t="str">
        <f t="shared" si="48"/>
        <v/>
      </c>
      <c r="K223" s="208" t="str">
        <f t="shared" si="49"/>
        <v/>
      </c>
      <c r="L223" s="208" t="str">
        <f t="shared" si="50"/>
        <v/>
      </c>
      <c r="M223" s="208" t="str">
        <f t="shared" si="62"/>
        <v/>
      </c>
      <c r="N223" s="608" t="str">
        <f>IF($D$3="", "", IFERROR(VLOOKUP(L223,'PIPE INCENTIVE'!$B$4:$E$19,2,FALSE),""))</f>
        <v/>
      </c>
      <c r="O223" s="608" t="str">
        <f t="shared" si="63"/>
        <v/>
      </c>
      <c r="P223" s="208" t="str">
        <f t="shared" si="64"/>
        <v/>
      </c>
      <c r="Q223" s="208" t="str">
        <f t="shared" si="51"/>
        <v/>
      </c>
      <c r="R223" s="609" t="str">
        <f t="shared" si="52"/>
        <v/>
      </c>
      <c r="S223" s="609" t="str">
        <f t="shared" si="53"/>
        <v/>
      </c>
      <c r="T223" s="609" t="str">
        <f t="shared" si="54"/>
        <v/>
      </c>
      <c r="U223" s="609" t="str" cm="1">
        <f t="array" ref="U223">IFERROR(IF($D$3="","",_xlfn.LET(_xlpm.Mixed,AND(COUNTIF($G$34:$G$533,"Heating_Hot_Water")&gt;0,(COUNTIF($G$34:$G$533,"Steam_Low_Pressure") + COUNTIF($G$34:$G$533,"Steam_Medium_Pressure") + COUNTIF($G$34:$G$533,"Steam_High_Pressure"))&gt;0),_xlpm.fluid, G223,_xlpm.fuel, K223,_xlpm.load,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3" s="609" t="str">
        <f t="shared" si="65"/>
        <v/>
      </c>
      <c r="W223" s="482"/>
      <c r="X223" s="397" t="str" cm="1">
        <f t="array" ref="X223">IFERROR(IF($D$3="","", _xlfn.XLOOKUP(1,($AR$36:$AR$53=F223)*($AS$36:$AS$53=G223), INDEX($AT$36:$BJ$53,,_xlfn.XMATCH(E223,$AT$35:$BJ$35)))),"")</f>
        <v/>
      </c>
      <c r="Y223" s="480"/>
      <c r="Z223" s="482"/>
      <c r="AA223" s="607" t="str" cm="1">
        <f t="array" ref="AA223">IFERROR(IF($D$3="", "", _xlfn.LET(_xlpm.dia, E223, _xlpm.thk, Z223, _xlpm.temp, I223,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3" s="397" t="str" cm="1">
        <f t="array" ref="AB223">IFERROR(IF($D$3="", "", _xlfn.XLOOKUP(1,($AR$57:$AR$76=Y223)*($AS$57:$AS$76=Z223), INDEX($AT$57:$BJ$76,,_xlfn.XMATCH(E223,$AT$56:$BJ$56)))),"")</f>
        <v/>
      </c>
      <c r="AC223" s="208" t="str">
        <f t="shared" si="55"/>
        <v/>
      </c>
      <c r="AD223" s="397" t="str">
        <f t="shared" si="56"/>
        <v/>
      </c>
      <c r="AE223" s="610" t="str">
        <f t="shared" si="57"/>
        <v/>
      </c>
      <c r="AF223" s="610" t="str">
        <f t="shared" si="58"/>
        <v/>
      </c>
      <c r="AG223" s="610" t="str">
        <f t="shared" si="59"/>
        <v/>
      </c>
      <c r="AH223" s="608" t="str">
        <f t="shared" si="60"/>
        <v/>
      </c>
      <c r="AI223" s="610" t="str">
        <f t="shared" si="61"/>
        <v/>
      </c>
    </row>
    <row r="224" spans="2:35" x14ac:dyDescent="0.25">
      <c r="B224" s="209">
        <v>191</v>
      </c>
      <c r="C224" s="480"/>
      <c r="D224" s="480"/>
      <c r="E224" s="481"/>
      <c r="F224" s="480"/>
      <c r="G224" s="480"/>
      <c r="H224" s="607" t="str">
        <f t="shared" si="46"/>
        <v/>
      </c>
      <c r="I224" s="607" t="str">
        <f t="shared" si="47"/>
        <v/>
      </c>
      <c r="J224" s="607" t="str">
        <f t="shared" si="48"/>
        <v/>
      </c>
      <c r="K224" s="208" t="str">
        <f t="shared" si="49"/>
        <v/>
      </c>
      <c r="L224" s="208" t="str">
        <f t="shared" si="50"/>
        <v/>
      </c>
      <c r="M224" s="208" t="str">
        <f t="shared" si="62"/>
        <v/>
      </c>
      <c r="N224" s="608" t="str">
        <f>IF($D$3="", "", IFERROR(VLOOKUP(L224,'PIPE INCENTIVE'!$B$4:$E$19,2,FALSE),""))</f>
        <v/>
      </c>
      <c r="O224" s="608" t="str">
        <f t="shared" si="63"/>
        <v/>
      </c>
      <c r="P224" s="208" t="str">
        <f t="shared" si="64"/>
        <v/>
      </c>
      <c r="Q224" s="208" t="str">
        <f t="shared" si="51"/>
        <v/>
      </c>
      <c r="R224" s="609" t="str">
        <f t="shared" si="52"/>
        <v/>
      </c>
      <c r="S224" s="609" t="str">
        <f t="shared" si="53"/>
        <v/>
      </c>
      <c r="T224" s="609" t="str">
        <f t="shared" si="54"/>
        <v/>
      </c>
      <c r="U224" s="609" t="str" cm="1">
        <f t="array" ref="U224">IFERROR(IF($D$3="","",_xlfn.LET(_xlpm.Mixed,AND(COUNTIF($G$34:$G$533,"Heating_Hot_Water")&gt;0,(COUNTIF($G$34:$G$533,"Steam_Low_Pressure") + COUNTIF($G$34:$G$533,"Steam_Medium_Pressure") + COUNTIF($G$34:$G$533,"Steam_High_Pressure"))&gt;0),_xlpm.fluid, G224,_xlpm.fuel, K224,_xlpm.load,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4" s="609" t="str">
        <f t="shared" si="65"/>
        <v/>
      </c>
      <c r="W224" s="482"/>
      <c r="X224" s="397" t="str" cm="1">
        <f t="array" ref="X224">IFERROR(IF($D$3="","", _xlfn.XLOOKUP(1,($AR$36:$AR$53=F224)*($AS$36:$AS$53=G224), INDEX($AT$36:$BJ$53,,_xlfn.XMATCH(E224,$AT$35:$BJ$35)))),"")</f>
        <v/>
      </c>
      <c r="Y224" s="480"/>
      <c r="Z224" s="482"/>
      <c r="AA224" s="607" t="str" cm="1">
        <f t="array" ref="AA224">IFERROR(IF($D$3="", "", _xlfn.LET(_xlpm.dia, E224, _xlpm.thk, Z224, _xlpm.temp, I224,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4" s="397" t="str" cm="1">
        <f t="array" ref="AB224">IFERROR(IF($D$3="", "", _xlfn.XLOOKUP(1,($AR$57:$AR$76=Y224)*($AS$57:$AS$76=Z224), INDEX($AT$57:$BJ$76,,_xlfn.XMATCH(E224,$AT$56:$BJ$56)))),"")</f>
        <v/>
      </c>
      <c r="AC224" s="208" t="str">
        <f t="shared" si="55"/>
        <v/>
      </c>
      <c r="AD224" s="397" t="str">
        <f t="shared" si="56"/>
        <v/>
      </c>
      <c r="AE224" s="610" t="str">
        <f t="shared" si="57"/>
        <v/>
      </c>
      <c r="AF224" s="610" t="str">
        <f t="shared" si="58"/>
        <v/>
      </c>
      <c r="AG224" s="610" t="str">
        <f t="shared" si="59"/>
        <v/>
      </c>
      <c r="AH224" s="608" t="str">
        <f t="shared" si="60"/>
        <v/>
      </c>
      <c r="AI224" s="610" t="str">
        <f t="shared" si="61"/>
        <v/>
      </c>
    </row>
    <row r="225" spans="2:35" x14ac:dyDescent="0.25">
      <c r="B225" s="209">
        <v>192</v>
      </c>
      <c r="C225" s="480"/>
      <c r="D225" s="480"/>
      <c r="E225" s="481"/>
      <c r="F225" s="480"/>
      <c r="G225" s="480"/>
      <c r="H225" s="607" t="str">
        <f t="shared" si="46"/>
        <v/>
      </c>
      <c r="I225" s="607" t="str">
        <f t="shared" si="47"/>
        <v/>
      </c>
      <c r="J225" s="607" t="str">
        <f t="shared" si="48"/>
        <v/>
      </c>
      <c r="K225" s="208" t="str">
        <f t="shared" si="49"/>
        <v/>
      </c>
      <c r="L225" s="208" t="str">
        <f t="shared" si="50"/>
        <v/>
      </c>
      <c r="M225" s="208" t="str">
        <f t="shared" si="62"/>
        <v/>
      </c>
      <c r="N225" s="608" t="str">
        <f>IF($D$3="", "", IFERROR(VLOOKUP(L225,'PIPE INCENTIVE'!$B$4:$E$19,2,FALSE),""))</f>
        <v/>
      </c>
      <c r="O225" s="608" t="str">
        <f t="shared" si="63"/>
        <v/>
      </c>
      <c r="P225" s="208" t="str">
        <f t="shared" si="64"/>
        <v/>
      </c>
      <c r="Q225" s="208" t="str">
        <f t="shared" si="51"/>
        <v/>
      </c>
      <c r="R225" s="609" t="str">
        <f t="shared" si="52"/>
        <v/>
      </c>
      <c r="S225" s="609" t="str">
        <f t="shared" si="53"/>
        <v/>
      </c>
      <c r="T225" s="609" t="str">
        <f t="shared" si="54"/>
        <v/>
      </c>
      <c r="U225" s="609" t="str" cm="1">
        <f t="array" ref="U225">IFERROR(IF($D$3="","",_xlfn.LET(_xlpm.Mixed,AND(COUNTIF($G$34:$G$533,"Heating_Hot_Water")&gt;0,(COUNTIF($G$34:$G$533,"Steam_Low_Pressure") + COUNTIF($G$34:$G$533,"Steam_Medium_Pressure") + COUNTIF($G$34:$G$533,"Steam_High_Pressure"))&gt;0),_xlpm.fluid, G225,_xlpm.fuel, K225,_xlpm.load,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5" s="609" t="str">
        <f t="shared" si="65"/>
        <v/>
      </c>
      <c r="W225" s="482"/>
      <c r="X225" s="397" t="str" cm="1">
        <f t="array" ref="X225">IFERROR(IF($D$3="","", _xlfn.XLOOKUP(1,($AR$36:$AR$53=F225)*($AS$36:$AS$53=G225), INDEX($AT$36:$BJ$53,,_xlfn.XMATCH(E225,$AT$35:$BJ$35)))),"")</f>
        <v/>
      </c>
      <c r="Y225" s="480"/>
      <c r="Z225" s="482"/>
      <c r="AA225" s="607" t="str" cm="1">
        <f t="array" ref="AA225">IFERROR(IF($D$3="", "", _xlfn.LET(_xlpm.dia, E225, _xlpm.thk, Z225, _xlpm.temp, I225,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5" s="397" t="str" cm="1">
        <f t="array" ref="AB225">IFERROR(IF($D$3="", "", _xlfn.XLOOKUP(1,($AR$57:$AR$76=Y225)*($AS$57:$AS$76=Z225), INDEX($AT$57:$BJ$76,,_xlfn.XMATCH(E225,$AT$56:$BJ$56)))),"")</f>
        <v/>
      </c>
      <c r="AC225" s="208" t="str">
        <f t="shared" si="55"/>
        <v/>
      </c>
      <c r="AD225" s="397" t="str">
        <f t="shared" si="56"/>
        <v/>
      </c>
      <c r="AE225" s="610" t="str">
        <f t="shared" si="57"/>
        <v/>
      </c>
      <c r="AF225" s="610" t="str">
        <f t="shared" si="58"/>
        <v/>
      </c>
      <c r="AG225" s="610" t="str">
        <f t="shared" si="59"/>
        <v/>
      </c>
      <c r="AH225" s="608" t="str">
        <f t="shared" si="60"/>
        <v/>
      </c>
      <c r="AI225" s="610" t="str">
        <f t="shared" si="61"/>
        <v/>
      </c>
    </row>
    <row r="226" spans="2:35" x14ac:dyDescent="0.25">
      <c r="B226" s="209">
        <v>193</v>
      </c>
      <c r="C226" s="480"/>
      <c r="D226" s="480"/>
      <c r="E226" s="481"/>
      <c r="F226" s="480"/>
      <c r="G226" s="480"/>
      <c r="H226" s="607" t="str">
        <f t="shared" ref="H226:H289" si="66">IFERROR(IF($D$3="", "", VLOOKUP(G226,$AM$53:$AN$60,2,FALSE)),"")</f>
        <v/>
      </c>
      <c r="I226" s="607" t="str">
        <f t="shared" ref="I226:I289" si="67">IFERROR(IF($D$3 = "", "", VLOOKUP(G226,$AM$64:$AN$71,2,FALSE)),"")</f>
        <v/>
      </c>
      <c r="J226" s="607" t="str">
        <f t="shared" ref="J226:J289" si="68">IFERROR(IF($D$3="", "", ABS(I226-H226)),"")</f>
        <v/>
      </c>
      <c r="K226" s="208" t="str">
        <f t="shared" ref="K226:K289" si="69">IFERROR(IF($D$3="", "", IF(OR(G226="Steam_Low_Pressure", G226="Steam_Medium_Pressure",G226="Steam_High_Pressure", G226="Heating_Hot_Water", G226="Steam_Condensate"), "Heating"&amp;$AT$115, IF(G226="Domestic_Hot_Water", G226&amp;$AT$131, IF(OR(G226="CoolingSupply", G226="CoolingReturn"), G226&amp;$AT$122,"")))),"")</f>
        <v/>
      </c>
      <c r="L226" s="208" t="str">
        <f t="shared" ref="L226:L289" si="70">IF($D$3="","", IFERROR(IF($D$7="Large C &amp; I (LCI)", "LCI", "SMB")&amp;"_"&amp;IF(RIGHT(K226, 6)="Fossil", "Gas_", "Electric_")&amp;$D$8&amp;"_"&amp;IF($D$9="No", "DACNo", "DACYes"),""))</f>
        <v/>
      </c>
      <c r="M226" s="208" t="str">
        <f t="shared" si="62"/>
        <v/>
      </c>
      <c r="N226" s="608" t="str">
        <f>IF($D$3="", "", IFERROR(VLOOKUP(L226,'PIPE INCENTIVE'!$B$4:$E$19,2,FALSE),""))</f>
        <v/>
      </c>
      <c r="O226" s="608" t="str">
        <f t="shared" si="63"/>
        <v/>
      </c>
      <c r="P226" s="208" t="str">
        <f t="shared" si="64"/>
        <v/>
      </c>
      <c r="Q226" s="208" t="str">
        <f t="shared" ref="Q226:Q289" si="71">IFERROR(IF($D$3="","",IF(P226="Domestic_Hot_Water_AY",8760,IF(P226="Domestic_Hot_Water_HSO",VLOOKUP($D$5,$AM$74:$AN$81,2,FALSE),IF(P226="NOTDHW",IF($D$21="Yes",IF(OR(G226="CoolingSupply",G226="CoolingReturn"), $D$23, $D$22),IF(OR(G226="CoolingSupply",G226="CoolingReturn"), $AP$44, $AP$43)),"")))),"")</f>
        <v/>
      </c>
      <c r="R226" s="609" t="str">
        <f t="shared" ref="R226:R289" si="72">IFERROR(IF($D$3="", "", VLOOKUP(K226,$AM$86:$AN$96,2, FALSE)),"")</f>
        <v/>
      </c>
      <c r="S226" s="609" t="str">
        <f t="shared" ref="S226:S289" si="73">IFERROR(IF($D$3="", "", VLOOKUP(K226,$AM$100:$AN$110,2, FALSE)),"")</f>
        <v/>
      </c>
      <c r="T226" s="609" t="str">
        <f t="shared" ref="T226:T289" si="74">IF($D$3="","",IFERROR(IF(OR(K226="CoolingSupplyElectric",K226="CoolingReturnElectric"),IF($D$20&lt;&gt;"",$D$20, _xlfn.XLOOKUP(K226,$AR$102:$AR$107,$AS$102:$AS$107)),IF(OR(K226="HeatingElectric",K226="Domestic_Hot_WaterElectric",K226="Domestic_Hot_WaterUnknown"),0.98,0.98)),""))</f>
        <v/>
      </c>
      <c r="U226" s="609" t="str" cm="1">
        <f t="array" ref="U226">IFERROR(IF($D$3="","",_xlfn.LET(_xlpm.Mixed,AND(COUNTIF($G$34:$G$533,"Heating_Hot_Water")&gt;0,(COUNTIF($G$34:$G$533,"Steam_Low_Pressure") + COUNTIF($G$34:$G$533,"Steam_Medium_Pressure") + COUNTIF($G$34:$G$533,"Steam_High_Pressure"))&gt;0),_xlpm.fluid, G226,_xlpm.fuel, K226,_xlpm.load,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6" s="609" t="str">
        <f t="shared" si="65"/>
        <v/>
      </c>
      <c r="W226" s="482"/>
      <c r="X226" s="397" t="str" cm="1">
        <f t="array" ref="X226">IFERROR(IF($D$3="","", _xlfn.XLOOKUP(1,($AR$36:$AR$53=F226)*($AS$36:$AS$53=G226), INDEX($AT$36:$BJ$53,,_xlfn.XMATCH(E226,$AT$35:$BJ$35)))),"")</f>
        <v/>
      </c>
      <c r="Y226" s="480"/>
      <c r="Z226" s="482"/>
      <c r="AA226" s="607" t="str" cm="1">
        <f t="array" ref="AA226">IFERROR(IF($D$3="", "", _xlfn.LET(_xlpm.dia, E226, _xlpm.thk, Z226, _xlpm.temp, I226,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6" s="397" t="str" cm="1">
        <f t="array" ref="AB226">IFERROR(IF($D$3="", "", _xlfn.XLOOKUP(1,($AR$57:$AR$76=Y226)*($AS$57:$AS$76=Z226), INDEX($AT$57:$BJ$76,,_xlfn.XMATCH(E226,$AT$56:$BJ$56)))),"")</f>
        <v/>
      </c>
      <c r="AC226" s="208" t="str">
        <f t="shared" ref="AC226:AC289" si="75">IFERROR(IF($D$3="", "", IF(AND($AT$115="Fossil", $AT$122="Fossil", $AT$131="Fossil"), 0, ((X226-AB226)/(T226*3412))*W226*J226*Q226*R226)),"")</f>
        <v/>
      </c>
      <c r="AD226" s="397" t="str">
        <f t="shared" ref="AD226:AD289" si="76">IFERROR(IF($D$3="", "", AC226*V226/8760),"")</f>
        <v/>
      </c>
      <c r="AE226" s="610" t="str">
        <f t="shared" ref="AE226:AE289" si="77">IFERROR(IF(AF226="", "", AF226*10),"")</f>
        <v/>
      </c>
      <c r="AF226" s="610" t="str">
        <f t="shared" ref="AF226:AF289" si="78">IFERROR(IF($D$3="", "", IF(AND($AT$115="Electric", $AT$122="Electric", $AT$131="Electric"), 0, ((X226-AB226)/(U226*1000000))*W226*J226*Q226*S226)),"")</f>
        <v/>
      </c>
      <c r="AG226" s="610" t="str">
        <f t="shared" ref="AG226:AG289" si="79">IFERROR(IF(AC226&lt;&gt;0, AC226*3412/1000000, 0),"")</f>
        <v/>
      </c>
      <c r="AH226" s="608" t="str">
        <f t="shared" ref="AH226:AH289" si="80">IFERROR(IF($D$3="","",IF(OR(AND(ISNUMBER(SEARCH("Domestic_Hot_Water",$K226)),OR(ISNUMBER(SEARCH("Not National Grid",$D$17)),ISNUMBER(SEARCH("Oil/Propane/Wood",$D$17)))),AND(ISNUMBER(SEARCH("Cooling",$K226)),ISNUMBER(SEARCH("Not National Grid",$D$16))),AND(NOT(ISNUMBER(SEARCH("Domestic_Hot_Water",$K226))),NOT(ISNUMBER(SEARCH("Cooling",$K226))),OR(ISNUMBER(SEARCH("Not National Grid",$D$15)),ISNUMBER(SEARCH("Oil/Propane/Wood",$D$15))))),0,IF(AA226="No",0,IF(M226="PERTHERM",N226*AE226,N226*W226)))),"")</f>
        <v/>
      </c>
      <c r="AI226" s="610" t="str">
        <f t="shared" ref="AI226:AI289" si="81">IFERROR(AG226+AF226,"")</f>
        <v/>
      </c>
    </row>
    <row r="227" spans="2:35" x14ac:dyDescent="0.25">
      <c r="B227" s="209">
        <v>194</v>
      </c>
      <c r="C227" s="480"/>
      <c r="D227" s="480"/>
      <c r="E227" s="481"/>
      <c r="F227" s="480"/>
      <c r="G227" s="480"/>
      <c r="H227" s="607" t="str">
        <f t="shared" si="66"/>
        <v/>
      </c>
      <c r="I227" s="607" t="str">
        <f t="shared" si="67"/>
        <v/>
      </c>
      <c r="J227" s="607" t="str">
        <f t="shared" si="68"/>
        <v/>
      </c>
      <c r="K227" s="208" t="str">
        <f t="shared" si="69"/>
        <v/>
      </c>
      <c r="L227" s="208" t="str">
        <f t="shared" si="70"/>
        <v/>
      </c>
      <c r="M227" s="208" t="str">
        <f t="shared" ref="M227:M290" si="82">IF($D$3="","",IFERROR(IF(LEFT(L227,7)="LCI_Gas","PERTHERM","PERLF"),""))</f>
        <v/>
      </c>
      <c r="N227" s="608" t="str">
        <f>IF($D$3="", "", IFERROR(VLOOKUP(L227,'PIPE INCENTIVE'!$B$4:$E$19,2,FALSE),""))</f>
        <v/>
      </c>
      <c r="O227" s="608" t="str">
        <f t="shared" ref="O227:O290" si="83">IF($D$3="", "", IFERROR(IF(RIGHT(K227,6)="Fossil","Gas","Electric"),""))</f>
        <v/>
      </c>
      <c r="P227" s="208" t="str">
        <f t="shared" ref="P227:P290" si="84">IFERROR(IF($D$3="", "", IF(AND(G227="Domestic_Hot_Water",$D$18="All Year"),G227&amp;"_AY",IF(AND(G227="Domestic_Hot_Water",$D$18="Heating Season Only"),G227&amp;"_HSO","NOTDHW"))),"")</f>
        <v/>
      </c>
      <c r="Q227" s="208" t="str">
        <f t="shared" si="71"/>
        <v/>
      </c>
      <c r="R227" s="609" t="str">
        <f t="shared" si="72"/>
        <v/>
      </c>
      <c r="S227" s="609" t="str">
        <f t="shared" si="73"/>
        <v/>
      </c>
      <c r="T227" s="609" t="str">
        <f t="shared" si="74"/>
        <v/>
      </c>
      <c r="U227" s="609" t="str" cm="1">
        <f t="array" ref="U227">IFERROR(IF($D$3="","",_xlfn.LET(_xlpm.Mixed,AND(COUNTIF($G$34:$G$533,"Heating_Hot_Water")&gt;0,(COUNTIF($G$34:$G$533,"Steam_Low_Pressure") + COUNTIF($G$34:$G$533,"Steam_Medium_Pressure") + COUNTIF($G$34:$G$533,"Steam_High_Pressure"))&gt;0),_xlpm.fluid, G227,_xlpm.fuel, K227,_xlpm.load,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7" s="609" t="str">
        <f t="shared" ref="V227:V290" si="85">IFERROR(IF($D$3="", "", IF(K227="Domestic_Hot_WaterElectric", 1, 0)),"")</f>
        <v/>
      </c>
      <c r="W227" s="482"/>
      <c r="X227" s="397" t="str" cm="1">
        <f t="array" ref="X227">IFERROR(IF($D$3="","", _xlfn.XLOOKUP(1,($AR$36:$AR$53=F227)*($AS$36:$AS$53=G227), INDEX($AT$36:$BJ$53,,_xlfn.XMATCH(E227,$AT$35:$BJ$35)))),"")</f>
        <v/>
      </c>
      <c r="Y227" s="480"/>
      <c r="Z227" s="482"/>
      <c r="AA227" s="607" t="str" cm="1">
        <f t="array" ref="AA227">IFERROR(IF($D$3="", "", _xlfn.LET(_xlpm.dia, E227, _xlpm.thk, Z227, _xlpm.temp, I227,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7" s="397" t="str" cm="1">
        <f t="array" ref="AB227">IFERROR(IF($D$3="", "", _xlfn.XLOOKUP(1,($AR$57:$AR$76=Y227)*($AS$57:$AS$76=Z227), INDEX($AT$57:$BJ$76,,_xlfn.XMATCH(E227,$AT$56:$BJ$56)))),"")</f>
        <v/>
      </c>
      <c r="AC227" s="208" t="str">
        <f t="shared" si="75"/>
        <v/>
      </c>
      <c r="AD227" s="397" t="str">
        <f t="shared" si="76"/>
        <v/>
      </c>
      <c r="AE227" s="610" t="str">
        <f t="shared" si="77"/>
        <v/>
      </c>
      <c r="AF227" s="610" t="str">
        <f t="shared" si="78"/>
        <v/>
      </c>
      <c r="AG227" s="610" t="str">
        <f t="shared" si="79"/>
        <v/>
      </c>
      <c r="AH227" s="608" t="str">
        <f t="shared" si="80"/>
        <v/>
      </c>
      <c r="AI227" s="610" t="str">
        <f t="shared" si="81"/>
        <v/>
      </c>
    </row>
    <row r="228" spans="2:35" x14ac:dyDescent="0.25">
      <c r="B228" s="209">
        <v>195</v>
      </c>
      <c r="C228" s="480"/>
      <c r="D228" s="480"/>
      <c r="E228" s="481"/>
      <c r="F228" s="480"/>
      <c r="G228" s="480"/>
      <c r="H228" s="607" t="str">
        <f t="shared" si="66"/>
        <v/>
      </c>
      <c r="I228" s="607" t="str">
        <f t="shared" si="67"/>
        <v/>
      </c>
      <c r="J228" s="607" t="str">
        <f t="shared" si="68"/>
        <v/>
      </c>
      <c r="K228" s="208" t="str">
        <f t="shared" si="69"/>
        <v/>
      </c>
      <c r="L228" s="208" t="str">
        <f t="shared" si="70"/>
        <v/>
      </c>
      <c r="M228" s="208" t="str">
        <f t="shared" si="82"/>
        <v/>
      </c>
      <c r="N228" s="608" t="str">
        <f>IF($D$3="", "", IFERROR(VLOOKUP(L228,'PIPE INCENTIVE'!$B$4:$E$19,2,FALSE),""))</f>
        <v/>
      </c>
      <c r="O228" s="608" t="str">
        <f t="shared" si="83"/>
        <v/>
      </c>
      <c r="P228" s="208" t="str">
        <f t="shared" si="84"/>
        <v/>
      </c>
      <c r="Q228" s="208" t="str">
        <f t="shared" si="71"/>
        <v/>
      </c>
      <c r="R228" s="609" t="str">
        <f t="shared" si="72"/>
        <v/>
      </c>
      <c r="S228" s="609" t="str">
        <f t="shared" si="73"/>
        <v/>
      </c>
      <c r="T228" s="609" t="str">
        <f t="shared" si="74"/>
        <v/>
      </c>
      <c r="U228" s="609" t="str" cm="1">
        <f t="array" ref="U228">IFERROR(IF($D$3="","",_xlfn.LET(_xlpm.Mixed,AND(COUNTIF($G$34:$G$533,"Heating_Hot_Water")&gt;0,(COUNTIF($G$34:$G$533,"Steam_Low_Pressure") + COUNTIF($G$34:$G$533,"Steam_Medium_Pressure") + COUNTIF($G$34:$G$533,"Steam_High_Pressure"))&gt;0),_xlpm.fluid, G228,_xlpm.fuel, K228,_xlpm.load,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8" s="609" t="str">
        <f t="shared" si="85"/>
        <v/>
      </c>
      <c r="W228" s="482"/>
      <c r="X228" s="397" t="str" cm="1">
        <f t="array" ref="X228">IFERROR(IF($D$3="","", _xlfn.XLOOKUP(1,($AR$36:$AR$53=F228)*($AS$36:$AS$53=G228), INDEX($AT$36:$BJ$53,,_xlfn.XMATCH(E228,$AT$35:$BJ$35)))),"")</f>
        <v/>
      </c>
      <c r="Y228" s="480"/>
      <c r="Z228" s="482"/>
      <c r="AA228" s="607" t="str" cm="1">
        <f t="array" ref="AA228">IFERROR(IF($D$3="", "", _xlfn.LET(_xlpm.dia, E228, _xlpm.thk, Z228, _xlpm.temp, I228,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8" s="397" t="str" cm="1">
        <f t="array" ref="AB228">IFERROR(IF($D$3="", "", _xlfn.XLOOKUP(1,($AR$57:$AR$76=Y228)*($AS$57:$AS$76=Z228), INDEX($AT$57:$BJ$76,,_xlfn.XMATCH(E228,$AT$56:$BJ$56)))),"")</f>
        <v/>
      </c>
      <c r="AC228" s="208" t="str">
        <f t="shared" si="75"/>
        <v/>
      </c>
      <c r="AD228" s="397" t="str">
        <f t="shared" si="76"/>
        <v/>
      </c>
      <c r="AE228" s="610" t="str">
        <f t="shared" si="77"/>
        <v/>
      </c>
      <c r="AF228" s="610" t="str">
        <f t="shared" si="78"/>
        <v/>
      </c>
      <c r="AG228" s="610" t="str">
        <f t="shared" si="79"/>
        <v/>
      </c>
      <c r="AH228" s="608" t="str">
        <f t="shared" si="80"/>
        <v/>
      </c>
      <c r="AI228" s="610" t="str">
        <f t="shared" si="81"/>
        <v/>
      </c>
    </row>
    <row r="229" spans="2:35" x14ac:dyDescent="0.25">
      <c r="B229" s="209">
        <v>196</v>
      </c>
      <c r="C229" s="480"/>
      <c r="D229" s="480"/>
      <c r="E229" s="481"/>
      <c r="F229" s="480"/>
      <c r="G229" s="480"/>
      <c r="H229" s="607" t="str">
        <f t="shared" si="66"/>
        <v/>
      </c>
      <c r="I229" s="607" t="str">
        <f t="shared" si="67"/>
        <v/>
      </c>
      <c r="J229" s="607" t="str">
        <f t="shared" si="68"/>
        <v/>
      </c>
      <c r="K229" s="208" t="str">
        <f t="shared" si="69"/>
        <v/>
      </c>
      <c r="L229" s="208" t="str">
        <f t="shared" si="70"/>
        <v/>
      </c>
      <c r="M229" s="208" t="str">
        <f t="shared" si="82"/>
        <v/>
      </c>
      <c r="N229" s="608" t="str">
        <f>IF($D$3="", "", IFERROR(VLOOKUP(L229,'PIPE INCENTIVE'!$B$4:$E$19,2,FALSE),""))</f>
        <v/>
      </c>
      <c r="O229" s="608" t="str">
        <f t="shared" si="83"/>
        <v/>
      </c>
      <c r="P229" s="208" t="str">
        <f t="shared" si="84"/>
        <v/>
      </c>
      <c r="Q229" s="208" t="str">
        <f t="shared" si="71"/>
        <v/>
      </c>
      <c r="R229" s="609" t="str">
        <f t="shared" si="72"/>
        <v/>
      </c>
      <c r="S229" s="609" t="str">
        <f t="shared" si="73"/>
        <v/>
      </c>
      <c r="T229" s="609" t="str">
        <f t="shared" si="74"/>
        <v/>
      </c>
      <c r="U229" s="609" t="str" cm="1">
        <f t="array" ref="U229">IFERROR(IF($D$3="","",_xlfn.LET(_xlpm.Mixed,AND(COUNTIF($G$34:$G$533,"Heating_Hot_Water")&gt;0,(COUNTIF($G$34:$G$533,"Steam_Low_Pressure") + COUNTIF($G$34:$G$533,"Steam_Medium_Pressure") + COUNTIF($G$34:$G$533,"Steam_High_Pressure"))&gt;0),_xlpm.fluid, G229,_xlpm.fuel, K229,_xlpm.load,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29" s="609" t="str">
        <f t="shared" si="85"/>
        <v/>
      </c>
      <c r="W229" s="482"/>
      <c r="X229" s="397" t="str" cm="1">
        <f t="array" ref="X229">IFERROR(IF($D$3="","", _xlfn.XLOOKUP(1,($AR$36:$AR$53=F229)*($AS$36:$AS$53=G229), INDEX($AT$36:$BJ$53,,_xlfn.XMATCH(E229,$AT$35:$BJ$35)))),"")</f>
        <v/>
      </c>
      <c r="Y229" s="480"/>
      <c r="Z229" s="482"/>
      <c r="AA229" s="607" t="str" cm="1">
        <f t="array" ref="AA229">IFERROR(IF($D$3="", "", _xlfn.LET(_xlpm.dia, E229, _xlpm.thk, Z229, _xlpm.temp, I229,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29" s="397" t="str" cm="1">
        <f t="array" ref="AB229">IFERROR(IF($D$3="", "", _xlfn.XLOOKUP(1,($AR$57:$AR$76=Y229)*($AS$57:$AS$76=Z229), INDEX($AT$57:$BJ$76,,_xlfn.XMATCH(E229,$AT$56:$BJ$56)))),"")</f>
        <v/>
      </c>
      <c r="AC229" s="208" t="str">
        <f t="shared" si="75"/>
        <v/>
      </c>
      <c r="AD229" s="397" t="str">
        <f t="shared" si="76"/>
        <v/>
      </c>
      <c r="AE229" s="610" t="str">
        <f t="shared" si="77"/>
        <v/>
      </c>
      <c r="AF229" s="610" t="str">
        <f t="shared" si="78"/>
        <v/>
      </c>
      <c r="AG229" s="610" t="str">
        <f t="shared" si="79"/>
        <v/>
      </c>
      <c r="AH229" s="608" t="str">
        <f t="shared" si="80"/>
        <v/>
      </c>
      <c r="AI229" s="610" t="str">
        <f t="shared" si="81"/>
        <v/>
      </c>
    </row>
    <row r="230" spans="2:35" x14ac:dyDescent="0.25">
      <c r="B230" s="209">
        <v>197</v>
      </c>
      <c r="C230" s="480"/>
      <c r="D230" s="480"/>
      <c r="E230" s="481"/>
      <c r="F230" s="480"/>
      <c r="G230" s="480"/>
      <c r="H230" s="607" t="str">
        <f t="shared" si="66"/>
        <v/>
      </c>
      <c r="I230" s="607" t="str">
        <f t="shared" si="67"/>
        <v/>
      </c>
      <c r="J230" s="607" t="str">
        <f t="shared" si="68"/>
        <v/>
      </c>
      <c r="K230" s="208" t="str">
        <f t="shared" si="69"/>
        <v/>
      </c>
      <c r="L230" s="208" t="str">
        <f t="shared" si="70"/>
        <v/>
      </c>
      <c r="M230" s="208" t="str">
        <f t="shared" si="82"/>
        <v/>
      </c>
      <c r="N230" s="608" t="str">
        <f>IF($D$3="", "", IFERROR(VLOOKUP(L230,'PIPE INCENTIVE'!$B$4:$E$19,2,FALSE),""))</f>
        <v/>
      </c>
      <c r="O230" s="608" t="str">
        <f t="shared" si="83"/>
        <v/>
      </c>
      <c r="P230" s="208" t="str">
        <f t="shared" si="84"/>
        <v/>
      </c>
      <c r="Q230" s="208" t="str">
        <f t="shared" si="71"/>
        <v/>
      </c>
      <c r="R230" s="609" t="str">
        <f t="shared" si="72"/>
        <v/>
      </c>
      <c r="S230" s="609" t="str">
        <f t="shared" si="73"/>
        <v/>
      </c>
      <c r="T230" s="609" t="str">
        <f t="shared" si="74"/>
        <v/>
      </c>
      <c r="U230" s="609" t="str" cm="1">
        <f t="array" ref="U230">IFERROR(IF($D$3="","",_xlfn.LET(_xlpm.Mixed,AND(COUNTIF($G$34:$G$533,"Heating_Hot_Water")&gt;0,(COUNTIF($G$34:$G$533,"Steam_Low_Pressure") + COUNTIF($G$34:$G$533,"Steam_Medium_Pressure") + COUNTIF($G$34:$G$533,"Steam_High_Pressure"))&gt;0),_xlpm.fluid, G230,_xlpm.fuel, K230,_xlpm.load,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0" s="609" t="str">
        <f t="shared" si="85"/>
        <v/>
      </c>
      <c r="W230" s="482"/>
      <c r="X230" s="397" t="str" cm="1">
        <f t="array" ref="X230">IFERROR(IF($D$3="","", _xlfn.XLOOKUP(1,($AR$36:$AR$53=F230)*($AS$36:$AS$53=G230), INDEX($AT$36:$BJ$53,,_xlfn.XMATCH(E230,$AT$35:$BJ$35)))),"")</f>
        <v/>
      </c>
      <c r="Y230" s="480"/>
      <c r="Z230" s="482"/>
      <c r="AA230" s="607" t="str" cm="1">
        <f t="array" ref="AA230">IFERROR(IF($D$3="", "", _xlfn.LET(_xlpm.dia, E230, _xlpm.thk, Z230, _xlpm.temp, I230,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0" s="397" t="str" cm="1">
        <f t="array" ref="AB230">IFERROR(IF($D$3="", "", _xlfn.XLOOKUP(1,($AR$57:$AR$76=Y230)*($AS$57:$AS$76=Z230), INDEX($AT$57:$BJ$76,,_xlfn.XMATCH(E230,$AT$56:$BJ$56)))),"")</f>
        <v/>
      </c>
      <c r="AC230" s="208" t="str">
        <f t="shared" si="75"/>
        <v/>
      </c>
      <c r="AD230" s="397" t="str">
        <f t="shared" si="76"/>
        <v/>
      </c>
      <c r="AE230" s="610" t="str">
        <f t="shared" si="77"/>
        <v/>
      </c>
      <c r="AF230" s="610" t="str">
        <f t="shared" si="78"/>
        <v/>
      </c>
      <c r="AG230" s="610" t="str">
        <f t="shared" si="79"/>
        <v/>
      </c>
      <c r="AH230" s="608" t="str">
        <f t="shared" si="80"/>
        <v/>
      </c>
      <c r="AI230" s="610" t="str">
        <f t="shared" si="81"/>
        <v/>
      </c>
    </row>
    <row r="231" spans="2:35" x14ac:dyDescent="0.25">
      <c r="B231" s="209">
        <v>198</v>
      </c>
      <c r="C231" s="480"/>
      <c r="D231" s="480"/>
      <c r="E231" s="481"/>
      <c r="F231" s="480"/>
      <c r="G231" s="480"/>
      <c r="H231" s="607" t="str">
        <f t="shared" si="66"/>
        <v/>
      </c>
      <c r="I231" s="607" t="str">
        <f t="shared" si="67"/>
        <v/>
      </c>
      <c r="J231" s="607" t="str">
        <f t="shared" si="68"/>
        <v/>
      </c>
      <c r="K231" s="208" t="str">
        <f t="shared" si="69"/>
        <v/>
      </c>
      <c r="L231" s="208" t="str">
        <f t="shared" si="70"/>
        <v/>
      </c>
      <c r="M231" s="208" t="str">
        <f t="shared" si="82"/>
        <v/>
      </c>
      <c r="N231" s="608" t="str">
        <f>IF($D$3="", "", IFERROR(VLOOKUP(L231,'PIPE INCENTIVE'!$B$4:$E$19,2,FALSE),""))</f>
        <v/>
      </c>
      <c r="O231" s="608" t="str">
        <f t="shared" si="83"/>
        <v/>
      </c>
      <c r="P231" s="208" t="str">
        <f t="shared" si="84"/>
        <v/>
      </c>
      <c r="Q231" s="208" t="str">
        <f t="shared" si="71"/>
        <v/>
      </c>
      <c r="R231" s="609" t="str">
        <f t="shared" si="72"/>
        <v/>
      </c>
      <c r="S231" s="609" t="str">
        <f t="shared" si="73"/>
        <v/>
      </c>
      <c r="T231" s="609" t="str">
        <f t="shared" si="74"/>
        <v/>
      </c>
      <c r="U231" s="609" t="str" cm="1">
        <f t="array" ref="U231">IFERROR(IF($D$3="","",_xlfn.LET(_xlpm.Mixed,AND(COUNTIF($G$34:$G$533,"Heating_Hot_Water")&gt;0,(COUNTIF($G$34:$G$533,"Steam_Low_Pressure") + COUNTIF($G$34:$G$533,"Steam_Medium_Pressure") + COUNTIF($G$34:$G$533,"Steam_High_Pressure"))&gt;0),_xlpm.fluid, G231,_xlpm.fuel, K231,_xlpm.load,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1" s="609" t="str">
        <f t="shared" si="85"/>
        <v/>
      </c>
      <c r="W231" s="482"/>
      <c r="X231" s="397" t="str" cm="1">
        <f t="array" ref="X231">IFERROR(IF($D$3="","", _xlfn.XLOOKUP(1,($AR$36:$AR$53=F231)*($AS$36:$AS$53=G231), INDEX($AT$36:$BJ$53,,_xlfn.XMATCH(E231,$AT$35:$BJ$35)))),"")</f>
        <v/>
      </c>
      <c r="Y231" s="480"/>
      <c r="Z231" s="482"/>
      <c r="AA231" s="607" t="str" cm="1">
        <f t="array" ref="AA231">IFERROR(IF($D$3="", "", _xlfn.LET(_xlpm.dia, E231, _xlpm.thk, Z231, _xlpm.temp, I231,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1" s="397" t="str" cm="1">
        <f t="array" ref="AB231">IFERROR(IF($D$3="", "", _xlfn.XLOOKUP(1,($AR$57:$AR$76=Y231)*($AS$57:$AS$76=Z231), INDEX($AT$57:$BJ$76,,_xlfn.XMATCH(E231,$AT$56:$BJ$56)))),"")</f>
        <v/>
      </c>
      <c r="AC231" s="208" t="str">
        <f t="shared" si="75"/>
        <v/>
      </c>
      <c r="AD231" s="397" t="str">
        <f t="shared" si="76"/>
        <v/>
      </c>
      <c r="AE231" s="610" t="str">
        <f t="shared" si="77"/>
        <v/>
      </c>
      <c r="AF231" s="610" t="str">
        <f t="shared" si="78"/>
        <v/>
      </c>
      <c r="AG231" s="610" t="str">
        <f t="shared" si="79"/>
        <v/>
      </c>
      <c r="AH231" s="608" t="str">
        <f t="shared" si="80"/>
        <v/>
      </c>
      <c r="AI231" s="610" t="str">
        <f t="shared" si="81"/>
        <v/>
      </c>
    </row>
    <row r="232" spans="2:35" x14ac:dyDescent="0.25">
      <c r="B232" s="209">
        <v>199</v>
      </c>
      <c r="C232" s="480"/>
      <c r="D232" s="480"/>
      <c r="E232" s="481"/>
      <c r="F232" s="480"/>
      <c r="G232" s="480"/>
      <c r="H232" s="607" t="str">
        <f t="shared" si="66"/>
        <v/>
      </c>
      <c r="I232" s="607" t="str">
        <f t="shared" si="67"/>
        <v/>
      </c>
      <c r="J232" s="607" t="str">
        <f t="shared" si="68"/>
        <v/>
      </c>
      <c r="K232" s="208" t="str">
        <f t="shared" si="69"/>
        <v/>
      </c>
      <c r="L232" s="208" t="str">
        <f t="shared" si="70"/>
        <v/>
      </c>
      <c r="M232" s="208" t="str">
        <f t="shared" si="82"/>
        <v/>
      </c>
      <c r="N232" s="608" t="str">
        <f>IF($D$3="", "", IFERROR(VLOOKUP(L232,'PIPE INCENTIVE'!$B$4:$E$19,2,FALSE),""))</f>
        <v/>
      </c>
      <c r="O232" s="608" t="str">
        <f t="shared" si="83"/>
        <v/>
      </c>
      <c r="P232" s="208" t="str">
        <f t="shared" si="84"/>
        <v/>
      </c>
      <c r="Q232" s="208" t="str">
        <f t="shared" si="71"/>
        <v/>
      </c>
      <c r="R232" s="609" t="str">
        <f t="shared" si="72"/>
        <v/>
      </c>
      <c r="S232" s="609" t="str">
        <f t="shared" si="73"/>
        <v/>
      </c>
      <c r="T232" s="609" t="str">
        <f t="shared" si="74"/>
        <v/>
      </c>
      <c r="U232" s="609" t="str" cm="1">
        <f t="array" ref="U232">IFERROR(IF($D$3="","",_xlfn.LET(_xlpm.Mixed,AND(COUNTIF($G$34:$G$533,"Heating_Hot_Water")&gt;0,(COUNTIF($G$34:$G$533,"Steam_Low_Pressure") + COUNTIF($G$34:$G$533,"Steam_Medium_Pressure") + COUNTIF($G$34:$G$533,"Steam_High_Pressure"))&gt;0),_xlpm.fluid, G232,_xlpm.fuel, K232,_xlpm.load,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2" s="609" t="str">
        <f t="shared" si="85"/>
        <v/>
      </c>
      <c r="W232" s="482"/>
      <c r="X232" s="397" t="str" cm="1">
        <f t="array" ref="X232">IFERROR(IF($D$3="","", _xlfn.XLOOKUP(1,($AR$36:$AR$53=F232)*($AS$36:$AS$53=G232), INDEX($AT$36:$BJ$53,,_xlfn.XMATCH(E232,$AT$35:$BJ$35)))),"")</f>
        <v/>
      </c>
      <c r="Y232" s="480"/>
      <c r="Z232" s="482"/>
      <c r="AA232" s="607" t="str" cm="1">
        <f t="array" ref="AA232">IFERROR(IF($D$3="", "", _xlfn.LET(_xlpm.dia, E232, _xlpm.thk, Z232, _xlpm.temp, I232,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2" s="397" t="str" cm="1">
        <f t="array" ref="AB232">IFERROR(IF($D$3="", "", _xlfn.XLOOKUP(1,($AR$57:$AR$76=Y232)*($AS$57:$AS$76=Z232), INDEX($AT$57:$BJ$76,,_xlfn.XMATCH(E232,$AT$56:$BJ$56)))),"")</f>
        <v/>
      </c>
      <c r="AC232" s="208" t="str">
        <f t="shared" si="75"/>
        <v/>
      </c>
      <c r="AD232" s="397" t="str">
        <f t="shared" si="76"/>
        <v/>
      </c>
      <c r="AE232" s="610" t="str">
        <f t="shared" si="77"/>
        <v/>
      </c>
      <c r="AF232" s="610" t="str">
        <f t="shared" si="78"/>
        <v/>
      </c>
      <c r="AG232" s="610" t="str">
        <f t="shared" si="79"/>
        <v/>
      </c>
      <c r="AH232" s="608" t="str">
        <f t="shared" si="80"/>
        <v/>
      </c>
      <c r="AI232" s="610" t="str">
        <f t="shared" si="81"/>
        <v/>
      </c>
    </row>
    <row r="233" spans="2:35" x14ac:dyDescent="0.25">
      <c r="B233" s="209">
        <v>200</v>
      </c>
      <c r="C233" s="480"/>
      <c r="D233" s="480"/>
      <c r="E233" s="481"/>
      <c r="F233" s="480"/>
      <c r="G233" s="480"/>
      <c r="H233" s="607" t="str">
        <f t="shared" si="66"/>
        <v/>
      </c>
      <c r="I233" s="607" t="str">
        <f t="shared" si="67"/>
        <v/>
      </c>
      <c r="J233" s="607" t="str">
        <f t="shared" si="68"/>
        <v/>
      </c>
      <c r="K233" s="208" t="str">
        <f t="shared" si="69"/>
        <v/>
      </c>
      <c r="L233" s="208" t="str">
        <f t="shared" si="70"/>
        <v/>
      </c>
      <c r="M233" s="208" t="str">
        <f t="shared" si="82"/>
        <v/>
      </c>
      <c r="N233" s="608" t="str">
        <f>IF($D$3="", "", IFERROR(VLOOKUP(L233,'PIPE INCENTIVE'!$B$4:$E$19,2,FALSE),""))</f>
        <v/>
      </c>
      <c r="O233" s="608" t="str">
        <f t="shared" si="83"/>
        <v/>
      </c>
      <c r="P233" s="208" t="str">
        <f t="shared" si="84"/>
        <v/>
      </c>
      <c r="Q233" s="208" t="str">
        <f t="shared" si="71"/>
        <v/>
      </c>
      <c r="R233" s="609" t="str">
        <f t="shared" si="72"/>
        <v/>
      </c>
      <c r="S233" s="609" t="str">
        <f t="shared" si="73"/>
        <v/>
      </c>
      <c r="T233" s="609" t="str">
        <f t="shared" si="74"/>
        <v/>
      </c>
      <c r="U233" s="609" t="str" cm="1">
        <f t="array" ref="U233">IFERROR(IF($D$3="","",_xlfn.LET(_xlpm.Mixed,AND(COUNTIF($G$34:$G$533,"Heating_Hot_Water")&gt;0,(COUNTIF($G$34:$G$533,"Steam_Low_Pressure") + COUNTIF($G$34:$G$533,"Steam_Medium_Pressure") + COUNTIF($G$34:$G$533,"Steam_High_Pressure"))&gt;0),_xlpm.fluid, G233,_xlpm.fuel, K233,_xlpm.load,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3" s="609" t="str">
        <f t="shared" si="85"/>
        <v/>
      </c>
      <c r="W233" s="482"/>
      <c r="X233" s="397" t="str" cm="1">
        <f t="array" ref="X233">IFERROR(IF($D$3="","", _xlfn.XLOOKUP(1,($AR$36:$AR$53=F233)*($AS$36:$AS$53=G233), INDEX($AT$36:$BJ$53,,_xlfn.XMATCH(E233,$AT$35:$BJ$35)))),"")</f>
        <v/>
      </c>
      <c r="Y233" s="480"/>
      <c r="Z233" s="482"/>
      <c r="AA233" s="607" t="str" cm="1">
        <f t="array" ref="AA233">IFERROR(IF($D$3="", "", _xlfn.LET(_xlpm.dia, E233, _xlpm.thk, Z233, _xlpm.temp, I233,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3" s="397" t="str" cm="1">
        <f t="array" ref="AB233">IFERROR(IF($D$3="", "", _xlfn.XLOOKUP(1,($AR$57:$AR$76=Y233)*($AS$57:$AS$76=Z233), INDEX($AT$57:$BJ$76,,_xlfn.XMATCH(E233,$AT$56:$BJ$56)))),"")</f>
        <v/>
      </c>
      <c r="AC233" s="208" t="str">
        <f t="shared" si="75"/>
        <v/>
      </c>
      <c r="AD233" s="397" t="str">
        <f t="shared" si="76"/>
        <v/>
      </c>
      <c r="AE233" s="610" t="str">
        <f t="shared" si="77"/>
        <v/>
      </c>
      <c r="AF233" s="610" t="str">
        <f t="shared" si="78"/>
        <v/>
      </c>
      <c r="AG233" s="610" t="str">
        <f t="shared" si="79"/>
        <v/>
      </c>
      <c r="AH233" s="608" t="str">
        <f t="shared" si="80"/>
        <v/>
      </c>
      <c r="AI233" s="610" t="str">
        <f t="shared" si="81"/>
        <v/>
      </c>
    </row>
    <row r="234" spans="2:35" x14ac:dyDescent="0.25">
      <c r="B234" s="209">
        <v>201</v>
      </c>
      <c r="C234" s="480"/>
      <c r="D234" s="480"/>
      <c r="E234" s="481"/>
      <c r="F234" s="480"/>
      <c r="G234" s="480"/>
      <c r="H234" s="607" t="str">
        <f t="shared" si="66"/>
        <v/>
      </c>
      <c r="I234" s="607" t="str">
        <f t="shared" si="67"/>
        <v/>
      </c>
      <c r="J234" s="607" t="str">
        <f t="shared" si="68"/>
        <v/>
      </c>
      <c r="K234" s="208" t="str">
        <f t="shared" si="69"/>
        <v/>
      </c>
      <c r="L234" s="208" t="str">
        <f t="shared" si="70"/>
        <v/>
      </c>
      <c r="M234" s="208" t="str">
        <f t="shared" si="82"/>
        <v/>
      </c>
      <c r="N234" s="608" t="str">
        <f>IF($D$3="", "", IFERROR(VLOOKUP(L234,'PIPE INCENTIVE'!$B$4:$E$19,2,FALSE),""))</f>
        <v/>
      </c>
      <c r="O234" s="608" t="str">
        <f t="shared" si="83"/>
        <v/>
      </c>
      <c r="P234" s="208" t="str">
        <f t="shared" si="84"/>
        <v/>
      </c>
      <c r="Q234" s="208" t="str">
        <f t="shared" si="71"/>
        <v/>
      </c>
      <c r="R234" s="609" t="str">
        <f t="shared" si="72"/>
        <v/>
      </c>
      <c r="S234" s="609" t="str">
        <f t="shared" si="73"/>
        <v/>
      </c>
      <c r="T234" s="609" t="str">
        <f t="shared" si="74"/>
        <v/>
      </c>
      <c r="U234" s="609" t="str" cm="1">
        <f t="array" ref="U234">IFERROR(IF($D$3="","",_xlfn.LET(_xlpm.Mixed,AND(COUNTIF($G$34:$G$533,"Heating_Hot_Water")&gt;0,(COUNTIF($G$34:$G$533,"Steam_Low_Pressure") + COUNTIF($G$34:$G$533,"Steam_Medium_Pressure") + COUNTIF($G$34:$G$533,"Steam_High_Pressure"))&gt;0),_xlpm.fluid, G234,_xlpm.fuel, K234,_xlpm.load,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4" s="609" t="str">
        <f t="shared" si="85"/>
        <v/>
      </c>
      <c r="W234" s="482"/>
      <c r="X234" s="397" t="str" cm="1">
        <f t="array" ref="X234">IFERROR(IF($D$3="","", _xlfn.XLOOKUP(1,($AR$36:$AR$53=F234)*($AS$36:$AS$53=G234), INDEX($AT$36:$BJ$53,,_xlfn.XMATCH(E234,$AT$35:$BJ$35)))),"")</f>
        <v/>
      </c>
      <c r="Y234" s="480"/>
      <c r="Z234" s="482"/>
      <c r="AA234" s="607" t="str" cm="1">
        <f t="array" ref="AA234">IFERROR(IF($D$3="", "", _xlfn.LET(_xlpm.dia, E234, _xlpm.thk, Z234, _xlpm.temp, I234,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4" s="397" t="str" cm="1">
        <f t="array" ref="AB234">IFERROR(IF($D$3="", "", _xlfn.XLOOKUP(1,($AR$57:$AR$76=Y234)*($AS$57:$AS$76=Z234), INDEX($AT$57:$BJ$76,,_xlfn.XMATCH(E234,$AT$56:$BJ$56)))),"")</f>
        <v/>
      </c>
      <c r="AC234" s="208" t="str">
        <f t="shared" si="75"/>
        <v/>
      </c>
      <c r="AD234" s="397" t="str">
        <f t="shared" si="76"/>
        <v/>
      </c>
      <c r="AE234" s="610" t="str">
        <f t="shared" si="77"/>
        <v/>
      </c>
      <c r="AF234" s="610" t="str">
        <f t="shared" si="78"/>
        <v/>
      </c>
      <c r="AG234" s="610" t="str">
        <f t="shared" si="79"/>
        <v/>
      </c>
      <c r="AH234" s="608" t="str">
        <f t="shared" si="80"/>
        <v/>
      </c>
      <c r="AI234" s="610" t="str">
        <f t="shared" si="81"/>
        <v/>
      </c>
    </row>
    <row r="235" spans="2:35" x14ac:dyDescent="0.25">
      <c r="B235" s="209">
        <v>202</v>
      </c>
      <c r="C235" s="480"/>
      <c r="D235" s="480"/>
      <c r="E235" s="481"/>
      <c r="F235" s="480"/>
      <c r="G235" s="480"/>
      <c r="H235" s="607" t="str">
        <f t="shared" si="66"/>
        <v/>
      </c>
      <c r="I235" s="607" t="str">
        <f t="shared" si="67"/>
        <v/>
      </c>
      <c r="J235" s="607" t="str">
        <f t="shared" si="68"/>
        <v/>
      </c>
      <c r="K235" s="208" t="str">
        <f t="shared" si="69"/>
        <v/>
      </c>
      <c r="L235" s="208" t="str">
        <f t="shared" si="70"/>
        <v/>
      </c>
      <c r="M235" s="208" t="str">
        <f t="shared" si="82"/>
        <v/>
      </c>
      <c r="N235" s="608" t="str">
        <f>IF($D$3="", "", IFERROR(VLOOKUP(L235,'PIPE INCENTIVE'!$B$4:$E$19,2,FALSE),""))</f>
        <v/>
      </c>
      <c r="O235" s="608" t="str">
        <f t="shared" si="83"/>
        <v/>
      </c>
      <c r="P235" s="208" t="str">
        <f t="shared" si="84"/>
        <v/>
      </c>
      <c r="Q235" s="208" t="str">
        <f t="shared" si="71"/>
        <v/>
      </c>
      <c r="R235" s="609" t="str">
        <f t="shared" si="72"/>
        <v/>
      </c>
      <c r="S235" s="609" t="str">
        <f t="shared" si="73"/>
        <v/>
      </c>
      <c r="T235" s="609" t="str">
        <f t="shared" si="74"/>
        <v/>
      </c>
      <c r="U235" s="609" t="str" cm="1">
        <f t="array" ref="U235">IFERROR(IF($D$3="","",_xlfn.LET(_xlpm.Mixed,AND(COUNTIF($G$34:$G$533,"Heating_Hot_Water")&gt;0,(COUNTIF($G$34:$G$533,"Steam_Low_Pressure") + COUNTIF($G$34:$G$533,"Steam_Medium_Pressure") + COUNTIF($G$34:$G$533,"Steam_High_Pressure"))&gt;0),_xlpm.fluid, G235,_xlpm.fuel, K235,_xlpm.load,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5" s="609" t="str">
        <f t="shared" si="85"/>
        <v/>
      </c>
      <c r="W235" s="482"/>
      <c r="X235" s="397" t="str" cm="1">
        <f t="array" ref="X235">IFERROR(IF($D$3="","", _xlfn.XLOOKUP(1,($AR$36:$AR$53=F235)*($AS$36:$AS$53=G235), INDEX($AT$36:$BJ$53,,_xlfn.XMATCH(E235,$AT$35:$BJ$35)))),"")</f>
        <v/>
      </c>
      <c r="Y235" s="480"/>
      <c r="Z235" s="482"/>
      <c r="AA235" s="607" t="str" cm="1">
        <f t="array" ref="AA235">IFERROR(IF($D$3="", "", _xlfn.LET(_xlpm.dia, E235, _xlpm.thk, Z235, _xlpm.temp, I235,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5" s="397" t="str" cm="1">
        <f t="array" ref="AB235">IFERROR(IF($D$3="", "", _xlfn.XLOOKUP(1,($AR$57:$AR$76=Y235)*($AS$57:$AS$76=Z235), INDEX($AT$57:$BJ$76,,_xlfn.XMATCH(E235,$AT$56:$BJ$56)))),"")</f>
        <v/>
      </c>
      <c r="AC235" s="208" t="str">
        <f t="shared" si="75"/>
        <v/>
      </c>
      <c r="AD235" s="397" t="str">
        <f t="shared" si="76"/>
        <v/>
      </c>
      <c r="AE235" s="610" t="str">
        <f t="shared" si="77"/>
        <v/>
      </c>
      <c r="AF235" s="610" t="str">
        <f t="shared" si="78"/>
        <v/>
      </c>
      <c r="AG235" s="610" t="str">
        <f t="shared" si="79"/>
        <v/>
      </c>
      <c r="AH235" s="608" t="str">
        <f t="shared" si="80"/>
        <v/>
      </c>
      <c r="AI235" s="610" t="str">
        <f t="shared" si="81"/>
        <v/>
      </c>
    </row>
    <row r="236" spans="2:35" x14ac:dyDescent="0.25">
      <c r="B236" s="209">
        <v>203</v>
      </c>
      <c r="C236" s="480"/>
      <c r="D236" s="480"/>
      <c r="E236" s="481"/>
      <c r="F236" s="480"/>
      <c r="G236" s="480"/>
      <c r="H236" s="607" t="str">
        <f t="shared" si="66"/>
        <v/>
      </c>
      <c r="I236" s="607" t="str">
        <f t="shared" si="67"/>
        <v/>
      </c>
      <c r="J236" s="607" t="str">
        <f t="shared" si="68"/>
        <v/>
      </c>
      <c r="K236" s="208" t="str">
        <f t="shared" si="69"/>
        <v/>
      </c>
      <c r="L236" s="208" t="str">
        <f t="shared" si="70"/>
        <v/>
      </c>
      <c r="M236" s="208" t="str">
        <f t="shared" si="82"/>
        <v/>
      </c>
      <c r="N236" s="608" t="str">
        <f>IF($D$3="", "", IFERROR(VLOOKUP(L236,'PIPE INCENTIVE'!$B$4:$E$19,2,FALSE),""))</f>
        <v/>
      </c>
      <c r="O236" s="608" t="str">
        <f t="shared" si="83"/>
        <v/>
      </c>
      <c r="P236" s="208" t="str">
        <f t="shared" si="84"/>
        <v/>
      </c>
      <c r="Q236" s="208" t="str">
        <f t="shared" si="71"/>
        <v/>
      </c>
      <c r="R236" s="609" t="str">
        <f t="shared" si="72"/>
        <v/>
      </c>
      <c r="S236" s="609" t="str">
        <f t="shared" si="73"/>
        <v/>
      </c>
      <c r="T236" s="609" t="str">
        <f t="shared" si="74"/>
        <v/>
      </c>
      <c r="U236" s="609" t="str" cm="1">
        <f t="array" ref="U236">IFERROR(IF($D$3="","",_xlfn.LET(_xlpm.Mixed,AND(COUNTIF($G$34:$G$533,"Heating_Hot_Water")&gt;0,(COUNTIF($G$34:$G$533,"Steam_Low_Pressure") + COUNTIF($G$34:$G$533,"Steam_Medium_Pressure") + COUNTIF($G$34:$G$533,"Steam_High_Pressure"))&gt;0),_xlpm.fluid, G236,_xlpm.fuel, K236,_xlpm.load,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6" s="609" t="str">
        <f t="shared" si="85"/>
        <v/>
      </c>
      <c r="W236" s="482"/>
      <c r="X236" s="397" t="str" cm="1">
        <f t="array" ref="X236">IFERROR(IF($D$3="","", _xlfn.XLOOKUP(1,($AR$36:$AR$53=F236)*($AS$36:$AS$53=G236), INDEX($AT$36:$BJ$53,,_xlfn.XMATCH(E236,$AT$35:$BJ$35)))),"")</f>
        <v/>
      </c>
      <c r="Y236" s="480"/>
      <c r="Z236" s="482"/>
      <c r="AA236" s="607" t="str" cm="1">
        <f t="array" ref="AA236">IFERROR(IF($D$3="", "", _xlfn.LET(_xlpm.dia, E236, _xlpm.thk, Z236, _xlpm.temp, I236,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6" s="397" t="str" cm="1">
        <f t="array" ref="AB236">IFERROR(IF($D$3="", "", _xlfn.XLOOKUP(1,($AR$57:$AR$76=Y236)*($AS$57:$AS$76=Z236), INDEX($AT$57:$BJ$76,,_xlfn.XMATCH(E236,$AT$56:$BJ$56)))),"")</f>
        <v/>
      </c>
      <c r="AC236" s="208" t="str">
        <f t="shared" si="75"/>
        <v/>
      </c>
      <c r="AD236" s="397" t="str">
        <f t="shared" si="76"/>
        <v/>
      </c>
      <c r="AE236" s="610" t="str">
        <f t="shared" si="77"/>
        <v/>
      </c>
      <c r="AF236" s="610" t="str">
        <f t="shared" si="78"/>
        <v/>
      </c>
      <c r="AG236" s="610" t="str">
        <f t="shared" si="79"/>
        <v/>
      </c>
      <c r="AH236" s="608" t="str">
        <f t="shared" si="80"/>
        <v/>
      </c>
      <c r="AI236" s="610" t="str">
        <f t="shared" si="81"/>
        <v/>
      </c>
    </row>
    <row r="237" spans="2:35" x14ac:dyDescent="0.25">
      <c r="B237" s="209">
        <v>204</v>
      </c>
      <c r="C237" s="480"/>
      <c r="D237" s="480"/>
      <c r="E237" s="481"/>
      <c r="F237" s="480"/>
      <c r="G237" s="480"/>
      <c r="H237" s="607" t="str">
        <f t="shared" si="66"/>
        <v/>
      </c>
      <c r="I237" s="607" t="str">
        <f t="shared" si="67"/>
        <v/>
      </c>
      <c r="J237" s="607" t="str">
        <f t="shared" si="68"/>
        <v/>
      </c>
      <c r="K237" s="208" t="str">
        <f t="shared" si="69"/>
        <v/>
      </c>
      <c r="L237" s="208" t="str">
        <f t="shared" si="70"/>
        <v/>
      </c>
      <c r="M237" s="208" t="str">
        <f t="shared" si="82"/>
        <v/>
      </c>
      <c r="N237" s="608" t="str">
        <f>IF($D$3="", "", IFERROR(VLOOKUP(L237,'PIPE INCENTIVE'!$B$4:$E$19,2,FALSE),""))</f>
        <v/>
      </c>
      <c r="O237" s="608" t="str">
        <f t="shared" si="83"/>
        <v/>
      </c>
      <c r="P237" s="208" t="str">
        <f t="shared" si="84"/>
        <v/>
      </c>
      <c r="Q237" s="208" t="str">
        <f t="shared" si="71"/>
        <v/>
      </c>
      <c r="R237" s="609" t="str">
        <f t="shared" si="72"/>
        <v/>
      </c>
      <c r="S237" s="609" t="str">
        <f t="shared" si="73"/>
        <v/>
      </c>
      <c r="T237" s="609" t="str">
        <f t="shared" si="74"/>
        <v/>
      </c>
      <c r="U237" s="609" t="str" cm="1">
        <f t="array" ref="U237">IFERROR(IF($D$3="","",_xlfn.LET(_xlpm.Mixed,AND(COUNTIF($G$34:$G$533,"Heating_Hot_Water")&gt;0,(COUNTIF($G$34:$G$533,"Steam_Low_Pressure") + COUNTIF($G$34:$G$533,"Steam_Medium_Pressure") + COUNTIF($G$34:$G$533,"Steam_High_Pressure"))&gt;0),_xlpm.fluid, G237,_xlpm.fuel, K237,_xlpm.load,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7" s="609" t="str">
        <f t="shared" si="85"/>
        <v/>
      </c>
      <c r="W237" s="482"/>
      <c r="X237" s="397" t="str" cm="1">
        <f t="array" ref="X237">IFERROR(IF($D$3="","", _xlfn.XLOOKUP(1,($AR$36:$AR$53=F237)*($AS$36:$AS$53=G237), INDEX($AT$36:$BJ$53,,_xlfn.XMATCH(E237,$AT$35:$BJ$35)))),"")</f>
        <v/>
      </c>
      <c r="Y237" s="480"/>
      <c r="Z237" s="482"/>
      <c r="AA237" s="607" t="str" cm="1">
        <f t="array" ref="AA237">IFERROR(IF($D$3="", "", _xlfn.LET(_xlpm.dia, E237, _xlpm.thk, Z237, _xlpm.temp, I237,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7" s="397" t="str" cm="1">
        <f t="array" ref="AB237">IFERROR(IF($D$3="", "", _xlfn.XLOOKUP(1,($AR$57:$AR$76=Y237)*($AS$57:$AS$76=Z237), INDEX($AT$57:$BJ$76,,_xlfn.XMATCH(E237,$AT$56:$BJ$56)))),"")</f>
        <v/>
      </c>
      <c r="AC237" s="208" t="str">
        <f t="shared" si="75"/>
        <v/>
      </c>
      <c r="AD237" s="397" t="str">
        <f t="shared" si="76"/>
        <v/>
      </c>
      <c r="AE237" s="610" t="str">
        <f t="shared" si="77"/>
        <v/>
      </c>
      <c r="AF237" s="610" t="str">
        <f t="shared" si="78"/>
        <v/>
      </c>
      <c r="AG237" s="610" t="str">
        <f t="shared" si="79"/>
        <v/>
      </c>
      <c r="AH237" s="608" t="str">
        <f t="shared" si="80"/>
        <v/>
      </c>
      <c r="AI237" s="610" t="str">
        <f t="shared" si="81"/>
        <v/>
      </c>
    </row>
    <row r="238" spans="2:35" x14ac:dyDescent="0.25">
      <c r="B238" s="209">
        <v>205</v>
      </c>
      <c r="C238" s="480"/>
      <c r="D238" s="480"/>
      <c r="E238" s="481"/>
      <c r="F238" s="480"/>
      <c r="G238" s="480"/>
      <c r="H238" s="607" t="str">
        <f t="shared" si="66"/>
        <v/>
      </c>
      <c r="I238" s="607" t="str">
        <f t="shared" si="67"/>
        <v/>
      </c>
      <c r="J238" s="607" t="str">
        <f t="shared" si="68"/>
        <v/>
      </c>
      <c r="K238" s="208" t="str">
        <f t="shared" si="69"/>
        <v/>
      </c>
      <c r="L238" s="208" t="str">
        <f t="shared" si="70"/>
        <v/>
      </c>
      <c r="M238" s="208" t="str">
        <f t="shared" si="82"/>
        <v/>
      </c>
      <c r="N238" s="608" t="str">
        <f>IF($D$3="", "", IFERROR(VLOOKUP(L238,'PIPE INCENTIVE'!$B$4:$E$19,2,FALSE),""))</f>
        <v/>
      </c>
      <c r="O238" s="608" t="str">
        <f t="shared" si="83"/>
        <v/>
      </c>
      <c r="P238" s="208" t="str">
        <f t="shared" si="84"/>
        <v/>
      </c>
      <c r="Q238" s="208" t="str">
        <f t="shared" si="71"/>
        <v/>
      </c>
      <c r="R238" s="609" t="str">
        <f t="shared" si="72"/>
        <v/>
      </c>
      <c r="S238" s="609" t="str">
        <f t="shared" si="73"/>
        <v/>
      </c>
      <c r="T238" s="609" t="str">
        <f t="shared" si="74"/>
        <v/>
      </c>
      <c r="U238" s="609" t="str" cm="1">
        <f t="array" ref="U238">IFERROR(IF($D$3="","",_xlfn.LET(_xlpm.Mixed,AND(COUNTIF($G$34:$G$533,"Heating_Hot_Water")&gt;0,(COUNTIF($G$34:$G$533,"Steam_Low_Pressure") + COUNTIF($G$34:$G$533,"Steam_Medium_Pressure") + COUNTIF($G$34:$G$533,"Steam_High_Pressure"))&gt;0),_xlpm.fluid, G238,_xlpm.fuel, K238,_xlpm.load,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8" s="609" t="str">
        <f t="shared" si="85"/>
        <v/>
      </c>
      <c r="W238" s="482"/>
      <c r="X238" s="397" t="str" cm="1">
        <f t="array" ref="X238">IFERROR(IF($D$3="","", _xlfn.XLOOKUP(1,($AR$36:$AR$53=F238)*($AS$36:$AS$53=G238), INDEX($AT$36:$BJ$53,,_xlfn.XMATCH(E238,$AT$35:$BJ$35)))),"")</f>
        <v/>
      </c>
      <c r="Y238" s="480"/>
      <c r="Z238" s="482"/>
      <c r="AA238" s="607" t="str" cm="1">
        <f t="array" ref="AA238">IFERROR(IF($D$3="", "", _xlfn.LET(_xlpm.dia, E238, _xlpm.thk, Z238, _xlpm.temp, I238,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8" s="397" t="str" cm="1">
        <f t="array" ref="AB238">IFERROR(IF($D$3="", "", _xlfn.XLOOKUP(1,($AR$57:$AR$76=Y238)*($AS$57:$AS$76=Z238), INDEX($AT$57:$BJ$76,,_xlfn.XMATCH(E238,$AT$56:$BJ$56)))),"")</f>
        <v/>
      </c>
      <c r="AC238" s="208" t="str">
        <f t="shared" si="75"/>
        <v/>
      </c>
      <c r="AD238" s="397" t="str">
        <f t="shared" si="76"/>
        <v/>
      </c>
      <c r="AE238" s="610" t="str">
        <f t="shared" si="77"/>
        <v/>
      </c>
      <c r="AF238" s="610" t="str">
        <f t="shared" si="78"/>
        <v/>
      </c>
      <c r="AG238" s="610" t="str">
        <f t="shared" si="79"/>
        <v/>
      </c>
      <c r="AH238" s="608" t="str">
        <f t="shared" si="80"/>
        <v/>
      </c>
      <c r="AI238" s="610" t="str">
        <f t="shared" si="81"/>
        <v/>
      </c>
    </row>
    <row r="239" spans="2:35" x14ac:dyDescent="0.25">
      <c r="B239" s="209">
        <v>206</v>
      </c>
      <c r="C239" s="480"/>
      <c r="D239" s="480"/>
      <c r="E239" s="481"/>
      <c r="F239" s="480"/>
      <c r="G239" s="480"/>
      <c r="H239" s="607" t="str">
        <f t="shared" si="66"/>
        <v/>
      </c>
      <c r="I239" s="607" t="str">
        <f t="shared" si="67"/>
        <v/>
      </c>
      <c r="J239" s="607" t="str">
        <f t="shared" si="68"/>
        <v/>
      </c>
      <c r="K239" s="208" t="str">
        <f t="shared" si="69"/>
        <v/>
      </c>
      <c r="L239" s="208" t="str">
        <f t="shared" si="70"/>
        <v/>
      </c>
      <c r="M239" s="208" t="str">
        <f t="shared" si="82"/>
        <v/>
      </c>
      <c r="N239" s="608" t="str">
        <f>IF($D$3="", "", IFERROR(VLOOKUP(L239,'PIPE INCENTIVE'!$B$4:$E$19,2,FALSE),""))</f>
        <v/>
      </c>
      <c r="O239" s="608" t="str">
        <f t="shared" si="83"/>
        <v/>
      </c>
      <c r="P239" s="208" t="str">
        <f t="shared" si="84"/>
        <v/>
      </c>
      <c r="Q239" s="208" t="str">
        <f t="shared" si="71"/>
        <v/>
      </c>
      <c r="R239" s="609" t="str">
        <f t="shared" si="72"/>
        <v/>
      </c>
      <c r="S239" s="609" t="str">
        <f t="shared" si="73"/>
        <v/>
      </c>
      <c r="T239" s="609" t="str">
        <f t="shared" si="74"/>
        <v/>
      </c>
      <c r="U239" s="609" t="str" cm="1">
        <f t="array" ref="U239">IFERROR(IF($D$3="","",_xlfn.LET(_xlpm.Mixed,AND(COUNTIF($G$34:$G$533,"Heating_Hot_Water")&gt;0,(COUNTIF($G$34:$G$533,"Steam_Low_Pressure") + COUNTIF($G$34:$G$533,"Steam_Medium_Pressure") + COUNTIF($G$34:$G$533,"Steam_High_Pressure"))&gt;0),_xlpm.fluid, G239,_xlpm.fuel, K239,_xlpm.load,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39" s="609" t="str">
        <f t="shared" si="85"/>
        <v/>
      </c>
      <c r="W239" s="482"/>
      <c r="X239" s="397" t="str" cm="1">
        <f t="array" ref="X239">IFERROR(IF($D$3="","", _xlfn.XLOOKUP(1,($AR$36:$AR$53=F239)*($AS$36:$AS$53=G239), INDEX($AT$36:$BJ$53,,_xlfn.XMATCH(E239,$AT$35:$BJ$35)))),"")</f>
        <v/>
      </c>
      <c r="Y239" s="480"/>
      <c r="Z239" s="482"/>
      <c r="AA239" s="607" t="str" cm="1">
        <f t="array" ref="AA239">IFERROR(IF($D$3="", "", _xlfn.LET(_xlpm.dia, E239, _xlpm.thk, Z239, _xlpm.temp, I239,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39" s="397" t="str" cm="1">
        <f t="array" ref="AB239">IFERROR(IF($D$3="", "", _xlfn.XLOOKUP(1,($AR$57:$AR$76=Y239)*($AS$57:$AS$76=Z239), INDEX($AT$57:$BJ$76,,_xlfn.XMATCH(E239,$AT$56:$BJ$56)))),"")</f>
        <v/>
      </c>
      <c r="AC239" s="208" t="str">
        <f t="shared" si="75"/>
        <v/>
      </c>
      <c r="AD239" s="397" t="str">
        <f t="shared" si="76"/>
        <v/>
      </c>
      <c r="AE239" s="610" t="str">
        <f t="shared" si="77"/>
        <v/>
      </c>
      <c r="AF239" s="610" t="str">
        <f t="shared" si="78"/>
        <v/>
      </c>
      <c r="AG239" s="610" t="str">
        <f t="shared" si="79"/>
        <v/>
      </c>
      <c r="AH239" s="608" t="str">
        <f t="shared" si="80"/>
        <v/>
      </c>
      <c r="AI239" s="610" t="str">
        <f t="shared" si="81"/>
        <v/>
      </c>
    </row>
    <row r="240" spans="2:35" x14ac:dyDescent="0.25">
      <c r="B240" s="209">
        <v>207</v>
      </c>
      <c r="C240" s="480"/>
      <c r="D240" s="480"/>
      <c r="E240" s="481"/>
      <c r="F240" s="480"/>
      <c r="G240" s="480"/>
      <c r="H240" s="607" t="str">
        <f t="shared" si="66"/>
        <v/>
      </c>
      <c r="I240" s="607" t="str">
        <f t="shared" si="67"/>
        <v/>
      </c>
      <c r="J240" s="607" t="str">
        <f t="shared" si="68"/>
        <v/>
      </c>
      <c r="K240" s="208" t="str">
        <f t="shared" si="69"/>
        <v/>
      </c>
      <c r="L240" s="208" t="str">
        <f t="shared" si="70"/>
        <v/>
      </c>
      <c r="M240" s="208" t="str">
        <f t="shared" si="82"/>
        <v/>
      </c>
      <c r="N240" s="608" t="str">
        <f>IF($D$3="", "", IFERROR(VLOOKUP(L240,'PIPE INCENTIVE'!$B$4:$E$19,2,FALSE),""))</f>
        <v/>
      </c>
      <c r="O240" s="608" t="str">
        <f t="shared" si="83"/>
        <v/>
      </c>
      <c r="P240" s="208" t="str">
        <f t="shared" si="84"/>
        <v/>
      </c>
      <c r="Q240" s="208" t="str">
        <f t="shared" si="71"/>
        <v/>
      </c>
      <c r="R240" s="609" t="str">
        <f t="shared" si="72"/>
        <v/>
      </c>
      <c r="S240" s="609" t="str">
        <f t="shared" si="73"/>
        <v/>
      </c>
      <c r="T240" s="609" t="str">
        <f t="shared" si="74"/>
        <v/>
      </c>
      <c r="U240" s="609" t="str" cm="1">
        <f t="array" ref="U240">IFERROR(IF($D$3="","",_xlfn.LET(_xlpm.Mixed,AND(COUNTIF($G$34:$G$533,"Heating_Hot_Water")&gt;0,(COUNTIF($G$34:$G$533,"Steam_Low_Pressure") + COUNTIF($G$34:$G$533,"Steam_Medium_Pressure") + COUNTIF($G$34:$G$533,"Steam_High_Pressure"))&gt;0),_xlpm.fluid, G240,_xlpm.fuel, K240,_xlpm.load,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0" s="609" t="str">
        <f t="shared" si="85"/>
        <v/>
      </c>
      <c r="W240" s="482"/>
      <c r="X240" s="397" t="str" cm="1">
        <f t="array" ref="X240">IFERROR(IF($D$3="","", _xlfn.XLOOKUP(1,($AR$36:$AR$53=F240)*($AS$36:$AS$53=G240), INDEX($AT$36:$BJ$53,,_xlfn.XMATCH(E240,$AT$35:$BJ$35)))),"")</f>
        <v/>
      </c>
      <c r="Y240" s="480"/>
      <c r="Z240" s="482"/>
      <c r="AA240" s="607" t="str" cm="1">
        <f t="array" ref="AA240">IFERROR(IF($D$3="", "", _xlfn.LET(_xlpm.dia, E240, _xlpm.thk, Z240, _xlpm.temp, I240,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0" s="397" t="str" cm="1">
        <f t="array" ref="AB240">IFERROR(IF($D$3="", "", _xlfn.XLOOKUP(1,($AR$57:$AR$76=Y240)*($AS$57:$AS$76=Z240), INDEX($AT$57:$BJ$76,,_xlfn.XMATCH(E240,$AT$56:$BJ$56)))),"")</f>
        <v/>
      </c>
      <c r="AC240" s="208" t="str">
        <f t="shared" si="75"/>
        <v/>
      </c>
      <c r="AD240" s="397" t="str">
        <f t="shared" si="76"/>
        <v/>
      </c>
      <c r="AE240" s="610" t="str">
        <f t="shared" si="77"/>
        <v/>
      </c>
      <c r="AF240" s="610" t="str">
        <f t="shared" si="78"/>
        <v/>
      </c>
      <c r="AG240" s="610" t="str">
        <f t="shared" si="79"/>
        <v/>
      </c>
      <c r="AH240" s="608" t="str">
        <f t="shared" si="80"/>
        <v/>
      </c>
      <c r="AI240" s="610" t="str">
        <f t="shared" si="81"/>
        <v/>
      </c>
    </row>
    <row r="241" spans="2:35" x14ac:dyDescent="0.25">
      <c r="B241" s="209">
        <v>208</v>
      </c>
      <c r="C241" s="480"/>
      <c r="D241" s="480"/>
      <c r="E241" s="481"/>
      <c r="F241" s="480"/>
      <c r="G241" s="480"/>
      <c r="H241" s="607" t="str">
        <f t="shared" si="66"/>
        <v/>
      </c>
      <c r="I241" s="607" t="str">
        <f t="shared" si="67"/>
        <v/>
      </c>
      <c r="J241" s="607" t="str">
        <f t="shared" si="68"/>
        <v/>
      </c>
      <c r="K241" s="208" t="str">
        <f t="shared" si="69"/>
        <v/>
      </c>
      <c r="L241" s="208" t="str">
        <f t="shared" si="70"/>
        <v/>
      </c>
      <c r="M241" s="208" t="str">
        <f t="shared" si="82"/>
        <v/>
      </c>
      <c r="N241" s="608" t="str">
        <f>IF($D$3="", "", IFERROR(VLOOKUP(L241,'PIPE INCENTIVE'!$B$4:$E$19,2,FALSE),""))</f>
        <v/>
      </c>
      <c r="O241" s="608" t="str">
        <f t="shared" si="83"/>
        <v/>
      </c>
      <c r="P241" s="208" t="str">
        <f t="shared" si="84"/>
        <v/>
      </c>
      <c r="Q241" s="208" t="str">
        <f t="shared" si="71"/>
        <v/>
      </c>
      <c r="R241" s="609" t="str">
        <f t="shared" si="72"/>
        <v/>
      </c>
      <c r="S241" s="609" t="str">
        <f t="shared" si="73"/>
        <v/>
      </c>
      <c r="T241" s="609" t="str">
        <f t="shared" si="74"/>
        <v/>
      </c>
      <c r="U241" s="609" t="str" cm="1">
        <f t="array" ref="U241">IFERROR(IF($D$3="","",_xlfn.LET(_xlpm.Mixed,AND(COUNTIF($G$34:$G$533,"Heating_Hot_Water")&gt;0,(COUNTIF($G$34:$G$533,"Steam_Low_Pressure") + COUNTIF($G$34:$G$533,"Steam_Medium_Pressure") + COUNTIF($G$34:$G$533,"Steam_High_Pressure"))&gt;0),_xlpm.fluid, G241,_xlpm.fuel, K241,_xlpm.load,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1" s="609" t="str">
        <f t="shared" si="85"/>
        <v/>
      </c>
      <c r="W241" s="482"/>
      <c r="X241" s="397" t="str" cm="1">
        <f t="array" ref="X241">IFERROR(IF($D$3="","", _xlfn.XLOOKUP(1,($AR$36:$AR$53=F241)*($AS$36:$AS$53=G241), INDEX($AT$36:$BJ$53,,_xlfn.XMATCH(E241,$AT$35:$BJ$35)))),"")</f>
        <v/>
      </c>
      <c r="Y241" s="480"/>
      <c r="Z241" s="482"/>
      <c r="AA241" s="607" t="str" cm="1">
        <f t="array" ref="AA241">IFERROR(IF($D$3="", "", _xlfn.LET(_xlpm.dia, E241, _xlpm.thk, Z241, _xlpm.temp, I241,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1" s="397" t="str" cm="1">
        <f t="array" ref="AB241">IFERROR(IF($D$3="", "", _xlfn.XLOOKUP(1,($AR$57:$AR$76=Y241)*($AS$57:$AS$76=Z241), INDEX($AT$57:$BJ$76,,_xlfn.XMATCH(E241,$AT$56:$BJ$56)))),"")</f>
        <v/>
      </c>
      <c r="AC241" s="208" t="str">
        <f t="shared" si="75"/>
        <v/>
      </c>
      <c r="AD241" s="397" t="str">
        <f t="shared" si="76"/>
        <v/>
      </c>
      <c r="AE241" s="610" t="str">
        <f t="shared" si="77"/>
        <v/>
      </c>
      <c r="AF241" s="610" t="str">
        <f t="shared" si="78"/>
        <v/>
      </c>
      <c r="AG241" s="610" t="str">
        <f t="shared" si="79"/>
        <v/>
      </c>
      <c r="AH241" s="608" t="str">
        <f t="shared" si="80"/>
        <v/>
      </c>
      <c r="AI241" s="610" t="str">
        <f t="shared" si="81"/>
        <v/>
      </c>
    </row>
    <row r="242" spans="2:35" x14ac:dyDescent="0.25">
      <c r="B242" s="209">
        <v>209</v>
      </c>
      <c r="C242" s="480"/>
      <c r="D242" s="480"/>
      <c r="E242" s="481"/>
      <c r="F242" s="480"/>
      <c r="G242" s="480"/>
      <c r="H242" s="607" t="str">
        <f t="shared" si="66"/>
        <v/>
      </c>
      <c r="I242" s="607" t="str">
        <f t="shared" si="67"/>
        <v/>
      </c>
      <c r="J242" s="607" t="str">
        <f t="shared" si="68"/>
        <v/>
      </c>
      <c r="K242" s="208" t="str">
        <f t="shared" si="69"/>
        <v/>
      </c>
      <c r="L242" s="208" t="str">
        <f t="shared" si="70"/>
        <v/>
      </c>
      <c r="M242" s="208" t="str">
        <f t="shared" si="82"/>
        <v/>
      </c>
      <c r="N242" s="608" t="str">
        <f>IF($D$3="", "", IFERROR(VLOOKUP(L242,'PIPE INCENTIVE'!$B$4:$E$19,2,FALSE),""))</f>
        <v/>
      </c>
      <c r="O242" s="608" t="str">
        <f t="shared" si="83"/>
        <v/>
      </c>
      <c r="P242" s="208" t="str">
        <f t="shared" si="84"/>
        <v/>
      </c>
      <c r="Q242" s="208" t="str">
        <f t="shared" si="71"/>
        <v/>
      </c>
      <c r="R242" s="609" t="str">
        <f t="shared" si="72"/>
        <v/>
      </c>
      <c r="S242" s="609" t="str">
        <f t="shared" si="73"/>
        <v/>
      </c>
      <c r="T242" s="609" t="str">
        <f t="shared" si="74"/>
        <v/>
      </c>
      <c r="U242" s="609" t="str" cm="1">
        <f t="array" ref="U242">IFERROR(IF($D$3="","",_xlfn.LET(_xlpm.Mixed,AND(COUNTIF($G$34:$G$533,"Heating_Hot_Water")&gt;0,(COUNTIF($G$34:$G$533,"Steam_Low_Pressure") + COUNTIF($G$34:$G$533,"Steam_Medium_Pressure") + COUNTIF($G$34:$G$533,"Steam_High_Pressure"))&gt;0),_xlpm.fluid, G242,_xlpm.fuel, K242,_xlpm.load,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2" s="609" t="str">
        <f t="shared" si="85"/>
        <v/>
      </c>
      <c r="W242" s="482"/>
      <c r="X242" s="397" t="str" cm="1">
        <f t="array" ref="X242">IFERROR(IF($D$3="","", _xlfn.XLOOKUP(1,($AR$36:$AR$53=F242)*($AS$36:$AS$53=G242), INDEX($AT$36:$BJ$53,,_xlfn.XMATCH(E242,$AT$35:$BJ$35)))),"")</f>
        <v/>
      </c>
      <c r="Y242" s="480"/>
      <c r="Z242" s="482"/>
      <c r="AA242" s="607" t="str" cm="1">
        <f t="array" ref="AA242">IFERROR(IF($D$3="", "", _xlfn.LET(_xlpm.dia, E242, _xlpm.thk, Z242, _xlpm.temp, I242,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2" s="397" t="str" cm="1">
        <f t="array" ref="AB242">IFERROR(IF($D$3="", "", _xlfn.XLOOKUP(1,($AR$57:$AR$76=Y242)*($AS$57:$AS$76=Z242), INDEX($AT$57:$BJ$76,,_xlfn.XMATCH(E242,$AT$56:$BJ$56)))),"")</f>
        <v/>
      </c>
      <c r="AC242" s="208" t="str">
        <f t="shared" si="75"/>
        <v/>
      </c>
      <c r="AD242" s="397" t="str">
        <f t="shared" si="76"/>
        <v/>
      </c>
      <c r="AE242" s="610" t="str">
        <f t="shared" si="77"/>
        <v/>
      </c>
      <c r="AF242" s="610" t="str">
        <f t="shared" si="78"/>
        <v/>
      </c>
      <c r="AG242" s="610" t="str">
        <f t="shared" si="79"/>
        <v/>
      </c>
      <c r="AH242" s="608" t="str">
        <f t="shared" si="80"/>
        <v/>
      </c>
      <c r="AI242" s="610" t="str">
        <f t="shared" si="81"/>
        <v/>
      </c>
    </row>
    <row r="243" spans="2:35" x14ac:dyDescent="0.25">
      <c r="B243" s="209">
        <v>210</v>
      </c>
      <c r="C243" s="480"/>
      <c r="D243" s="480"/>
      <c r="E243" s="481"/>
      <c r="F243" s="480"/>
      <c r="G243" s="480"/>
      <c r="H243" s="607" t="str">
        <f t="shared" si="66"/>
        <v/>
      </c>
      <c r="I243" s="607" t="str">
        <f t="shared" si="67"/>
        <v/>
      </c>
      <c r="J243" s="607" t="str">
        <f t="shared" si="68"/>
        <v/>
      </c>
      <c r="K243" s="208" t="str">
        <f t="shared" si="69"/>
        <v/>
      </c>
      <c r="L243" s="208" t="str">
        <f t="shared" si="70"/>
        <v/>
      </c>
      <c r="M243" s="208" t="str">
        <f t="shared" si="82"/>
        <v/>
      </c>
      <c r="N243" s="608" t="str">
        <f>IF($D$3="", "", IFERROR(VLOOKUP(L243,'PIPE INCENTIVE'!$B$4:$E$19,2,FALSE),""))</f>
        <v/>
      </c>
      <c r="O243" s="608" t="str">
        <f t="shared" si="83"/>
        <v/>
      </c>
      <c r="P243" s="208" t="str">
        <f t="shared" si="84"/>
        <v/>
      </c>
      <c r="Q243" s="208" t="str">
        <f t="shared" si="71"/>
        <v/>
      </c>
      <c r="R243" s="609" t="str">
        <f t="shared" si="72"/>
        <v/>
      </c>
      <c r="S243" s="609" t="str">
        <f t="shared" si="73"/>
        <v/>
      </c>
      <c r="T243" s="609" t="str">
        <f t="shared" si="74"/>
        <v/>
      </c>
      <c r="U243" s="609" t="str" cm="1">
        <f t="array" ref="U243">IFERROR(IF($D$3="","",_xlfn.LET(_xlpm.Mixed,AND(COUNTIF($G$34:$G$533,"Heating_Hot_Water")&gt;0,(COUNTIF($G$34:$G$533,"Steam_Low_Pressure") + COUNTIF($G$34:$G$533,"Steam_Medium_Pressure") + COUNTIF($G$34:$G$533,"Steam_High_Pressure"))&gt;0),_xlpm.fluid, G243,_xlpm.fuel, K243,_xlpm.load,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3" s="609" t="str">
        <f t="shared" si="85"/>
        <v/>
      </c>
      <c r="W243" s="482"/>
      <c r="X243" s="397" t="str" cm="1">
        <f t="array" ref="X243">IFERROR(IF($D$3="","", _xlfn.XLOOKUP(1,($AR$36:$AR$53=F243)*($AS$36:$AS$53=G243), INDEX($AT$36:$BJ$53,,_xlfn.XMATCH(E243,$AT$35:$BJ$35)))),"")</f>
        <v/>
      </c>
      <c r="Y243" s="480"/>
      <c r="Z243" s="482"/>
      <c r="AA243" s="607" t="str" cm="1">
        <f t="array" ref="AA243">IFERROR(IF($D$3="", "", _xlfn.LET(_xlpm.dia, E243, _xlpm.thk, Z243, _xlpm.temp, I243,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3" s="397" t="str" cm="1">
        <f t="array" ref="AB243">IFERROR(IF($D$3="", "", _xlfn.XLOOKUP(1,($AR$57:$AR$76=Y243)*($AS$57:$AS$76=Z243), INDEX($AT$57:$BJ$76,,_xlfn.XMATCH(E243,$AT$56:$BJ$56)))),"")</f>
        <v/>
      </c>
      <c r="AC243" s="208" t="str">
        <f t="shared" si="75"/>
        <v/>
      </c>
      <c r="AD243" s="397" t="str">
        <f t="shared" si="76"/>
        <v/>
      </c>
      <c r="AE243" s="610" t="str">
        <f t="shared" si="77"/>
        <v/>
      </c>
      <c r="AF243" s="610" t="str">
        <f t="shared" si="78"/>
        <v/>
      </c>
      <c r="AG243" s="610" t="str">
        <f t="shared" si="79"/>
        <v/>
      </c>
      <c r="AH243" s="608" t="str">
        <f t="shared" si="80"/>
        <v/>
      </c>
      <c r="AI243" s="610" t="str">
        <f t="shared" si="81"/>
        <v/>
      </c>
    </row>
    <row r="244" spans="2:35" x14ac:dyDescent="0.25">
      <c r="B244" s="209">
        <v>211</v>
      </c>
      <c r="C244" s="480"/>
      <c r="D244" s="480"/>
      <c r="E244" s="481"/>
      <c r="F244" s="480"/>
      <c r="G244" s="480"/>
      <c r="H244" s="607" t="str">
        <f t="shared" si="66"/>
        <v/>
      </c>
      <c r="I244" s="607" t="str">
        <f t="shared" si="67"/>
        <v/>
      </c>
      <c r="J244" s="607" t="str">
        <f t="shared" si="68"/>
        <v/>
      </c>
      <c r="K244" s="208" t="str">
        <f t="shared" si="69"/>
        <v/>
      </c>
      <c r="L244" s="208" t="str">
        <f t="shared" si="70"/>
        <v/>
      </c>
      <c r="M244" s="208" t="str">
        <f t="shared" si="82"/>
        <v/>
      </c>
      <c r="N244" s="608" t="str">
        <f>IF($D$3="", "", IFERROR(VLOOKUP(L244,'PIPE INCENTIVE'!$B$4:$E$19,2,FALSE),""))</f>
        <v/>
      </c>
      <c r="O244" s="608" t="str">
        <f t="shared" si="83"/>
        <v/>
      </c>
      <c r="P244" s="208" t="str">
        <f t="shared" si="84"/>
        <v/>
      </c>
      <c r="Q244" s="208" t="str">
        <f t="shared" si="71"/>
        <v/>
      </c>
      <c r="R244" s="609" t="str">
        <f t="shared" si="72"/>
        <v/>
      </c>
      <c r="S244" s="609" t="str">
        <f t="shared" si="73"/>
        <v/>
      </c>
      <c r="T244" s="609" t="str">
        <f t="shared" si="74"/>
        <v/>
      </c>
      <c r="U244" s="609" t="str" cm="1">
        <f t="array" ref="U244">IFERROR(IF($D$3="","",_xlfn.LET(_xlpm.Mixed,AND(COUNTIF($G$34:$G$533,"Heating_Hot_Water")&gt;0,(COUNTIF($G$34:$G$533,"Steam_Low_Pressure") + COUNTIF($G$34:$G$533,"Steam_Medium_Pressure") + COUNTIF($G$34:$G$533,"Steam_High_Pressure"))&gt;0),_xlpm.fluid, G244,_xlpm.fuel, K244,_xlpm.load,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4" s="609" t="str">
        <f t="shared" si="85"/>
        <v/>
      </c>
      <c r="W244" s="482"/>
      <c r="X244" s="397" t="str" cm="1">
        <f t="array" ref="X244">IFERROR(IF($D$3="","", _xlfn.XLOOKUP(1,($AR$36:$AR$53=F244)*($AS$36:$AS$53=G244), INDEX($AT$36:$BJ$53,,_xlfn.XMATCH(E244,$AT$35:$BJ$35)))),"")</f>
        <v/>
      </c>
      <c r="Y244" s="480"/>
      <c r="Z244" s="482"/>
      <c r="AA244" s="607" t="str" cm="1">
        <f t="array" ref="AA244">IFERROR(IF($D$3="", "", _xlfn.LET(_xlpm.dia, E244, _xlpm.thk, Z244, _xlpm.temp, I244,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4" s="397" t="str" cm="1">
        <f t="array" ref="AB244">IFERROR(IF($D$3="", "", _xlfn.XLOOKUP(1,($AR$57:$AR$76=Y244)*($AS$57:$AS$76=Z244), INDEX($AT$57:$BJ$76,,_xlfn.XMATCH(E244,$AT$56:$BJ$56)))),"")</f>
        <v/>
      </c>
      <c r="AC244" s="208" t="str">
        <f t="shared" si="75"/>
        <v/>
      </c>
      <c r="AD244" s="397" t="str">
        <f t="shared" si="76"/>
        <v/>
      </c>
      <c r="AE244" s="610" t="str">
        <f t="shared" si="77"/>
        <v/>
      </c>
      <c r="AF244" s="610" t="str">
        <f t="shared" si="78"/>
        <v/>
      </c>
      <c r="AG244" s="610" t="str">
        <f t="shared" si="79"/>
        <v/>
      </c>
      <c r="AH244" s="608" t="str">
        <f t="shared" si="80"/>
        <v/>
      </c>
      <c r="AI244" s="610" t="str">
        <f t="shared" si="81"/>
        <v/>
      </c>
    </row>
    <row r="245" spans="2:35" x14ac:dyDescent="0.25">
      <c r="B245" s="209">
        <v>212</v>
      </c>
      <c r="C245" s="480"/>
      <c r="D245" s="480"/>
      <c r="E245" s="481"/>
      <c r="F245" s="480"/>
      <c r="G245" s="480"/>
      <c r="H245" s="607" t="str">
        <f t="shared" si="66"/>
        <v/>
      </c>
      <c r="I245" s="607" t="str">
        <f t="shared" si="67"/>
        <v/>
      </c>
      <c r="J245" s="607" t="str">
        <f t="shared" si="68"/>
        <v/>
      </c>
      <c r="K245" s="208" t="str">
        <f t="shared" si="69"/>
        <v/>
      </c>
      <c r="L245" s="208" t="str">
        <f t="shared" si="70"/>
        <v/>
      </c>
      <c r="M245" s="208" t="str">
        <f t="shared" si="82"/>
        <v/>
      </c>
      <c r="N245" s="608" t="str">
        <f>IF($D$3="", "", IFERROR(VLOOKUP(L245,'PIPE INCENTIVE'!$B$4:$E$19,2,FALSE),""))</f>
        <v/>
      </c>
      <c r="O245" s="608" t="str">
        <f t="shared" si="83"/>
        <v/>
      </c>
      <c r="P245" s="208" t="str">
        <f t="shared" si="84"/>
        <v/>
      </c>
      <c r="Q245" s="208" t="str">
        <f t="shared" si="71"/>
        <v/>
      </c>
      <c r="R245" s="609" t="str">
        <f t="shared" si="72"/>
        <v/>
      </c>
      <c r="S245" s="609" t="str">
        <f t="shared" si="73"/>
        <v/>
      </c>
      <c r="T245" s="609" t="str">
        <f t="shared" si="74"/>
        <v/>
      </c>
      <c r="U245" s="609" t="str" cm="1">
        <f t="array" ref="U245">IFERROR(IF($D$3="","",_xlfn.LET(_xlpm.Mixed,AND(COUNTIF($G$34:$G$533,"Heating_Hot_Water")&gt;0,(COUNTIF($G$34:$G$533,"Steam_Low_Pressure") + COUNTIF($G$34:$G$533,"Steam_Medium_Pressure") + COUNTIF($G$34:$G$533,"Steam_High_Pressure"))&gt;0),_xlpm.fluid, G245,_xlpm.fuel, K245,_xlpm.load,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5" s="609" t="str">
        <f t="shared" si="85"/>
        <v/>
      </c>
      <c r="W245" s="482"/>
      <c r="X245" s="397" t="str" cm="1">
        <f t="array" ref="X245">IFERROR(IF($D$3="","", _xlfn.XLOOKUP(1,($AR$36:$AR$53=F245)*($AS$36:$AS$53=G245), INDEX($AT$36:$BJ$53,,_xlfn.XMATCH(E245,$AT$35:$BJ$35)))),"")</f>
        <v/>
      </c>
      <c r="Y245" s="480"/>
      <c r="Z245" s="482"/>
      <c r="AA245" s="607" t="str" cm="1">
        <f t="array" ref="AA245">IFERROR(IF($D$3="", "", _xlfn.LET(_xlpm.dia, E245, _xlpm.thk, Z245, _xlpm.temp, I245,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5" s="397" t="str" cm="1">
        <f t="array" ref="AB245">IFERROR(IF($D$3="", "", _xlfn.XLOOKUP(1,($AR$57:$AR$76=Y245)*($AS$57:$AS$76=Z245), INDEX($AT$57:$BJ$76,,_xlfn.XMATCH(E245,$AT$56:$BJ$56)))),"")</f>
        <v/>
      </c>
      <c r="AC245" s="208" t="str">
        <f t="shared" si="75"/>
        <v/>
      </c>
      <c r="AD245" s="397" t="str">
        <f t="shared" si="76"/>
        <v/>
      </c>
      <c r="AE245" s="610" t="str">
        <f t="shared" si="77"/>
        <v/>
      </c>
      <c r="AF245" s="610" t="str">
        <f t="shared" si="78"/>
        <v/>
      </c>
      <c r="AG245" s="610" t="str">
        <f t="shared" si="79"/>
        <v/>
      </c>
      <c r="AH245" s="608" t="str">
        <f t="shared" si="80"/>
        <v/>
      </c>
      <c r="AI245" s="610" t="str">
        <f t="shared" si="81"/>
        <v/>
      </c>
    </row>
    <row r="246" spans="2:35" x14ac:dyDescent="0.25">
      <c r="B246" s="209">
        <v>213</v>
      </c>
      <c r="C246" s="480"/>
      <c r="D246" s="480"/>
      <c r="E246" s="481"/>
      <c r="F246" s="480"/>
      <c r="G246" s="480"/>
      <c r="H246" s="607" t="str">
        <f t="shared" si="66"/>
        <v/>
      </c>
      <c r="I246" s="607" t="str">
        <f t="shared" si="67"/>
        <v/>
      </c>
      <c r="J246" s="607" t="str">
        <f t="shared" si="68"/>
        <v/>
      </c>
      <c r="K246" s="208" t="str">
        <f t="shared" si="69"/>
        <v/>
      </c>
      <c r="L246" s="208" t="str">
        <f t="shared" si="70"/>
        <v/>
      </c>
      <c r="M246" s="208" t="str">
        <f t="shared" si="82"/>
        <v/>
      </c>
      <c r="N246" s="608" t="str">
        <f>IF($D$3="", "", IFERROR(VLOOKUP(L246,'PIPE INCENTIVE'!$B$4:$E$19,2,FALSE),""))</f>
        <v/>
      </c>
      <c r="O246" s="608" t="str">
        <f t="shared" si="83"/>
        <v/>
      </c>
      <c r="P246" s="208" t="str">
        <f t="shared" si="84"/>
        <v/>
      </c>
      <c r="Q246" s="208" t="str">
        <f t="shared" si="71"/>
        <v/>
      </c>
      <c r="R246" s="609" t="str">
        <f t="shared" si="72"/>
        <v/>
      </c>
      <c r="S246" s="609" t="str">
        <f t="shared" si="73"/>
        <v/>
      </c>
      <c r="T246" s="609" t="str">
        <f t="shared" si="74"/>
        <v/>
      </c>
      <c r="U246" s="609" t="str" cm="1">
        <f t="array" ref="U246">IFERROR(IF($D$3="","",_xlfn.LET(_xlpm.Mixed,AND(COUNTIF($G$34:$G$533,"Heating_Hot_Water")&gt;0,(COUNTIF($G$34:$G$533,"Steam_Low_Pressure") + COUNTIF($G$34:$G$533,"Steam_Medium_Pressure") + COUNTIF($G$34:$G$533,"Steam_High_Pressure"))&gt;0),_xlpm.fluid, G246,_xlpm.fuel, K246,_xlpm.load,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6" s="609" t="str">
        <f t="shared" si="85"/>
        <v/>
      </c>
      <c r="W246" s="482"/>
      <c r="X246" s="397" t="str" cm="1">
        <f t="array" ref="X246">IFERROR(IF($D$3="","", _xlfn.XLOOKUP(1,($AR$36:$AR$53=F246)*($AS$36:$AS$53=G246), INDEX($AT$36:$BJ$53,,_xlfn.XMATCH(E246,$AT$35:$BJ$35)))),"")</f>
        <v/>
      </c>
      <c r="Y246" s="480"/>
      <c r="Z246" s="482"/>
      <c r="AA246" s="607" t="str" cm="1">
        <f t="array" ref="AA246">IFERROR(IF($D$3="", "", _xlfn.LET(_xlpm.dia, E246, _xlpm.thk, Z246, _xlpm.temp, I246,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6" s="397" t="str" cm="1">
        <f t="array" ref="AB246">IFERROR(IF($D$3="", "", _xlfn.XLOOKUP(1,($AR$57:$AR$76=Y246)*($AS$57:$AS$76=Z246), INDEX($AT$57:$BJ$76,,_xlfn.XMATCH(E246,$AT$56:$BJ$56)))),"")</f>
        <v/>
      </c>
      <c r="AC246" s="208" t="str">
        <f t="shared" si="75"/>
        <v/>
      </c>
      <c r="AD246" s="397" t="str">
        <f t="shared" si="76"/>
        <v/>
      </c>
      <c r="AE246" s="610" t="str">
        <f t="shared" si="77"/>
        <v/>
      </c>
      <c r="AF246" s="610" t="str">
        <f t="shared" si="78"/>
        <v/>
      </c>
      <c r="AG246" s="610" t="str">
        <f t="shared" si="79"/>
        <v/>
      </c>
      <c r="AH246" s="608" t="str">
        <f t="shared" si="80"/>
        <v/>
      </c>
      <c r="AI246" s="610" t="str">
        <f t="shared" si="81"/>
        <v/>
      </c>
    </row>
    <row r="247" spans="2:35" x14ac:dyDescent="0.25">
      <c r="B247" s="209">
        <v>214</v>
      </c>
      <c r="C247" s="480"/>
      <c r="D247" s="480"/>
      <c r="E247" s="481"/>
      <c r="F247" s="480"/>
      <c r="G247" s="480"/>
      <c r="H247" s="607" t="str">
        <f t="shared" si="66"/>
        <v/>
      </c>
      <c r="I247" s="607" t="str">
        <f t="shared" si="67"/>
        <v/>
      </c>
      <c r="J247" s="607" t="str">
        <f t="shared" si="68"/>
        <v/>
      </c>
      <c r="K247" s="208" t="str">
        <f t="shared" si="69"/>
        <v/>
      </c>
      <c r="L247" s="208" t="str">
        <f t="shared" si="70"/>
        <v/>
      </c>
      <c r="M247" s="208" t="str">
        <f t="shared" si="82"/>
        <v/>
      </c>
      <c r="N247" s="608" t="str">
        <f>IF($D$3="", "", IFERROR(VLOOKUP(L247,'PIPE INCENTIVE'!$B$4:$E$19,2,FALSE),""))</f>
        <v/>
      </c>
      <c r="O247" s="608" t="str">
        <f t="shared" si="83"/>
        <v/>
      </c>
      <c r="P247" s="208" t="str">
        <f t="shared" si="84"/>
        <v/>
      </c>
      <c r="Q247" s="208" t="str">
        <f t="shared" si="71"/>
        <v/>
      </c>
      <c r="R247" s="609" t="str">
        <f t="shared" si="72"/>
        <v/>
      </c>
      <c r="S247" s="609" t="str">
        <f t="shared" si="73"/>
        <v/>
      </c>
      <c r="T247" s="609" t="str">
        <f t="shared" si="74"/>
        <v/>
      </c>
      <c r="U247" s="609" t="str" cm="1">
        <f t="array" ref="U247">IFERROR(IF($D$3="","",_xlfn.LET(_xlpm.Mixed,AND(COUNTIF($G$34:$G$533,"Heating_Hot_Water")&gt;0,(COUNTIF($G$34:$G$533,"Steam_Low_Pressure") + COUNTIF($G$34:$G$533,"Steam_Medium_Pressure") + COUNTIF($G$34:$G$533,"Steam_High_Pressure"))&gt;0),_xlpm.fluid, G247,_xlpm.fuel, K247,_xlpm.load,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7" s="609" t="str">
        <f t="shared" si="85"/>
        <v/>
      </c>
      <c r="W247" s="482"/>
      <c r="X247" s="397" t="str" cm="1">
        <f t="array" ref="X247">IFERROR(IF($D$3="","", _xlfn.XLOOKUP(1,($AR$36:$AR$53=F247)*($AS$36:$AS$53=G247), INDEX($AT$36:$BJ$53,,_xlfn.XMATCH(E247,$AT$35:$BJ$35)))),"")</f>
        <v/>
      </c>
      <c r="Y247" s="480"/>
      <c r="Z247" s="482"/>
      <c r="AA247" s="607" t="str" cm="1">
        <f t="array" ref="AA247">IFERROR(IF($D$3="", "", _xlfn.LET(_xlpm.dia, E247, _xlpm.thk, Z247, _xlpm.temp, I247,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7" s="397" t="str" cm="1">
        <f t="array" ref="AB247">IFERROR(IF($D$3="", "", _xlfn.XLOOKUP(1,($AR$57:$AR$76=Y247)*($AS$57:$AS$76=Z247), INDEX($AT$57:$BJ$76,,_xlfn.XMATCH(E247,$AT$56:$BJ$56)))),"")</f>
        <v/>
      </c>
      <c r="AC247" s="208" t="str">
        <f t="shared" si="75"/>
        <v/>
      </c>
      <c r="AD247" s="397" t="str">
        <f t="shared" si="76"/>
        <v/>
      </c>
      <c r="AE247" s="610" t="str">
        <f t="shared" si="77"/>
        <v/>
      </c>
      <c r="AF247" s="610" t="str">
        <f t="shared" si="78"/>
        <v/>
      </c>
      <c r="AG247" s="610" t="str">
        <f t="shared" si="79"/>
        <v/>
      </c>
      <c r="AH247" s="608" t="str">
        <f t="shared" si="80"/>
        <v/>
      </c>
      <c r="AI247" s="610" t="str">
        <f t="shared" si="81"/>
        <v/>
      </c>
    </row>
    <row r="248" spans="2:35" x14ac:dyDescent="0.25">
      <c r="B248" s="209">
        <v>215</v>
      </c>
      <c r="C248" s="480"/>
      <c r="D248" s="480"/>
      <c r="E248" s="481"/>
      <c r="F248" s="480"/>
      <c r="G248" s="480"/>
      <c r="H248" s="607" t="str">
        <f t="shared" si="66"/>
        <v/>
      </c>
      <c r="I248" s="607" t="str">
        <f t="shared" si="67"/>
        <v/>
      </c>
      <c r="J248" s="607" t="str">
        <f t="shared" si="68"/>
        <v/>
      </c>
      <c r="K248" s="208" t="str">
        <f t="shared" si="69"/>
        <v/>
      </c>
      <c r="L248" s="208" t="str">
        <f t="shared" si="70"/>
        <v/>
      </c>
      <c r="M248" s="208" t="str">
        <f t="shared" si="82"/>
        <v/>
      </c>
      <c r="N248" s="608" t="str">
        <f>IF($D$3="", "", IFERROR(VLOOKUP(L248,'PIPE INCENTIVE'!$B$4:$E$19,2,FALSE),""))</f>
        <v/>
      </c>
      <c r="O248" s="608" t="str">
        <f t="shared" si="83"/>
        <v/>
      </c>
      <c r="P248" s="208" t="str">
        <f t="shared" si="84"/>
        <v/>
      </c>
      <c r="Q248" s="208" t="str">
        <f t="shared" si="71"/>
        <v/>
      </c>
      <c r="R248" s="609" t="str">
        <f t="shared" si="72"/>
        <v/>
      </c>
      <c r="S248" s="609" t="str">
        <f t="shared" si="73"/>
        <v/>
      </c>
      <c r="T248" s="609" t="str">
        <f t="shared" si="74"/>
        <v/>
      </c>
      <c r="U248" s="609" t="str" cm="1">
        <f t="array" ref="U248">IFERROR(IF($D$3="","",_xlfn.LET(_xlpm.Mixed,AND(COUNTIF($G$34:$G$533,"Heating_Hot_Water")&gt;0,(COUNTIF($G$34:$G$533,"Steam_Low_Pressure") + COUNTIF($G$34:$G$533,"Steam_Medium_Pressure") + COUNTIF($G$34:$G$533,"Steam_High_Pressure"))&gt;0),_xlpm.fluid, G248,_xlpm.fuel, K248,_xlpm.load,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8" s="609" t="str">
        <f t="shared" si="85"/>
        <v/>
      </c>
      <c r="W248" s="482"/>
      <c r="X248" s="397" t="str" cm="1">
        <f t="array" ref="X248">IFERROR(IF($D$3="","", _xlfn.XLOOKUP(1,($AR$36:$AR$53=F248)*($AS$36:$AS$53=G248), INDEX($AT$36:$BJ$53,,_xlfn.XMATCH(E248,$AT$35:$BJ$35)))),"")</f>
        <v/>
      </c>
      <c r="Y248" s="480"/>
      <c r="Z248" s="482"/>
      <c r="AA248" s="607" t="str" cm="1">
        <f t="array" ref="AA248">IFERROR(IF($D$3="", "", _xlfn.LET(_xlpm.dia, E248, _xlpm.thk, Z248, _xlpm.temp, I248,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8" s="397" t="str" cm="1">
        <f t="array" ref="AB248">IFERROR(IF($D$3="", "", _xlfn.XLOOKUP(1,($AR$57:$AR$76=Y248)*($AS$57:$AS$76=Z248), INDEX($AT$57:$BJ$76,,_xlfn.XMATCH(E248,$AT$56:$BJ$56)))),"")</f>
        <v/>
      </c>
      <c r="AC248" s="208" t="str">
        <f t="shared" si="75"/>
        <v/>
      </c>
      <c r="AD248" s="397" t="str">
        <f t="shared" si="76"/>
        <v/>
      </c>
      <c r="AE248" s="610" t="str">
        <f t="shared" si="77"/>
        <v/>
      </c>
      <c r="AF248" s="610" t="str">
        <f t="shared" si="78"/>
        <v/>
      </c>
      <c r="AG248" s="610" t="str">
        <f t="shared" si="79"/>
        <v/>
      </c>
      <c r="AH248" s="608" t="str">
        <f t="shared" si="80"/>
        <v/>
      </c>
      <c r="AI248" s="610" t="str">
        <f t="shared" si="81"/>
        <v/>
      </c>
    </row>
    <row r="249" spans="2:35" x14ac:dyDescent="0.25">
      <c r="B249" s="209">
        <v>216</v>
      </c>
      <c r="C249" s="480"/>
      <c r="D249" s="480"/>
      <c r="E249" s="481"/>
      <c r="F249" s="480"/>
      <c r="G249" s="480"/>
      <c r="H249" s="607" t="str">
        <f t="shared" si="66"/>
        <v/>
      </c>
      <c r="I249" s="607" t="str">
        <f t="shared" si="67"/>
        <v/>
      </c>
      <c r="J249" s="607" t="str">
        <f t="shared" si="68"/>
        <v/>
      </c>
      <c r="K249" s="208" t="str">
        <f t="shared" si="69"/>
        <v/>
      </c>
      <c r="L249" s="208" t="str">
        <f t="shared" si="70"/>
        <v/>
      </c>
      <c r="M249" s="208" t="str">
        <f t="shared" si="82"/>
        <v/>
      </c>
      <c r="N249" s="608" t="str">
        <f>IF($D$3="", "", IFERROR(VLOOKUP(L249,'PIPE INCENTIVE'!$B$4:$E$19,2,FALSE),""))</f>
        <v/>
      </c>
      <c r="O249" s="608" t="str">
        <f t="shared" si="83"/>
        <v/>
      </c>
      <c r="P249" s="208" t="str">
        <f t="shared" si="84"/>
        <v/>
      </c>
      <c r="Q249" s="208" t="str">
        <f t="shared" si="71"/>
        <v/>
      </c>
      <c r="R249" s="609" t="str">
        <f t="shared" si="72"/>
        <v/>
      </c>
      <c r="S249" s="609" t="str">
        <f t="shared" si="73"/>
        <v/>
      </c>
      <c r="T249" s="609" t="str">
        <f t="shared" si="74"/>
        <v/>
      </c>
      <c r="U249" s="609" t="str" cm="1">
        <f t="array" ref="U249">IFERROR(IF($D$3="","",_xlfn.LET(_xlpm.Mixed,AND(COUNTIF($G$34:$G$533,"Heating_Hot_Water")&gt;0,(COUNTIF($G$34:$G$533,"Steam_Low_Pressure") + COUNTIF($G$34:$G$533,"Steam_Medium_Pressure") + COUNTIF($G$34:$G$533,"Steam_High_Pressure"))&gt;0),_xlpm.fluid, G249,_xlpm.fuel, K249,_xlpm.load,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49" s="609" t="str">
        <f t="shared" si="85"/>
        <v/>
      </c>
      <c r="W249" s="482"/>
      <c r="X249" s="397" t="str" cm="1">
        <f t="array" ref="X249">IFERROR(IF($D$3="","", _xlfn.XLOOKUP(1,($AR$36:$AR$53=F249)*($AS$36:$AS$53=G249), INDEX($AT$36:$BJ$53,,_xlfn.XMATCH(E249,$AT$35:$BJ$35)))),"")</f>
        <v/>
      </c>
      <c r="Y249" s="480"/>
      <c r="Z249" s="482"/>
      <c r="AA249" s="607" t="str" cm="1">
        <f t="array" ref="AA249">IFERROR(IF($D$3="", "", _xlfn.LET(_xlpm.dia, E249, _xlpm.thk, Z249, _xlpm.temp, I249,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49" s="397" t="str" cm="1">
        <f t="array" ref="AB249">IFERROR(IF($D$3="", "", _xlfn.XLOOKUP(1,($AR$57:$AR$76=Y249)*($AS$57:$AS$76=Z249), INDEX($AT$57:$BJ$76,,_xlfn.XMATCH(E249,$AT$56:$BJ$56)))),"")</f>
        <v/>
      </c>
      <c r="AC249" s="208" t="str">
        <f t="shared" si="75"/>
        <v/>
      </c>
      <c r="AD249" s="397" t="str">
        <f t="shared" si="76"/>
        <v/>
      </c>
      <c r="AE249" s="610" t="str">
        <f t="shared" si="77"/>
        <v/>
      </c>
      <c r="AF249" s="610" t="str">
        <f t="shared" si="78"/>
        <v/>
      </c>
      <c r="AG249" s="610" t="str">
        <f t="shared" si="79"/>
        <v/>
      </c>
      <c r="AH249" s="608" t="str">
        <f t="shared" si="80"/>
        <v/>
      </c>
      <c r="AI249" s="610" t="str">
        <f t="shared" si="81"/>
        <v/>
      </c>
    </row>
    <row r="250" spans="2:35" x14ac:dyDescent="0.25">
      <c r="B250" s="209">
        <v>217</v>
      </c>
      <c r="C250" s="480"/>
      <c r="D250" s="480"/>
      <c r="E250" s="481"/>
      <c r="F250" s="480"/>
      <c r="G250" s="480"/>
      <c r="H250" s="607" t="str">
        <f t="shared" si="66"/>
        <v/>
      </c>
      <c r="I250" s="607" t="str">
        <f t="shared" si="67"/>
        <v/>
      </c>
      <c r="J250" s="607" t="str">
        <f t="shared" si="68"/>
        <v/>
      </c>
      <c r="K250" s="208" t="str">
        <f t="shared" si="69"/>
        <v/>
      </c>
      <c r="L250" s="208" t="str">
        <f t="shared" si="70"/>
        <v/>
      </c>
      <c r="M250" s="208" t="str">
        <f t="shared" si="82"/>
        <v/>
      </c>
      <c r="N250" s="608" t="str">
        <f>IF($D$3="", "", IFERROR(VLOOKUP(L250,'PIPE INCENTIVE'!$B$4:$E$19,2,FALSE),""))</f>
        <v/>
      </c>
      <c r="O250" s="608" t="str">
        <f t="shared" si="83"/>
        <v/>
      </c>
      <c r="P250" s="208" t="str">
        <f t="shared" si="84"/>
        <v/>
      </c>
      <c r="Q250" s="208" t="str">
        <f t="shared" si="71"/>
        <v/>
      </c>
      <c r="R250" s="609" t="str">
        <f t="shared" si="72"/>
        <v/>
      </c>
      <c r="S250" s="609" t="str">
        <f t="shared" si="73"/>
        <v/>
      </c>
      <c r="T250" s="609" t="str">
        <f t="shared" si="74"/>
        <v/>
      </c>
      <c r="U250" s="609" t="str" cm="1">
        <f t="array" ref="U250">IFERROR(IF($D$3="","",_xlfn.LET(_xlpm.Mixed,AND(COUNTIF($G$34:$G$533,"Heating_Hot_Water")&gt;0,(COUNTIF($G$34:$G$533,"Steam_Low_Pressure") + COUNTIF($G$34:$G$533,"Steam_Medium_Pressure") + COUNTIF($G$34:$G$533,"Steam_High_Pressure"))&gt;0),_xlpm.fluid, G250,_xlpm.fuel, K250,_xlpm.load,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0" s="609" t="str">
        <f t="shared" si="85"/>
        <v/>
      </c>
      <c r="W250" s="482"/>
      <c r="X250" s="397" t="str" cm="1">
        <f t="array" ref="X250">IFERROR(IF($D$3="","", _xlfn.XLOOKUP(1,($AR$36:$AR$53=F250)*($AS$36:$AS$53=G250), INDEX($AT$36:$BJ$53,,_xlfn.XMATCH(E250,$AT$35:$BJ$35)))),"")</f>
        <v/>
      </c>
      <c r="Y250" s="480"/>
      <c r="Z250" s="482"/>
      <c r="AA250" s="607" t="str" cm="1">
        <f t="array" ref="AA250">IFERROR(IF($D$3="", "", _xlfn.LET(_xlpm.dia, E250, _xlpm.thk, Z250, _xlpm.temp, I250,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0" s="397" t="str" cm="1">
        <f t="array" ref="AB250">IFERROR(IF($D$3="", "", _xlfn.XLOOKUP(1,($AR$57:$AR$76=Y250)*($AS$57:$AS$76=Z250), INDEX($AT$57:$BJ$76,,_xlfn.XMATCH(E250,$AT$56:$BJ$56)))),"")</f>
        <v/>
      </c>
      <c r="AC250" s="208" t="str">
        <f t="shared" si="75"/>
        <v/>
      </c>
      <c r="AD250" s="397" t="str">
        <f t="shared" si="76"/>
        <v/>
      </c>
      <c r="AE250" s="610" t="str">
        <f t="shared" si="77"/>
        <v/>
      </c>
      <c r="AF250" s="610" t="str">
        <f t="shared" si="78"/>
        <v/>
      </c>
      <c r="AG250" s="610" t="str">
        <f t="shared" si="79"/>
        <v/>
      </c>
      <c r="AH250" s="608" t="str">
        <f t="shared" si="80"/>
        <v/>
      </c>
      <c r="AI250" s="610" t="str">
        <f t="shared" si="81"/>
        <v/>
      </c>
    </row>
    <row r="251" spans="2:35" x14ac:dyDescent="0.25">
      <c r="B251" s="209">
        <v>218</v>
      </c>
      <c r="C251" s="480"/>
      <c r="D251" s="480"/>
      <c r="E251" s="481"/>
      <c r="F251" s="480"/>
      <c r="G251" s="480"/>
      <c r="H251" s="607" t="str">
        <f t="shared" si="66"/>
        <v/>
      </c>
      <c r="I251" s="607" t="str">
        <f t="shared" si="67"/>
        <v/>
      </c>
      <c r="J251" s="607" t="str">
        <f t="shared" si="68"/>
        <v/>
      </c>
      <c r="K251" s="208" t="str">
        <f t="shared" si="69"/>
        <v/>
      </c>
      <c r="L251" s="208" t="str">
        <f t="shared" si="70"/>
        <v/>
      </c>
      <c r="M251" s="208" t="str">
        <f t="shared" si="82"/>
        <v/>
      </c>
      <c r="N251" s="608" t="str">
        <f>IF($D$3="", "", IFERROR(VLOOKUP(L251,'PIPE INCENTIVE'!$B$4:$E$19,2,FALSE),""))</f>
        <v/>
      </c>
      <c r="O251" s="608" t="str">
        <f t="shared" si="83"/>
        <v/>
      </c>
      <c r="P251" s="208" t="str">
        <f t="shared" si="84"/>
        <v/>
      </c>
      <c r="Q251" s="208" t="str">
        <f t="shared" si="71"/>
        <v/>
      </c>
      <c r="R251" s="609" t="str">
        <f t="shared" si="72"/>
        <v/>
      </c>
      <c r="S251" s="609" t="str">
        <f t="shared" si="73"/>
        <v/>
      </c>
      <c r="T251" s="609" t="str">
        <f t="shared" si="74"/>
        <v/>
      </c>
      <c r="U251" s="609" t="str" cm="1">
        <f t="array" ref="U251">IFERROR(IF($D$3="","",_xlfn.LET(_xlpm.Mixed,AND(COUNTIF($G$34:$G$533,"Heating_Hot_Water")&gt;0,(COUNTIF($G$34:$G$533,"Steam_Low_Pressure") + COUNTIF($G$34:$G$533,"Steam_Medium_Pressure") + COUNTIF($G$34:$G$533,"Steam_High_Pressure"))&gt;0),_xlpm.fluid, G251,_xlpm.fuel, K251,_xlpm.load,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1" s="609" t="str">
        <f t="shared" si="85"/>
        <v/>
      </c>
      <c r="W251" s="482"/>
      <c r="X251" s="397" t="str" cm="1">
        <f t="array" ref="X251">IFERROR(IF($D$3="","", _xlfn.XLOOKUP(1,($AR$36:$AR$53=F251)*($AS$36:$AS$53=G251), INDEX($AT$36:$BJ$53,,_xlfn.XMATCH(E251,$AT$35:$BJ$35)))),"")</f>
        <v/>
      </c>
      <c r="Y251" s="480"/>
      <c r="Z251" s="482"/>
      <c r="AA251" s="607" t="str" cm="1">
        <f t="array" ref="AA251">IFERROR(IF($D$3="", "", _xlfn.LET(_xlpm.dia, E251, _xlpm.thk, Z251, _xlpm.temp, I251,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1" s="397" t="str" cm="1">
        <f t="array" ref="AB251">IFERROR(IF($D$3="", "", _xlfn.XLOOKUP(1,($AR$57:$AR$76=Y251)*($AS$57:$AS$76=Z251), INDEX($AT$57:$BJ$76,,_xlfn.XMATCH(E251,$AT$56:$BJ$56)))),"")</f>
        <v/>
      </c>
      <c r="AC251" s="208" t="str">
        <f t="shared" si="75"/>
        <v/>
      </c>
      <c r="AD251" s="397" t="str">
        <f t="shared" si="76"/>
        <v/>
      </c>
      <c r="AE251" s="610" t="str">
        <f t="shared" si="77"/>
        <v/>
      </c>
      <c r="AF251" s="610" t="str">
        <f t="shared" si="78"/>
        <v/>
      </c>
      <c r="AG251" s="610" t="str">
        <f t="shared" si="79"/>
        <v/>
      </c>
      <c r="AH251" s="608" t="str">
        <f t="shared" si="80"/>
        <v/>
      </c>
      <c r="AI251" s="610" t="str">
        <f t="shared" si="81"/>
        <v/>
      </c>
    </row>
    <row r="252" spans="2:35" x14ac:dyDescent="0.25">
      <c r="B252" s="209">
        <v>219</v>
      </c>
      <c r="C252" s="480"/>
      <c r="D252" s="480"/>
      <c r="E252" s="481"/>
      <c r="F252" s="480"/>
      <c r="G252" s="480"/>
      <c r="H252" s="607" t="str">
        <f t="shared" si="66"/>
        <v/>
      </c>
      <c r="I252" s="607" t="str">
        <f t="shared" si="67"/>
        <v/>
      </c>
      <c r="J252" s="607" t="str">
        <f t="shared" si="68"/>
        <v/>
      </c>
      <c r="K252" s="208" t="str">
        <f t="shared" si="69"/>
        <v/>
      </c>
      <c r="L252" s="208" t="str">
        <f t="shared" si="70"/>
        <v/>
      </c>
      <c r="M252" s="208" t="str">
        <f t="shared" si="82"/>
        <v/>
      </c>
      <c r="N252" s="608" t="str">
        <f>IF($D$3="", "", IFERROR(VLOOKUP(L252,'PIPE INCENTIVE'!$B$4:$E$19,2,FALSE),""))</f>
        <v/>
      </c>
      <c r="O252" s="608" t="str">
        <f t="shared" si="83"/>
        <v/>
      </c>
      <c r="P252" s="208" t="str">
        <f t="shared" si="84"/>
        <v/>
      </c>
      <c r="Q252" s="208" t="str">
        <f t="shared" si="71"/>
        <v/>
      </c>
      <c r="R252" s="609" t="str">
        <f t="shared" si="72"/>
        <v/>
      </c>
      <c r="S252" s="609" t="str">
        <f t="shared" si="73"/>
        <v/>
      </c>
      <c r="T252" s="609" t="str">
        <f t="shared" si="74"/>
        <v/>
      </c>
      <c r="U252" s="609" t="str" cm="1">
        <f t="array" ref="U252">IFERROR(IF($D$3="","",_xlfn.LET(_xlpm.Mixed,AND(COUNTIF($G$34:$G$533,"Heating_Hot_Water")&gt;0,(COUNTIF($G$34:$G$533,"Steam_Low_Pressure") + COUNTIF($G$34:$G$533,"Steam_Medium_Pressure") + COUNTIF($G$34:$G$533,"Steam_High_Pressure"))&gt;0),_xlpm.fluid, G252,_xlpm.fuel, K252,_xlpm.load,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2" s="609" t="str">
        <f t="shared" si="85"/>
        <v/>
      </c>
      <c r="W252" s="482"/>
      <c r="X252" s="397" t="str" cm="1">
        <f t="array" ref="X252">IFERROR(IF($D$3="","", _xlfn.XLOOKUP(1,($AR$36:$AR$53=F252)*($AS$36:$AS$53=G252), INDEX($AT$36:$BJ$53,,_xlfn.XMATCH(E252,$AT$35:$BJ$35)))),"")</f>
        <v/>
      </c>
      <c r="Y252" s="480"/>
      <c r="Z252" s="482"/>
      <c r="AA252" s="607" t="str" cm="1">
        <f t="array" ref="AA252">IFERROR(IF($D$3="", "", _xlfn.LET(_xlpm.dia, E252, _xlpm.thk, Z252, _xlpm.temp, I252,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2" s="397" t="str" cm="1">
        <f t="array" ref="AB252">IFERROR(IF($D$3="", "", _xlfn.XLOOKUP(1,($AR$57:$AR$76=Y252)*($AS$57:$AS$76=Z252), INDEX($AT$57:$BJ$76,,_xlfn.XMATCH(E252,$AT$56:$BJ$56)))),"")</f>
        <v/>
      </c>
      <c r="AC252" s="208" t="str">
        <f t="shared" si="75"/>
        <v/>
      </c>
      <c r="AD252" s="397" t="str">
        <f t="shared" si="76"/>
        <v/>
      </c>
      <c r="AE252" s="610" t="str">
        <f t="shared" si="77"/>
        <v/>
      </c>
      <c r="AF252" s="610" t="str">
        <f t="shared" si="78"/>
        <v/>
      </c>
      <c r="AG252" s="610" t="str">
        <f t="shared" si="79"/>
        <v/>
      </c>
      <c r="AH252" s="608" t="str">
        <f t="shared" si="80"/>
        <v/>
      </c>
      <c r="AI252" s="610" t="str">
        <f t="shared" si="81"/>
        <v/>
      </c>
    </row>
    <row r="253" spans="2:35" x14ac:dyDescent="0.25">
      <c r="B253" s="209">
        <v>220</v>
      </c>
      <c r="C253" s="480"/>
      <c r="D253" s="480"/>
      <c r="E253" s="481"/>
      <c r="F253" s="480"/>
      <c r="G253" s="480"/>
      <c r="H253" s="607" t="str">
        <f t="shared" si="66"/>
        <v/>
      </c>
      <c r="I253" s="607" t="str">
        <f t="shared" si="67"/>
        <v/>
      </c>
      <c r="J253" s="607" t="str">
        <f t="shared" si="68"/>
        <v/>
      </c>
      <c r="K253" s="208" t="str">
        <f t="shared" si="69"/>
        <v/>
      </c>
      <c r="L253" s="208" t="str">
        <f t="shared" si="70"/>
        <v/>
      </c>
      <c r="M253" s="208" t="str">
        <f t="shared" si="82"/>
        <v/>
      </c>
      <c r="N253" s="608" t="str">
        <f>IF($D$3="", "", IFERROR(VLOOKUP(L253,'PIPE INCENTIVE'!$B$4:$E$19,2,FALSE),""))</f>
        <v/>
      </c>
      <c r="O253" s="608" t="str">
        <f t="shared" si="83"/>
        <v/>
      </c>
      <c r="P253" s="208" t="str">
        <f t="shared" si="84"/>
        <v/>
      </c>
      <c r="Q253" s="208" t="str">
        <f t="shared" si="71"/>
        <v/>
      </c>
      <c r="R253" s="609" t="str">
        <f t="shared" si="72"/>
        <v/>
      </c>
      <c r="S253" s="609" t="str">
        <f t="shared" si="73"/>
        <v/>
      </c>
      <c r="T253" s="609" t="str">
        <f t="shared" si="74"/>
        <v/>
      </c>
      <c r="U253" s="609" t="str" cm="1">
        <f t="array" ref="U253">IFERROR(IF($D$3="","",_xlfn.LET(_xlpm.Mixed,AND(COUNTIF($G$34:$G$533,"Heating_Hot_Water")&gt;0,(COUNTIF($G$34:$G$533,"Steam_Low_Pressure") + COUNTIF($G$34:$G$533,"Steam_Medium_Pressure") + COUNTIF($G$34:$G$533,"Steam_High_Pressure"))&gt;0),_xlpm.fluid, G253,_xlpm.fuel, K253,_xlpm.load,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3" s="609" t="str">
        <f t="shared" si="85"/>
        <v/>
      </c>
      <c r="W253" s="482"/>
      <c r="X253" s="397" t="str" cm="1">
        <f t="array" ref="X253">IFERROR(IF($D$3="","", _xlfn.XLOOKUP(1,($AR$36:$AR$53=F253)*($AS$36:$AS$53=G253), INDEX($AT$36:$BJ$53,,_xlfn.XMATCH(E253,$AT$35:$BJ$35)))),"")</f>
        <v/>
      </c>
      <c r="Y253" s="480"/>
      <c r="Z253" s="482"/>
      <c r="AA253" s="607" t="str" cm="1">
        <f t="array" ref="AA253">IFERROR(IF($D$3="", "", _xlfn.LET(_xlpm.dia, E253, _xlpm.thk, Z253, _xlpm.temp, I253,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3" s="397" t="str" cm="1">
        <f t="array" ref="AB253">IFERROR(IF($D$3="", "", _xlfn.XLOOKUP(1,($AR$57:$AR$76=Y253)*($AS$57:$AS$76=Z253), INDEX($AT$57:$BJ$76,,_xlfn.XMATCH(E253,$AT$56:$BJ$56)))),"")</f>
        <v/>
      </c>
      <c r="AC253" s="208" t="str">
        <f t="shared" si="75"/>
        <v/>
      </c>
      <c r="AD253" s="397" t="str">
        <f t="shared" si="76"/>
        <v/>
      </c>
      <c r="AE253" s="610" t="str">
        <f t="shared" si="77"/>
        <v/>
      </c>
      <c r="AF253" s="610" t="str">
        <f t="shared" si="78"/>
        <v/>
      </c>
      <c r="AG253" s="610" t="str">
        <f t="shared" si="79"/>
        <v/>
      </c>
      <c r="AH253" s="608" t="str">
        <f t="shared" si="80"/>
        <v/>
      </c>
      <c r="AI253" s="610" t="str">
        <f t="shared" si="81"/>
        <v/>
      </c>
    </row>
    <row r="254" spans="2:35" x14ac:dyDescent="0.25">
      <c r="B254" s="209">
        <v>221</v>
      </c>
      <c r="C254" s="480"/>
      <c r="D254" s="480"/>
      <c r="E254" s="481"/>
      <c r="F254" s="480"/>
      <c r="G254" s="480"/>
      <c r="H254" s="607" t="str">
        <f t="shared" si="66"/>
        <v/>
      </c>
      <c r="I254" s="607" t="str">
        <f t="shared" si="67"/>
        <v/>
      </c>
      <c r="J254" s="607" t="str">
        <f t="shared" si="68"/>
        <v/>
      </c>
      <c r="K254" s="208" t="str">
        <f t="shared" si="69"/>
        <v/>
      </c>
      <c r="L254" s="208" t="str">
        <f t="shared" si="70"/>
        <v/>
      </c>
      <c r="M254" s="208" t="str">
        <f t="shared" si="82"/>
        <v/>
      </c>
      <c r="N254" s="608" t="str">
        <f>IF($D$3="", "", IFERROR(VLOOKUP(L254,'PIPE INCENTIVE'!$B$4:$E$19,2,FALSE),""))</f>
        <v/>
      </c>
      <c r="O254" s="608" t="str">
        <f t="shared" si="83"/>
        <v/>
      </c>
      <c r="P254" s="208" t="str">
        <f t="shared" si="84"/>
        <v/>
      </c>
      <c r="Q254" s="208" t="str">
        <f t="shared" si="71"/>
        <v/>
      </c>
      <c r="R254" s="609" t="str">
        <f t="shared" si="72"/>
        <v/>
      </c>
      <c r="S254" s="609" t="str">
        <f t="shared" si="73"/>
        <v/>
      </c>
      <c r="T254" s="609" t="str">
        <f t="shared" si="74"/>
        <v/>
      </c>
      <c r="U254" s="609" t="str" cm="1">
        <f t="array" ref="U254">IFERROR(IF($D$3="","",_xlfn.LET(_xlpm.Mixed,AND(COUNTIF($G$34:$G$533,"Heating_Hot_Water")&gt;0,(COUNTIF($G$34:$G$533,"Steam_Low_Pressure") + COUNTIF($G$34:$G$533,"Steam_Medium_Pressure") + COUNTIF($G$34:$G$533,"Steam_High_Pressure"))&gt;0),_xlpm.fluid, G254,_xlpm.fuel, K254,_xlpm.load,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4" s="609" t="str">
        <f t="shared" si="85"/>
        <v/>
      </c>
      <c r="W254" s="482"/>
      <c r="X254" s="397" t="str" cm="1">
        <f t="array" ref="X254">IFERROR(IF($D$3="","", _xlfn.XLOOKUP(1,($AR$36:$AR$53=F254)*($AS$36:$AS$53=G254), INDEX($AT$36:$BJ$53,,_xlfn.XMATCH(E254,$AT$35:$BJ$35)))),"")</f>
        <v/>
      </c>
      <c r="Y254" s="480"/>
      <c r="Z254" s="482"/>
      <c r="AA254" s="607" t="str" cm="1">
        <f t="array" ref="AA254">IFERROR(IF($D$3="", "", _xlfn.LET(_xlpm.dia, E254, _xlpm.thk, Z254, _xlpm.temp, I254,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4" s="397" t="str" cm="1">
        <f t="array" ref="AB254">IFERROR(IF($D$3="", "", _xlfn.XLOOKUP(1,($AR$57:$AR$76=Y254)*($AS$57:$AS$76=Z254), INDEX($AT$57:$BJ$76,,_xlfn.XMATCH(E254,$AT$56:$BJ$56)))),"")</f>
        <v/>
      </c>
      <c r="AC254" s="208" t="str">
        <f t="shared" si="75"/>
        <v/>
      </c>
      <c r="AD254" s="397" t="str">
        <f t="shared" si="76"/>
        <v/>
      </c>
      <c r="AE254" s="610" t="str">
        <f t="shared" si="77"/>
        <v/>
      </c>
      <c r="AF254" s="610" t="str">
        <f t="shared" si="78"/>
        <v/>
      </c>
      <c r="AG254" s="610" t="str">
        <f t="shared" si="79"/>
        <v/>
      </c>
      <c r="AH254" s="608" t="str">
        <f t="shared" si="80"/>
        <v/>
      </c>
      <c r="AI254" s="610" t="str">
        <f t="shared" si="81"/>
        <v/>
      </c>
    </row>
    <row r="255" spans="2:35" x14ac:dyDescent="0.25">
      <c r="B255" s="209">
        <v>222</v>
      </c>
      <c r="C255" s="480"/>
      <c r="D255" s="480"/>
      <c r="E255" s="481"/>
      <c r="F255" s="480"/>
      <c r="G255" s="480"/>
      <c r="H255" s="607" t="str">
        <f t="shared" si="66"/>
        <v/>
      </c>
      <c r="I255" s="607" t="str">
        <f t="shared" si="67"/>
        <v/>
      </c>
      <c r="J255" s="607" t="str">
        <f t="shared" si="68"/>
        <v/>
      </c>
      <c r="K255" s="208" t="str">
        <f t="shared" si="69"/>
        <v/>
      </c>
      <c r="L255" s="208" t="str">
        <f t="shared" si="70"/>
        <v/>
      </c>
      <c r="M255" s="208" t="str">
        <f t="shared" si="82"/>
        <v/>
      </c>
      <c r="N255" s="608" t="str">
        <f>IF($D$3="", "", IFERROR(VLOOKUP(L255,'PIPE INCENTIVE'!$B$4:$E$19,2,FALSE),""))</f>
        <v/>
      </c>
      <c r="O255" s="608" t="str">
        <f t="shared" si="83"/>
        <v/>
      </c>
      <c r="P255" s="208" t="str">
        <f t="shared" si="84"/>
        <v/>
      </c>
      <c r="Q255" s="208" t="str">
        <f t="shared" si="71"/>
        <v/>
      </c>
      <c r="R255" s="609" t="str">
        <f t="shared" si="72"/>
        <v/>
      </c>
      <c r="S255" s="609" t="str">
        <f t="shared" si="73"/>
        <v/>
      </c>
      <c r="T255" s="609" t="str">
        <f t="shared" si="74"/>
        <v/>
      </c>
      <c r="U255" s="609" t="str" cm="1">
        <f t="array" ref="U255">IFERROR(IF($D$3="","",_xlfn.LET(_xlpm.Mixed,AND(COUNTIF($G$34:$G$533,"Heating_Hot_Water")&gt;0,(COUNTIF($G$34:$G$533,"Steam_Low_Pressure") + COUNTIF($G$34:$G$533,"Steam_Medium_Pressure") + COUNTIF($G$34:$G$533,"Steam_High_Pressure"))&gt;0),_xlpm.fluid, G255,_xlpm.fuel, K255,_xlpm.load,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5" s="609" t="str">
        <f t="shared" si="85"/>
        <v/>
      </c>
      <c r="W255" s="482"/>
      <c r="X255" s="397" t="str" cm="1">
        <f t="array" ref="X255">IFERROR(IF($D$3="","", _xlfn.XLOOKUP(1,($AR$36:$AR$53=F255)*($AS$36:$AS$53=G255), INDEX($AT$36:$BJ$53,,_xlfn.XMATCH(E255,$AT$35:$BJ$35)))),"")</f>
        <v/>
      </c>
      <c r="Y255" s="480"/>
      <c r="Z255" s="482"/>
      <c r="AA255" s="607" t="str" cm="1">
        <f t="array" ref="AA255">IFERROR(IF($D$3="", "", _xlfn.LET(_xlpm.dia, E255, _xlpm.thk, Z255, _xlpm.temp, I255,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5" s="397" t="str" cm="1">
        <f t="array" ref="AB255">IFERROR(IF($D$3="", "", _xlfn.XLOOKUP(1,($AR$57:$AR$76=Y255)*($AS$57:$AS$76=Z255), INDEX($AT$57:$BJ$76,,_xlfn.XMATCH(E255,$AT$56:$BJ$56)))),"")</f>
        <v/>
      </c>
      <c r="AC255" s="208" t="str">
        <f t="shared" si="75"/>
        <v/>
      </c>
      <c r="AD255" s="397" t="str">
        <f t="shared" si="76"/>
        <v/>
      </c>
      <c r="AE255" s="610" t="str">
        <f t="shared" si="77"/>
        <v/>
      </c>
      <c r="AF255" s="610" t="str">
        <f t="shared" si="78"/>
        <v/>
      </c>
      <c r="AG255" s="610" t="str">
        <f t="shared" si="79"/>
        <v/>
      </c>
      <c r="AH255" s="608" t="str">
        <f t="shared" si="80"/>
        <v/>
      </c>
      <c r="AI255" s="610" t="str">
        <f t="shared" si="81"/>
        <v/>
      </c>
    </row>
    <row r="256" spans="2:35" x14ac:dyDescent="0.25">
      <c r="B256" s="209">
        <v>223</v>
      </c>
      <c r="C256" s="480"/>
      <c r="D256" s="480"/>
      <c r="E256" s="481"/>
      <c r="F256" s="480"/>
      <c r="G256" s="480"/>
      <c r="H256" s="607" t="str">
        <f t="shared" si="66"/>
        <v/>
      </c>
      <c r="I256" s="607" t="str">
        <f t="shared" si="67"/>
        <v/>
      </c>
      <c r="J256" s="607" t="str">
        <f t="shared" si="68"/>
        <v/>
      </c>
      <c r="K256" s="208" t="str">
        <f t="shared" si="69"/>
        <v/>
      </c>
      <c r="L256" s="208" t="str">
        <f t="shared" si="70"/>
        <v/>
      </c>
      <c r="M256" s="208" t="str">
        <f t="shared" si="82"/>
        <v/>
      </c>
      <c r="N256" s="608" t="str">
        <f>IF($D$3="", "", IFERROR(VLOOKUP(L256,'PIPE INCENTIVE'!$B$4:$E$19,2,FALSE),""))</f>
        <v/>
      </c>
      <c r="O256" s="608" t="str">
        <f t="shared" si="83"/>
        <v/>
      </c>
      <c r="P256" s="208" t="str">
        <f t="shared" si="84"/>
        <v/>
      </c>
      <c r="Q256" s="208" t="str">
        <f t="shared" si="71"/>
        <v/>
      </c>
      <c r="R256" s="609" t="str">
        <f t="shared" si="72"/>
        <v/>
      </c>
      <c r="S256" s="609" t="str">
        <f t="shared" si="73"/>
        <v/>
      </c>
      <c r="T256" s="609" t="str">
        <f t="shared" si="74"/>
        <v/>
      </c>
      <c r="U256" s="609" t="str" cm="1">
        <f t="array" ref="U256">IFERROR(IF($D$3="","",_xlfn.LET(_xlpm.Mixed,AND(COUNTIF($G$34:$G$533,"Heating_Hot_Water")&gt;0,(COUNTIF($G$34:$G$533,"Steam_Low_Pressure") + COUNTIF($G$34:$G$533,"Steam_Medium_Pressure") + COUNTIF($G$34:$G$533,"Steam_High_Pressure"))&gt;0),_xlpm.fluid, G256,_xlpm.fuel, K256,_xlpm.load,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6" s="609" t="str">
        <f t="shared" si="85"/>
        <v/>
      </c>
      <c r="W256" s="482"/>
      <c r="X256" s="397" t="str" cm="1">
        <f t="array" ref="X256">IFERROR(IF($D$3="","", _xlfn.XLOOKUP(1,($AR$36:$AR$53=F256)*($AS$36:$AS$53=G256), INDEX($AT$36:$BJ$53,,_xlfn.XMATCH(E256,$AT$35:$BJ$35)))),"")</f>
        <v/>
      </c>
      <c r="Y256" s="480"/>
      <c r="Z256" s="482"/>
      <c r="AA256" s="607" t="str" cm="1">
        <f t="array" ref="AA256">IFERROR(IF($D$3="", "", _xlfn.LET(_xlpm.dia, E256, _xlpm.thk, Z256, _xlpm.temp, I256,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6" s="397" t="str" cm="1">
        <f t="array" ref="AB256">IFERROR(IF($D$3="", "", _xlfn.XLOOKUP(1,($AR$57:$AR$76=Y256)*($AS$57:$AS$76=Z256), INDEX($AT$57:$BJ$76,,_xlfn.XMATCH(E256,$AT$56:$BJ$56)))),"")</f>
        <v/>
      </c>
      <c r="AC256" s="208" t="str">
        <f t="shared" si="75"/>
        <v/>
      </c>
      <c r="AD256" s="397" t="str">
        <f t="shared" si="76"/>
        <v/>
      </c>
      <c r="AE256" s="610" t="str">
        <f t="shared" si="77"/>
        <v/>
      </c>
      <c r="AF256" s="610" t="str">
        <f t="shared" si="78"/>
        <v/>
      </c>
      <c r="AG256" s="610" t="str">
        <f t="shared" si="79"/>
        <v/>
      </c>
      <c r="AH256" s="608" t="str">
        <f t="shared" si="80"/>
        <v/>
      </c>
      <c r="AI256" s="610" t="str">
        <f t="shared" si="81"/>
        <v/>
      </c>
    </row>
    <row r="257" spans="2:35" x14ac:dyDescent="0.25">
      <c r="B257" s="209">
        <v>224</v>
      </c>
      <c r="C257" s="480"/>
      <c r="D257" s="480"/>
      <c r="E257" s="481"/>
      <c r="F257" s="480"/>
      <c r="G257" s="480"/>
      <c r="H257" s="607" t="str">
        <f t="shared" si="66"/>
        <v/>
      </c>
      <c r="I257" s="607" t="str">
        <f t="shared" si="67"/>
        <v/>
      </c>
      <c r="J257" s="607" t="str">
        <f t="shared" si="68"/>
        <v/>
      </c>
      <c r="K257" s="208" t="str">
        <f t="shared" si="69"/>
        <v/>
      </c>
      <c r="L257" s="208" t="str">
        <f t="shared" si="70"/>
        <v/>
      </c>
      <c r="M257" s="208" t="str">
        <f t="shared" si="82"/>
        <v/>
      </c>
      <c r="N257" s="608" t="str">
        <f>IF($D$3="", "", IFERROR(VLOOKUP(L257,'PIPE INCENTIVE'!$B$4:$E$19,2,FALSE),""))</f>
        <v/>
      </c>
      <c r="O257" s="608" t="str">
        <f t="shared" si="83"/>
        <v/>
      </c>
      <c r="P257" s="208" t="str">
        <f t="shared" si="84"/>
        <v/>
      </c>
      <c r="Q257" s="208" t="str">
        <f t="shared" si="71"/>
        <v/>
      </c>
      <c r="R257" s="609" t="str">
        <f t="shared" si="72"/>
        <v/>
      </c>
      <c r="S257" s="609" t="str">
        <f t="shared" si="73"/>
        <v/>
      </c>
      <c r="T257" s="609" t="str">
        <f t="shared" si="74"/>
        <v/>
      </c>
      <c r="U257" s="609" t="str" cm="1">
        <f t="array" ref="U257">IFERROR(IF($D$3="","",_xlfn.LET(_xlpm.Mixed,AND(COUNTIF($G$34:$G$533,"Heating_Hot_Water")&gt;0,(COUNTIF($G$34:$G$533,"Steam_Low_Pressure") + COUNTIF($G$34:$G$533,"Steam_Medium_Pressure") + COUNTIF($G$34:$G$533,"Steam_High_Pressure"))&gt;0),_xlpm.fluid, G257,_xlpm.fuel, K257,_xlpm.load,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7" s="609" t="str">
        <f t="shared" si="85"/>
        <v/>
      </c>
      <c r="W257" s="482"/>
      <c r="X257" s="397" t="str" cm="1">
        <f t="array" ref="X257">IFERROR(IF($D$3="","", _xlfn.XLOOKUP(1,($AR$36:$AR$53=F257)*($AS$36:$AS$53=G257), INDEX($AT$36:$BJ$53,,_xlfn.XMATCH(E257,$AT$35:$BJ$35)))),"")</f>
        <v/>
      </c>
      <c r="Y257" s="480"/>
      <c r="Z257" s="482"/>
      <c r="AA257" s="607" t="str" cm="1">
        <f t="array" ref="AA257">IFERROR(IF($D$3="", "", _xlfn.LET(_xlpm.dia, E257, _xlpm.thk, Z257, _xlpm.temp, I257,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7" s="397" t="str" cm="1">
        <f t="array" ref="AB257">IFERROR(IF($D$3="", "", _xlfn.XLOOKUP(1,($AR$57:$AR$76=Y257)*($AS$57:$AS$76=Z257), INDEX($AT$57:$BJ$76,,_xlfn.XMATCH(E257,$AT$56:$BJ$56)))),"")</f>
        <v/>
      </c>
      <c r="AC257" s="208" t="str">
        <f t="shared" si="75"/>
        <v/>
      </c>
      <c r="AD257" s="397" t="str">
        <f t="shared" si="76"/>
        <v/>
      </c>
      <c r="AE257" s="610" t="str">
        <f t="shared" si="77"/>
        <v/>
      </c>
      <c r="AF257" s="610" t="str">
        <f t="shared" si="78"/>
        <v/>
      </c>
      <c r="AG257" s="610" t="str">
        <f t="shared" si="79"/>
        <v/>
      </c>
      <c r="AH257" s="608" t="str">
        <f t="shared" si="80"/>
        <v/>
      </c>
      <c r="AI257" s="610" t="str">
        <f t="shared" si="81"/>
        <v/>
      </c>
    </row>
    <row r="258" spans="2:35" x14ac:dyDescent="0.25">
      <c r="B258" s="209">
        <v>225</v>
      </c>
      <c r="C258" s="480"/>
      <c r="D258" s="480"/>
      <c r="E258" s="481"/>
      <c r="F258" s="480"/>
      <c r="G258" s="480"/>
      <c r="H258" s="607" t="str">
        <f t="shared" si="66"/>
        <v/>
      </c>
      <c r="I258" s="607" t="str">
        <f t="shared" si="67"/>
        <v/>
      </c>
      <c r="J258" s="607" t="str">
        <f t="shared" si="68"/>
        <v/>
      </c>
      <c r="K258" s="208" t="str">
        <f t="shared" si="69"/>
        <v/>
      </c>
      <c r="L258" s="208" t="str">
        <f t="shared" si="70"/>
        <v/>
      </c>
      <c r="M258" s="208" t="str">
        <f t="shared" si="82"/>
        <v/>
      </c>
      <c r="N258" s="608" t="str">
        <f>IF($D$3="", "", IFERROR(VLOOKUP(L258,'PIPE INCENTIVE'!$B$4:$E$19,2,FALSE),""))</f>
        <v/>
      </c>
      <c r="O258" s="608" t="str">
        <f t="shared" si="83"/>
        <v/>
      </c>
      <c r="P258" s="208" t="str">
        <f t="shared" si="84"/>
        <v/>
      </c>
      <c r="Q258" s="208" t="str">
        <f t="shared" si="71"/>
        <v/>
      </c>
      <c r="R258" s="609" t="str">
        <f t="shared" si="72"/>
        <v/>
      </c>
      <c r="S258" s="609" t="str">
        <f t="shared" si="73"/>
        <v/>
      </c>
      <c r="T258" s="609" t="str">
        <f t="shared" si="74"/>
        <v/>
      </c>
      <c r="U258" s="609" t="str" cm="1">
        <f t="array" ref="U258">IFERROR(IF($D$3="","",_xlfn.LET(_xlpm.Mixed,AND(COUNTIF($G$34:$G$533,"Heating_Hot_Water")&gt;0,(COUNTIF($G$34:$G$533,"Steam_Low_Pressure") + COUNTIF($G$34:$G$533,"Steam_Medium_Pressure") + COUNTIF($G$34:$G$533,"Steam_High_Pressure"))&gt;0),_xlpm.fluid, G258,_xlpm.fuel, K258,_xlpm.load,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8" s="609" t="str">
        <f t="shared" si="85"/>
        <v/>
      </c>
      <c r="W258" s="482"/>
      <c r="X258" s="397" t="str" cm="1">
        <f t="array" ref="X258">IFERROR(IF($D$3="","", _xlfn.XLOOKUP(1,($AR$36:$AR$53=F258)*($AS$36:$AS$53=G258), INDEX($AT$36:$BJ$53,,_xlfn.XMATCH(E258,$AT$35:$BJ$35)))),"")</f>
        <v/>
      </c>
      <c r="Y258" s="480"/>
      <c r="Z258" s="482"/>
      <c r="AA258" s="607" t="str" cm="1">
        <f t="array" ref="AA258">IFERROR(IF($D$3="", "", _xlfn.LET(_xlpm.dia, E258, _xlpm.thk, Z258, _xlpm.temp, I258,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8" s="397" t="str" cm="1">
        <f t="array" ref="AB258">IFERROR(IF($D$3="", "", _xlfn.XLOOKUP(1,($AR$57:$AR$76=Y258)*($AS$57:$AS$76=Z258), INDEX($AT$57:$BJ$76,,_xlfn.XMATCH(E258,$AT$56:$BJ$56)))),"")</f>
        <v/>
      </c>
      <c r="AC258" s="208" t="str">
        <f t="shared" si="75"/>
        <v/>
      </c>
      <c r="AD258" s="397" t="str">
        <f t="shared" si="76"/>
        <v/>
      </c>
      <c r="AE258" s="610" t="str">
        <f t="shared" si="77"/>
        <v/>
      </c>
      <c r="AF258" s="610" t="str">
        <f t="shared" si="78"/>
        <v/>
      </c>
      <c r="AG258" s="610" t="str">
        <f t="shared" si="79"/>
        <v/>
      </c>
      <c r="AH258" s="608" t="str">
        <f t="shared" si="80"/>
        <v/>
      </c>
      <c r="AI258" s="610" t="str">
        <f t="shared" si="81"/>
        <v/>
      </c>
    </row>
    <row r="259" spans="2:35" x14ac:dyDescent="0.25">
      <c r="B259" s="209">
        <v>226</v>
      </c>
      <c r="C259" s="480"/>
      <c r="D259" s="480"/>
      <c r="E259" s="481"/>
      <c r="F259" s="480"/>
      <c r="G259" s="480"/>
      <c r="H259" s="607" t="str">
        <f t="shared" si="66"/>
        <v/>
      </c>
      <c r="I259" s="607" t="str">
        <f t="shared" si="67"/>
        <v/>
      </c>
      <c r="J259" s="607" t="str">
        <f t="shared" si="68"/>
        <v/>
      </c>
      <c r="K259" s="208" t="str">
        <f t="shared" si="69"/>
        <v/>
      </c>
      <c r="L259" s="208" t="str">
        <f t="shared" si="70"/>
        <v/>
      </c>
      <c r="M259" s="208" t="str">
        <f t="shared" si="82"/>
        <v/>
      </c>
      <c r="N259" s="608" t="str">
        <f>IF($D$3="", "", IFERROR(VLOOKUP(L259,'PIPE INCENTIVE'!$B$4:$E$19,2,FALSE),""))</f>
        <v/>
      </c>
      <c r="O259" s="608" t="str">
        <f t="shared" si="83"/>
        <v/>
      </c>
      <c r="P259" s="208" t="str">
        <f t="shared" si="84"/>
        <v/>
      </c>
      <c r="Q259" s="208" t="str">
        <f t="shared" si="71"/>
        <v/>
      </c>
      <c r="R259" s="609" t="str">
        <f t="shared" si="72"/>
        <v/>
      </c>
      <c r="S259" s="609" t="str">
        <f t="shared" si="73"/>
        <v/>
      </c>
      <c r="T259" s="609" t="str">
        <f t="shared" si="74"/>
        <v/>
      </c>
      <c r="U259" s="609" t="str" cm="1">
        <f t="array" ref="U259">IFERROR(IF($D$3="","",_xlfn.LET(_xlpm.Mixed,AND(COUNTIF($G$34:$G$533,"Heating_Hot_Water")&gt;0,(COUNTIF($G$34:$G$533,"Steam_Low_Pressure") + COUNTIF($G$34:$G$533,"Steam_Medium_Pressure") + COUNTIF($G$34:$G$533,"Steam_High_Pressure"))&gt;0),_xlpm.fluid, G259,_xlpm.fuel, K259,_xlpm.load,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59" s="609" t="str">
        <f t="shared" si="85"/>
        <v/>
      </c>
      <c r="W259" s="482"/>
      <c r="X259" s="397" t="str" cm="1">
        <f t="array" ref="X259">IFERROR(IF($D$3="","", _xlfn.XLOOKUP(1,($AR$36:$AR$53=F259)*($AS$36:$AS$53=G259), INDEX($AT$36:$BJ$53,,_xlfn.XMATCH(E259,$AT$35:$BJ$35)))),"")</f>
        <v/>
      </c>
      <c r="Y259" s="480"/>
      <c r="Z259" s="482"/>
      <c r="AA259" s="607" t="str" cm="1">
        <f t="array" ref="AA259">IFERROR(IF($D$3="", "", _xlfn.LET(_xlpm.dia, E259, _xlpm.thk, Z259, _xlpm.temp, I259,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59" s="397" t="str" cm="1">
        <f t="array" ref="AB259">IFERROR(IF($D$3="", "", _xlfn.XLOOKUP(1,($AR$57:$AR$76=Y259)*($AS$57:$AS$76=Z259), INDEX($AT$57:$BJ$76,,_xlfn.XMATCH(E259,$AT$56:$BJ$56)))),"")</f>
        <v/>
      </c>
      <c r="AC259" s="208" t="str">
        <f t="shared" si="75"/>
        <v/>
      </c>
      <c r="AD259" s="397" t="str">
        <f t="shared" si="76"/>
        <v/>
      </c>
      <c r="AE259" s="610" t="str">
        <f t="shared" si="77"/>
        <v/>
      </c>
      <c r="AF259" s="610" t="str">
        <f t="shared" si="78"/>
        <v/>
      </c>
      <c r="AG259" s="610" t="str">
        <f t="shared" si="79"/>
        <v/>
      </c>
      <c r="AH259" s="608" t="str">
        <f t="shared" si="80"/>
        <v/>
      </c>
      <c r="AI259" s="610" t="str">
        <f t="shared" si="81"/>
        <v/>
      </c>
    </row>
    <row r="260" spans="2:35" x14ac:dyDescent="0.25">
      <c r="B260" s="209">
        <v>227</v>
      </c>
      <c r="C260" s="480"/>
      <c r="D260" s="480"/>
      <c r="E260" s="481"/>
      <c r="F260" s="480"/>
      <c r="G260" s="480"/>
      <c r="H260" s="607" t="str">
        <f t="shared" si="66"/>
        <v/>
      </c>
      <c r="I260" s="607" t="str">
        <f t="shared" si="67"/>
        <v/>
      </c>
      <c r="J260" s="607" t="str">
        <f t="shared" si="68"/>
        <v/>
      </c>
      <c r="K260" s="208" t="str">
        <f t="shared" si="69"/>
        <v/>
      </c>
      <c r="L260" s="208" t="str">
        <f t="shared" si="70"/>
        <v/>
      </c>
      <c r="M260" s="208" t="str">
        <f t="shared" si="82"/>
        <v/>
      </c>
      <c r="N260" s="608" t="str">
        <f>IF($D$3="", "", IFERROR(VLOOKUP(L260,'PIPE INCENTIVE'!$B$4:$E$19,2,FALSE),""))</f>
        <v/>
      </c>
      <c r="O260" s="608" t="str">
        <f t="shared" si="83"/>
        <v/>
      </c>
      <c r="P260" s="208" t="str">
        <f t="shared" si="84"/>
        <v/>
      </c>
      <c r="Q260" s="208" t="str">
        <f t="shared" si="71"/>
        <v/>
      </c>
      <c r="R260" s="609" t="str">
        <f t="shared" si="72"/>
        <v/>
      </c>
      <c r="S260" s="609" t="str">
        <f t="shared" si="73"/>
        <v/>
      </c>
      <c r="T260" s="609" t="str">
        <f t="shared" si="74"/>
        <v/>
      </c>
      <c r="U260" s="609" t="str" cm="1">
        <f t="array" ref="U260">IFERROR(IF($D$3="","",_xlfn.LET(_xlpm.Mixed,AND(COUNTIF($G$34:$G$533,"Heating_Hot_Water")&gt;0,(COUNTIF($G$34:$G$533,"Steam_Low_Pressure") + COUNTIF($G$34:$G$533,"Steam_Medium_Pressure") + COUNTIF($G$34:$G$533,"Steam_High_Pressure"))&gt;0),_xlpm.fluid, G260,_xlpm.fuel, K260,_xlpm.load,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0" s="609" t="str">
        <f t="shared" si="85"/>
        <v/>
      </c>
      <c r="W260" s="482"/>
      <c r="X260" s="397" t="str" cm="1">
        <f t="array" ref="X260">IFERROR(IF($D$3="","", _xlfn.XLOOKUP(1,($AR$36:$AR$53=F260)*($AS$36:$AS$53=G260), INDEX($AT$36:$BJ$53,,_xlfn.XMATCH(E260,$AT$35:$BJ$35)))),"")</f>
        <v/>
      </c>
      <c r="Y260" s="480"/>
      <c r="Z260" s="482"/>
      <c r="AA260" s="607" t="str" cm="1">
        <f t="array" ref="AA260">IFERROR(IF($D$3="", "", _xlfn.LET(_xlpm.dia, E260, _xlpm.thk, Z260, _xlpm.temp, I260,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0" s="397" t="str" cm="1">
        <f t="array" ref="AB260">IFERROR(IF($D$3="", "", _xlfn.XLOOKUP(1,($AR$57:$AR$76=Y260)*($AS$57:$AS$76=Z260), INDEX($AT$57:$BJ$76,,_xlfn.XMATCH(E260,$AT$56:$BJ$56)))),"")</f>
        <v/>
      </c>
      <c r="AC260" s="208" t="str">
        <f t="shared" si="75"/>
        <v/>
      </c>
      <c r="AD260" s="397" t="str">
        <f t="shared" si="76"/>
        <v/>
      </c>
      <c r="AE260" s="610" t="str">
        <f t="shared" si="77"/>
        <v/>
      </c>
      <c r="AF260" s="610" t="str">
        <f t="shared" si="78"/>
        <v/>
      </c>
      <c r="AG260" s="610" t="str">
        <f t="shared" si="79"/>
        <v/>
      </c>
      <c r="AH260" s="608" t="str">
        <f t="shared" si="80"/>
        <v/>
      </c>
      <c r="AI260" s="610" t="str">
        <f t="shared" si="81"/>
        <v/>
      </c>
    </row>
    <row r="261" spans="2:35" x14ac:dyDescent="0.25">
      <c r="B261" s="209">
        <v>228</v>
      </c>
      <c r="C261" s="480"/>
      <c r="D261" s="480"/>
      <c r="E261" s="481"/>
      <c r="F261" s="480"/>
      <c r="G261" s="480"/>
      <c r="H261" s="607" t="str">
        <f t="shared" si="66"/>
        <v/>
      </c>
      <c r="I261" s="607" t="str">
        <f t="shared" si="67"/>
        <v/>
      </c>
      <c r="J261" s="607" t="str">
        <f t="shared" si="68"/>
        <v/>
      </c>
      <c r="K261" s="208" t="str">
        <f t="shared" si="69"/>
        <v/>
      </c>
      <c r="L261" s="208" t="str">
        <f t="shared" si="70"/>
        <v/>
      </c>
      <c r="M261" s="208" t="str">
        <f t="shared" si="82"/>
        <v/>
      </c>
      <c r="N261" s="608" t="str">
        <f>IF($D$3="", "", IFERROR(VLOOKUP(L261,'PIPE INCENTIVE'!$B$4:$E$19,2,FALSE),""))</f>
        <v/>
      </c>
      <c r="O261" s="608" t="str">
        <f t="shared" si="83"/>
        <v/>
      </c>
      <c r="P261" s="208" t="str">
        <f t="shared" si="84"/>
        <v/>
      </c>
      <c r="Q261" s="208" t="str">
        <f t="shared" si="71"/>
        <v/>
      </c>
      <c r="R261" s="609" t="str">
        <f t="shared" si="72"/>
        <v/>
      </c>
      <c r="S261" s="609" t="str">
        <f t="shared" si="73"/>
        <v/>
      </c>
      <c r="T261" s="609" t="str">
        <f t="shared" si="74"/>
        <v/>
      </c>
      <c r="U261" s="609" t="str" cm="1">
        <f t="array" ref="U261">IFERROR(IF($D$3="","",_xlfn.LET(_xlpm.Mixed,AND(COUNTIF($G$34:$G$533,"Heating_Hot_Water")&gt;0,(COUNTIF($G$34:$G$533,"Steam_Low_Pressure") + COUNTIF($G$34:$G$533,"Steam_Medium_Pressure") + COUNTIF($G$34:$G$533,"Steam_High_Pressure"))&gt;0),_xlpm.fluid, G261,_xlpm.fuel, K261,_xlpm.load,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1" s="609" t="str">
        <f t="shared" si="85"/>
        <v/>
      </c>
      <c r="W261" s="482"/>
      <c r="X261" s="397" t="str" cm="1">
        <f t="array" ref="X261">IFERROR(IF($D$3="","", _xlfn.XLOOKUP(1,($AR$36:$AR$53=F261)*($AS$36:$AS$53=G261), INDEX($AT$36:$BJ$53,,_xlfn.XMATCH(E261,$AT$35:$BJ$35)))),"")</f>
        <v/>
      </c>
      <c r="Y261" s="480"/>
      <c r="Z261" s="482"/>
      <c r="AA261" s="607" t="str" cm="1">
        <f t="array" ref="AA261">IFERROR(IF($D$3="", "", _xlfn.LET(_xlpm.dia, E261, _xlpm.thk, Z261, _xlpm.temp, I261,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1" s="397" t="str" cm="1">
        <f t="array" ref="AB261">IFERROR(IF($D$3="", "", _xlfn.XLOOKUP(1,($AR$57:$AR$76=Y261)*($AS$57:$AS$76=Z261), INDEX($AT$57:$BJ$76,,_xlfn.XMATCH(E261,$AT$56:$BJ$56)))),"")</f>
        <v/>
      </c>
      <c r="AC261" s="208" t="str">
        <f t="shared" si="75"/>
        <v/>
      </c>
      <c r="AD261" s="397" t="str">
        <f t="shared" si="76"/>
        <v/>
      </c>
      <c r="AE261" s="610" t="str">
        <f t="shared" si="77"/>
        <v/>
      </c>
      <c r="AF261" s="610" t="str">
        <f t="shared" si="78"/>
        <v/>
      </c>
      <c r="AG261" s="610" t="str">
        <f t="shared" si="79"/>
        <v/>
      </c>
      <c r="AH261" s="608" t="str">
        <f t="shared" si="80"/>
        <v/>
      </c>
      <c r="AI261" s="610" t="str">
        <f t="shared" si="81"/>
        <v/>
      </c>
    </row>
    <row r="262" spans="2:35" x14ac:dyDescent="0.25">
      <c r="B262" s="209">
        <v>229</v>
      </c>
      <c r="C262" s="480"/>
      <c r="D262" s="480"/>
      <c r="E262" s="481"/>
      <c r="F262" s="480"/>
      <c r="G262" s="480"/>
      <c r="H262" s="607" t="str">
        <f t="shared" si="66"/>
        <v/>
      </c>
      <c r="I262" s="607" t="str">
        <f t="shared" si="67"/>
        <v/>
      </c>
      <c r="J262" s="607" t="str">
        <f t="shared" si="68"/>
        <v/>
      </c>
      <c r="K262" s="208" t="str">
        <f t="shared" si="69"/>
        <v/>
      </c>
      <c r="L262" s="208" t="str">
        <f t="shared" si="70"/>
        <v/>
      </c>
      <c r="M262" s="208" t="str">
        <f t="shared" si="82"/>
        <v/>
      </c>
      <c r="N262" s="608" t="str">
        <f>IF($D$3="", "", IFERROR(VLOOKUP(L262,'PIPE INCENTIVE'!$B$4:$E$19,2,FALSE),""))</f>
        <v/>
      </c>
      <c r="O262" s="608" t="str">
        <f t="shared" si="83"/>
        <v/>
      </c>
      <c r="P262" s="208" t="str">
        <f t="shared" si="84"/>
        <v/>
      </c>
      <c r="Q262" s="208" t="str">
        <f t="shared" si="71"/>
        <v/>
      </c>
      <c r="R262" s="609" t="str">
        <f t="shared" si="72"/>
        <v/>
      </c>
      <c r="S262" s="609" t="str">
        <f t="shared" si="73"/>
        <v/>
      </c>
      <c r="T262" s="609" t="str">
        <f t="shared" si="74"/>
        <v/>
      </c>
      <c r="U262" s="609" t="str" cm="1">
        <f t="array" ref="U262">IFERROR(IF($D$3="","",_xlfn.LET(_xlpm.Mixed,AND(COUNTIF($G$34:$G$533,"Heating_Hot_Water")&gt;0,(COUNTIF($G$34:$G$533,"Steam_Low_Pressure") + COUNTIF($G$34:$G$533,"Steam_Medium_Pressure") + COUNTIF($G$34:$G$533,"Steam_High_Pressure"))&gt;0),_xlpm.fluid, G262,_xlpm.fuel, K262,_xlpm.load,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2" s="609" t="str">
        <f t="shared" si="85"/>
        <v/>
      </c>
      <c r="W262" s="482"/>
      <c r="X262" s="397" t="str" cm="1">
        <f t="array" ref="X262">IFERROR(IF($D$3="","", _xlfn.XLOOKUP(1,($AR$36:$AR$53=F262)*($AS$36:$AS$53=G262), INDEX($AT$36:$BJ$53,,_xlfn.XMATCH(E262,$AT$35:$BJ$35)))),"")</f>
        <v/>
      </c>
      <c r="Y262" s="480"/>
      <c r="Z262" s="482"/>
      <c r="AA262" s="607" t="str" cm="1">
        <f t="array" ref="AA262">IFERROR(IF($D$3="", "", _xlfn.LET(_xlpm.dia, E262, _xlpm.thk, Z262, _xlpm.temp, I262,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2" s="397" t="str" cm="1">
        <f t="array" ref="AB262">IFERROR(IF($D$3="", "", _xlfn.XLOOKUP(1,($AR$57:$AR$76=Y262)*($AS$57:$AS$76=Z262), INDEX($AT$57:$BJ$76,,_xlfn.XMATCH(E262,$AT$56:$BJ$56)))),"")</f>
        <v/>
      </c>
      <c r="AC262" s="208" t="str">
        <f t="shared" si="75"/>
        <v/>
      </c>
      <c r="AD262" s="397" t="str">
        <f t="shared" si="76"/>
        <v/>
      </c>
      <c r="AE262" s="610" t="str">
        <f t="shared" si="77"/>
        <v/>
      </c>
      <c r="AF262" s="610" t="str">
        <f t="shared" si="78"/>
        <v/>
      </c>
      <c r="AG262" s="610" t="str">
        <f t="shared" si="79"/>
        <v/>
      </c>
      <c r="AH262" s="608" t="str">
        <f t="shared" si="80"/>
        <v/>
      </c>
      <c r="AI262" s="610" t="str">
        <f t="shared" si="81"/>
        <v/>
      </c>
    </row>
    <row r="263" spans="2:35" x14ac:dyDescent="0.25">
      <c r="B263" s="209">
        <v>230</v>
      </c>
      <c r="C263" s="480"/>
      <c r="D263" s="480"/>
      <c r="E263" s="481"/>
      <c r="F263" s="480"/>
      <c r="G263" s="480"/>
      <c r="H263" s="607" t="str">
        <f t="shared" si="66"/>
        <v/>
      </c>
      <c r="I263" s="607" t="str">
        <f t="shared" si="67"/>
        <v/>
      </c>
      <c r="J263" s="607" t="str">
        <f t="shared" si="68"/>
        <v/>
      </c>
      <c r="K263" s="208" t="str">
        <f t="shared" si="69"/>
        <v/>
      </c>
      <c r="L263" s="208" t="str">
        <f t="shared" si="70"/>
        <v/>
      </c>
      <c r="M263" s="208" t="str">
        <f t="shared" si="82"/>
        <v/>
      </c>
      <c r="N263" s="608" t="str">
        <f>IF($D$3="", "", IFERROR(VLOOKUP(L263,'PIPE INCENTIVE'!$B$4:$E$19,2,FALSE),""))</f>
        <v/>
      </c>
      <c r="O263" s="608" t="str">
        <f t="shared" si="83"/>
        <v/>
      </c>
      <c r="P263" s="208" t="str">
        <f t="shared" si="84"/>
        <v/>
      </c>
      <c r="Q263" s="208" t="str">
        <f t="shared" si="71"/>
        <v/>
      </c>
      <c r="R263" s="609" t="str">
        <f t="shared" si="72"/>
        <v/>
      </c>
      <c r="S263" s="609" t="str">
        <f t="shared" si="73"/>
        <v/>
      </c>
      <c r="T263" s="609" t="str">
        <f t="shared" si="74"/>
        <v/>
      </c>
      <c r="U263" s="609" t="str" cm="1">
        <f t="array" ref="U263">IFERROR(IF($D$3="","",_xlfn.LET(_xlpm.Mixed,AND(COUNTIF($G$34:$G$533,"Heating_Hot_Water")&gt;0,(COUNTIF($G$34:$G$533,"Steam_Low_Pressure") + COUNTIF($G$34:$G$533,"Steam_Medium_Pressure") + COUNTIF($G$34:$G$533,"Steam_High_Pressure"))&gt;0),_xlpm.fluid, G263,_xlpm.fuel, K263,_xlpm.load,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3" s="609" t="str">
        <f t="shared" si="85"/>
        <v/>
      </c>
      <c r="W263" s="482"/>
      <c r="X263" s="397" t="str" cm="1">
        <f t="array" ref="X263">IFERROR(IF($D$3="","", _xlfn.XLOOKUP(1,($AR$36:$AR$53=F263)*($AS$36:$AS$53=G263), INDEX($AT$36:$BJ$53,,_xlfn.XMATCH(E263,$AT$35:$BJ$35)))),"")</f>
        <v/>
      </c>
      <c r="Y263" s="480"/>
      <c r="Z263" s="482"/>
      <c r="AA263" s="607" t="str" cm="1">
        <f t="array" ref="AA263">IFERROR(IF($D$3="", "", _xlfn.LET(_xlpm.dia, E263, _xlpm.thk, Z263, _xlpm.temp, I263,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3" s="397" t="str" cm="1">
        <f t="array" ref="AB263">IFERROR(IF($D$3="", "", _xlfn.XLOOKUP(1,($AR$57:$AR$76=Y263)*($AS$57:$AS$76=Z263), INDEX($AT$57:$BJ$76,,_xlfn.XMATCH(E263,$AT$56:$BJ$56)))),"")</f>
        <v/>
      </c>
      <c r="AC263" s="208" t="str">
        <f t="shared" si="75"/>
        <v/>
      </c>
      <c r="AD263" s="397" t="str">
        <f t="shared" si="76"/>
        <v/>
      </c>
      <c r="AE263" s="610" t="str">
        <f t="shared" si="77"/>
        <v/>
      </c>
      <c r="AF263" s="610" t="str">
        <f t="shared" si="78"/>
        <v/>
      </c>
      <c r="AG263" s="610" t="str">
        <f t="shared" si="79"/>
        <v/>
      </c>
      <c r="AH263" s="608" t="str">
        <f t="shared" si="80"/>
        <v/>
      </c>
      <c r="AI263" s="610" t="str">
        <f t="shared" si="81"/>
        <v/>
      </c>
    </row>
    <row r="264" spans="2:35" x14ac:dyDescent="0.25">
      <c r="B264" s="209">
        <v>231</v>
      </c>
      <c r="C264" s="480"/>
      <c r="D264" s="480"/>
      <c r="E264" s="481"/>
      <c r="F264" s="480"/>
      <c r="G264" s="480"/>
      <c r="H264" s="607" t="str">
        <f t="shared" si="66"/>
        <v/>
      </c>
      <c r="I264" s="607" t="str">
        <f t="shared" si="67"/>
        <v/>
      </c>
      <c r="J264" s="607" t="str">
        <f t="shared" si="68"/>
        <v/>
      </c>
      <c r="K264" s="208" t="str">
        <f t="shared" si="69"/>
        <v/>
      </c>
      <c r="L264" s="208" t="str">
        <f t="shared" si="70"/>
        <v/>
      </c>
      <c r="M264" s="208" t="str">
        <f t="shared" si="82"/>
        <v/>
      </c>
      <c r="N264" s="608" t="str">
        <f>IF($D$3="", "", IFERROR(VLOOKUP(L264,'PIPE INCENTIVE'!$B$4:$E$19,2,FALSE),""))</f>
        <v/>
      </c>
      <c r="O264" s="608" t="str">
        <f t="shared" si="83"/>
        <v/>
      </c>
      <c r="P264" s="208" t="str">
        <f t="shared" si="84"/>
        <v/>
      </c>
      <c r="Q264" s="208" t="str">
        <f t="shared" si="71"/>
        <v/>
      </c>
      <c r="R264" s="609" t="str">
        <f t="shared" si="72"/>
        <v/>
      </c>
      <c r="S264" s="609" t="str">
        <f t="shared" si="73"/>
        <v/>
      </c>
      <c r="T264" s="609" t="str">
        <f t="shared" si="74"/>
        <v/>
      </c>
      <c r="U264" s="609" t="str" cm="1">
        <f t="array" ref="U264">IFERROR(IF($D$3="","",_xlfn.LET(_xlpm.Mixed,AND(COUNTIF($G$34:$G$533,"Heating_Hot_Water")&gt;0,(COUNTIF($G$34:$G$533,"Steam_Low_Pressure") + COUNTIF($G$34:$G$533,"Steam_Medium_Pressure") + COUNTIF($G$34:$G$533,"Steam_High_Pressure"))&gt;0),_xlpm.fluid, G264,_xlpm.fuel, K264,_xlpm.load,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4" s="609" t="str">
        <f t="shared" si="85"/>
        <v/>
      </c>
      <c r="W264" s="482"/>
      <c r="X264" s="397" t="str" cm="1">
        <f t="array" ref="X264">IFERROR(IF($D$3="","", _xlfn.XLOOKUP(1,($AR$36:$AR$53=F264)*($AS$36:$AS$53=G264), INDEX($AT$36:$BJ$53,,_xlfn.XMATCH(E264,$AT$35:$BJ$35)))),"")</f>
        <v/>
      </c>
      <c r="Y264" s="480"/>
      <c r="Z264" s="482"/>
      <c r="AA264" s="607" t="str" cm="1">
        <f t="array" ref="AA264">IFERROR(IF($D$3="", "", _xlfn.LET(_xlpm.dia, E264, _xlpm.thk, Z264, _xlpm.temp, I264,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4" s="397" t="str" cm="1">
        <f t="array" ref="AB264">IFERROR(IF($D$3="", "", _xlfn.XLOOKUP(1,($AR$57:$AR$76=Y264)*($AS$57:$AS$76=Z264), INDEX($AT$57:$BJ$76,,_xlfn.XMATCH(E264,$AT$56:$BJ$56)))),"")</f>
        <v/>
      </c>
      <c r="AC264" s="208" t="str">
        <f t="shared" si="75"/>
        <v/>
      </c>
      <c r="AD264" s="397" t="str">
        <f t="shared" si="76"/>
        <v/>
      </c>
      <c r="AE264" s="610" t="str">
        <f t="shared" si="77"/>
        <v/>
      </c>
      <c r="AF264" s="610" t="str">
        <f t="shared" si="78"/>
        <v/>
      </c>
      <c r="AG264" s="610" t="str">
        <f t="shared" si="79"/>
        <v/>
      </c>
      <c r="AH264" s="608" t="str">
        <f t="shared" si="80"/>
        <v/>
      </c>
      <c r="AI264" s="610" t="str">
        <f t="shared" si="81"/>
        <v/>
      </c>
    </row>
    <row r="265" spans="2:35" x14ac:dyDescent="0.25">
      <c r="B265" s="209">
        <v>232</v>
      </c>
      <c r="C265" s="480"/>
      <c r="D265" s="480"/>
      <c r="E265" s="481"/>
      <c r="F265" s="480"/>
      <c r="G265" s="480"/>
      <c r="H265" s="607" t="str">
        <f t="shared" si="66"/>
        <v/>
      </c>
      <c r="I265" s="607" t="str">
        <f t="shared" si="67"/>
        <v/>
      </c>
      <c r="J265" s="607" t="str">
        <f t="shared" si="68"/>
        <v/>
      </c>
      <c r="K265" s="208" t="str">
        <f t="shared" si="69"/>
        <v/>
      </c>
      <c r="L265" s="208" t="str">
        <f t="shared" si="70"/>
        <v/>
      </c>
      <c r="M265" s="208" t="str">
        <f t="shared" si="82"/>
        <v/>
      </c>
      <c r="N265" s="608" t="str">
        <f>IF($D$3="", "", IFERROR(VLOOKUP(L265,'PIPE INCENTIVE'!$B$4:$E$19,2,FALSE),""))</f>
        <v/>
      </c>
      <c r="O265" s="608" t="str">
        <f t="shared" si="83"/>
        <v/>
      </c>
      <c r="P265" s="208" t="str">
        <f t="shared" si="84"/>
        <v/>
      </c>
      <c r="Q265" s="208" t="str">
        <f t="shared" si="71"/>
        <v/>
      </c>
      <c r="R265" s="609" t="str">
        <f t="shared" si="72"/>
        <v/>
      </c>
      <c r="S265" s="609" t="str">
        <f t="shared" si="73"/>
        <v/>
      </c>
      <c r="T265" s="609" t="str">
        <f t="shared" si="74"/>
        <v/>
      </c>
      <c r="U265" s="609" t="str" cm="1">
        <f t="array" ref="U265">IFERROR(IF($D$3="","",_xlfn.LET(_xlpm.Mixed,AND(COUNTIF($G$34:$G$533,"Heating_Hot_Water")&gt;0,(COUNTIF($G$34:$G$533,"Steam_Low_Pressure") + COUNTIF($G$34:$G$533,"Steam_Medium_Pressure") + COUNTIF($G$34:$G$533,"Steam_High_Pressure"))&gt;0),_xlpm.fluid, G265,_xlpm.fuel, K265,_xlpm.load,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5" s="609" t="str">
        <f t="shared" si="85"/>
        <v/>
      </c>
      <c r="W265" s="482"/>
      <c r="X265" s="397" t="str" cm="1">
        <f t="array" ref="X265">IFERROR(IF($D$3="","", _xlfn.XLOOKUP(1,($AR$36:$AR$53=F265)*($AS$36:$AS$53=G265), INDEX($AT$36:$BJ$53,,_xlfn.XMATCH(E265,$AT$35:$BJ$35)))),"")</f>
        <v/>
      </c>
      <c r="Y265" s="480"/>
      <c r="Z265" s="482"/>
      <c r="AA265" s="607" t="str" cm="1">
        <f t="array" ref="AA265">IFERROR(IF($D$3="", "", _xlfn.LET(_xlpm.dia, E265, _xlpm.thk, Z265, _xlpm.temp, I265,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5" s="397" t="str" cm="1">
        <f t="array" ref="AB265">IFERROR(IF($D$3="", "", _xlfn.XLOOKUP(1,($AR$57:$AR$76=Y265)*($AS$57:$AS$76=Z265), INDEX($AT$57:$BJ$76,,_xlfn.XMATCH(E265,$AT$56:$BJ$56)))),"")</f>
        <v/>
      </c>
      <c r="AC265" s="208" t="str">
        <f t="shared" si="75"/>
        <v/>
      </c>
      <c r="AD265" s="397" t="str">
        <f t="shared" si="76"/>
        <v/>
      </c>
      <c r="AE265" s="610" t="str">
        <f t="shared" si="77"/>
        <v/>
      </c>
      <c r="AF265" s="610" t="str">
        <f t="shared" si="78"/>
        <v/>
      </c>
      <c r="AG265" s="610" t="str">
        <f t="shared" si="79"/>
        <v/>
      </c>
      <c r="AH265" s="608" t="str">
        <f t="shared" si="80"/>
        <v/>
      </c>
      <c r="AI265" s="610" t="str">
        <f t="shared" si="81"/>
        <v/>
      </c>
    </row>
    <row r="266" spans="2:35" x14ac:dyDescent="0.25">
      <c r="B266" s="209">
        <v>233</v>
      </c>
      <c r="C266" s="480"/>
      <c r="D266" s="480"/>
      <c r="E266" s="481"/>
      <c r="F266" s="480"/>
      <c r="G266" s="480"/>
      <c r="H266" s="607" t="str">
        <f t="shared" si="66"/>
        <v/>
      </c>
      <c r="I266" s="607" t="str">
        <f t="shared" si="67"/>
        <v/>
      </c>
      <c r="J266" s="607" t="str">
        <f t="shared" si="68"/>
        <v/>
      </c>
      <c r="K266" s="208" t="str">
        <f t="shared" si="69"/>
        <v/>
      </c>
      <c r="L266" s="208" t="str">
        <f t="shared" si="70"/>
        <v/>
      </c>
      <c r="M266" s="208" t="str">
        <f t="shared" si="82"/>
        <v/>
      </c>
      <c r="N266" s="608" t="str">
        <f>IF($D$3="", "", IFERROR(VLOOKUP(L266,'PIPE INCENTIVE'!$B$4:$E$19,2,FALSE),""))</f>
        <v/>
      </c>
      <c r="O266" s="608" t="str">
        <f t="shared" si="83"/>
        <v/>
      </c>
      <c r="P266" s="208" t="str">
        <f t="shared" si="84"/>
        <v/>
      </c>
      <c r="Q266" s="208" t="str">
        <f t="shared" si="71"/>
        <v/>
      </c>
      <c r="R266" s="609" t="str">
        <f t="shared" si="72"/>
        <v/>
      </c>
      <c r="S266" s="609" t="str">
        <f t="shared" si="73"/>
        <v/>
      </c>
      <c r="T266" s="609" t="str">
        <f t="shared" si="74"/>
        <v/>
      </c>
      <c r="U266" s="609" t="str" cm="1">
        <f t="array" ref="U266">IFERROR(IF($D$3="","",_xlfn.LET(_xlpm.Mixed,AND(COUNTIF($G$34:$G$533,"Heating_Hot_Water")&gt;0,(COUNTIF($G$34:$G$533,"Steam_Low_Pressure") + COUNTIF($G$34:$G$533,"Steam_Medium_Pressure") + COUNTIF($G$34:$G$533,"Steam_High_Pressure"))&gt;0),_xlpm.fluid, G266,_xlpm.fuel, K266,_xlpm.load,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6" s="609" t="str">
        <f t="shared" si="85"/>
        <v/>
      </c>
      <c r="W266" s="482"/>
      <c r="X266" s="397" t="str" cm="1">
        <f t="array" ref="X266">IFERROR(IF($D$3="","", _xlfn.XLOOKUP(1,($AR$36:$AR$53=F266)*($AS$36:$AS$53=G266), INDEX($AT$36:$BJ$53,,_xlfn.XMATCH(E266,$AT$35:$BJ$35)))),"")</f>
        <v/>
      </c>
      <c r="Y266" s="480"/>
      <c r="Z266" s="482"/>
      <c r="AA266" s="607" t="str" cm="1">
        <f t="array" ref="AA266">IFERROR(IF($D$3="", "", _xlfn.LET(_xlpm.dia, E266, _xlpm.thk, Z266, _xlpm.temp, I266,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6" s="397" t="str" cm="1">
        <f t="array" ref="AB266">IFERROR(IF($D$3="", "", _xlfn.XLOOKUP(1,($AR$57:$AR$76=Y266)*($AS$57:$AS$76=Z266), INDEX($AT$57:$BJ$76,,_xlfn.XMATCH(E266,$AT$56:$BJ$56)))),"")</f>
        <v/>
      </c>
      <c r="AC266" s="208" t="str">
        <f t="shared" si="75"/>
        <v/>
      </c>
      <c r="AD266" s="397" t="str">
        <f t="shared" si="76"/>
        <v/>
      </c>
      <c r="AE266" s="610" t="str">
        <f t="shared" si="77"/>
        <v/>
      </c>
      <c r="AF266" s="610" t="str">
        <f t="shared" si="78"/>
        <v/>
      </c>
      <c r="AG266" s="610" t="str">
        <f t="shared" si="79"/>
        <v/>
      </c>
      <c r="AH266" s="608" t="str">
        <f t="shared" si="80"/>
        <v/>
      </c>
      <c r="AI266" s="610" t="str">
        <f t="shared" si="81"/>
        <v/>
      </c>
    </row>
    <row r="267" spans="2:35" x14ac:dyDescent="0.25">
      <c r="B267" s="209">
        <v>234</v>
      </c>
      <c r="C267" s="480"/>
      <c r="D267" s="480"/>
      <c r="E267" s="481"/>
      <c r="F267" s="480"/>
      <c r="G267" s="480"/>
      <c r="H267" s="607" t="str">
        <f t="shared" si="66"/>
        <v/>
      </c>
      <c r="I267" s="607" t="str">
        <f t="shared" si="67"/>
        <v/>
      </c>
      <c r="J267" s="607" t="str">
        <f t="shared" si="68"/>
        <v/>
      </c>
      <c r="K267" s="208" t="str">
        <f t="shared" si="69"/>
        <v/>
      </c>
      <c r="L267" s="208" t="str">
        <f t="shared" si="70"/>
        <v/>
      </c>
      <c r="M267" s="208" t="str">
        <f t="shared" si="82"/>
        <v/>
      </c>
      <c r="N267" s="608" t="str">
        <f>IF($D$3="", "", IFERROR(VLOOKUP(L267,'PIPE INCENTIVE'!$B$4:$E$19,2,FALSE),""))</f>
        <v/>
      </c>
      <c r="O267" s="608" t="str">
        <f t="shared" si="83"/>
        <v/>
      </c>
      <c r="P267" s="208" t="str">
        <f t="shared" si="84"/>
        <v/>
      </c>
      <c r="Q267" s="208" t="str">
        <f t="shared" si="71"/>
        <v/>
      </c>
      <c r="R267" s="609" t="str">
        <f t="shared" si="72"/>
        <v/>
      </c>
      <c r="S267" s="609" t="str">
        <f t="shared" si="73"/>
        <v/>
      </c>
      <c r="T267" s="609" t="str">
        <f t="shared" si="74"/>
        <v/>
      </c>
      <c r="U267" s="609" t="str" cm="1">
        <f t="array" ref="U267">IFERROR(IF($D$3="","",_xlfn.LET(_xlpm.Mixed,AND(COUNTIF($G$34:$G$533,"Heating_Hot_Water")&gt;0,(COUNTIF($G$34:$G$533,"Steam_Low_Pressure") + COUNTIF($G$34:$G$533,"Steam_Medium_Pressure") + COUNTIF($G$34:$G$533,"Steam_High_Pressure"))&gt;0),_xlpm.fluid, G267,_xlpm.fuel, K267,_xlpm.load,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7" s="609" t="str">
        <f t="shared" si="85"/>
        <v/>
      </c>
      <c r="W267" s="482"/>
      <c r="X267" s="397" t="str" cm="1">
        <f t="array" ref="X267">IFERROR(IF($D$3="","", _xlfn.XLOOKUP(1,($AR$36:$AR$53=F267)*($AS$36:$AS$53=G267), INDEX($AT$36:$BJ$53,,_xlfn.XMATCH(E267,$AT$35:$BJ$35)))),"")</f>
        <v/>
      </c>
      <c r="Y267" s="480"/>
      <c r="Z267" s="482"/>
      <c r="AA267" s="607" t="str" cm="1">
        <f t="array" ref="AA267">IFERROR(IF($D$3="", "", _xlfn.LET(_xlpm.dia, E267, _xlpm.thk, Z267, _xlpm.temp, I267,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7" s="397" t="str" cm="1">
        <f t="array" ref="AB267">IFERROR(IF($D$3="", "", _xlfn.XLOOKUP(1,($AR$57:$AR$76=Y267)*($AS$57:$AS$76=Z267), INDEX($AT$57:$BJ$76,,_xlfn.XMATCH(E267,$AT$56:$BJ$56)))),"")</f>
        <v/>
      </c>
      <c r="AC267" s="208" t="str">
        <f t="shared" si="75"/>
        <v/>
      </c>
      <c r="AD267" s="397" t="str">
        <f t="shared" si="76"/>
        <v/>
      </c>
      <c r="AE267" s="610" t="str">
        <f t="shared" si="77"/>
        <v/>
      </c>
      <c r="AF267" s="610" t="str">
        <f t="shared" si="78"/>
        <v/>
      </c>
      <c r="AG267" s="610" t="str">
        <f t="shared" si="79"/>
        <v/>
      </c>
      <c r="AH267" s="608" t="str">
        <f t="shared" si="80"/>
        <v/>
      </c>
      <c r="AI267" s="610" t="str">
        <f t="shared" si="81"/>
        <v/>
      </c>
    </row>
    <row r="268" spans="2:35" x14ac:dyDescent="0.25">
      <c r="B268" s="209">
        <v>235</v>
      </c>
      <c r="C268" s="480"/>
      <c r="D268" s="480"/>
      <c r="E268" s="481"/>
      <c r="F268" s="480"/>
      <c r="G268" s="480"/>
      <c r="H268" s="607" t="str">
        <f t="shared" si="66"/>
        <v/>
      </c>
      <c r="I268" s="607" t="str">
        <f t="shared" si="67"/>
        <v/>
      </c>
      <c r="J268" s="607" t="str">
        <f t="shared" si="68"/>
        <v/>
      </c>
      <c r="K268" s="208" t="str">
        <f t="shared" si="69"/>
        <v/>
      </c>
      <c r="L268" s="208" t="str">
        <f t="shared" si="70"/>
        <v/>
      </c>
      <c r="M268" s="208" t="str">
        <f t="shared" si="82"/>
        <v/>
      </c>
      <c r="N268" s="608" t="str">
        <f>IF($D$3="", "", IFERROR(VLOOKUP(L268,'PIPE INCENTIVE'!$B$4:$E$19,2,FALSE),""))</f>
        <v/>
      </c>
      <c r="O268" s="608" t="str">
        <f t="shared" si="83"/>
        <v/>
      </c>
      <c r="P268" s="208" t="str">
        <f t="shared" si="84"/>
        <v/>
      </c>
      <c r="Q268" s="208" t="str">
        <f t="shared" si="71"/>
        <v/>
      </c>
      <c r="R268" s="609" t="str">
        <f t="shared" si="72"/>
        <v/>
      </c>
      <c r="S268" s="609" t="str">
        <f t="shared" si="73"/>
        <v/>
      </c>
      <c r="T268" s="609" t="str">
        <f t="shared" si="74"/>
        <v/>
      </c>
      <c r="U268" s="609" t="str" cm="1">
        <f t="array" ref="U268">IFERROR(IF($D$3="","",_xlfn.LET(_xlpm.Mixed,AND(COUNTIF($G$34:$G$533,"Heating_Hot_Water")&gt;0,(COUNTIF($G$34:$G$533,"Steam_Low_Pressure") + COUNTIF($G$34:$G$533,"Steam_Medium_Pressure") + COUNTIF($G$34:$G$533,"Steam_High_Pressure"))&gt;0),_xlpm.fluid, G268,_xlpm.fuel, K268,_xlpm.load,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8" s="609" t="str">
        <f t="shared" si="85"/>
        <v/>
      </c>
      <c r="W268" s="482"/>
      <c r="X268" s="397" t="str" cm="1">
        <f t="array" ref="X268">IFERROR(IF($D$3="","", _xlfn.XLOOKUP(1,($AR$36:$AR$53=F268)*($AS$36:$AS$53=G268), INDEX($AT$36:$BJ$53,,_xlfn.XMATCH(E268,$AT$35:$BJ$35)))),"")</f>
        <v/>
      </c>
      <c r="Y268" s="480"/>
      <c r="Z268" s="482"/>
      <c r="AA268" s="607" t="str" cm="1">
        <f t="array" ref="AA268">IFERROR(IF($D$3="", "", _xlfn.LET(_xlpm.dia, E268, _xlpm.thk, Z268, _xlpm.temp, I268,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8" s="397" t="str" cm="1">
        <f t="array" ref="AB268">IFERROR(IF($D$3="", "", _xlfn.XLOOKUP(1,($AR$57:$AR$76=Y268)*($AS$57:$AS$76=Z268), INDEX($AT$57:$BJ$76,,_xlfn.XMATCH(E268,$AT$56:$BJ$56)))),"")</f>
        <v/>
      </c>
      <c r="AC268" s="208" t="str">
        <f t="shared" si="75"/>
        <v/>
      </c>
      <c r="AD268" s="397" t="str">
        <f t="shared" si="76"/>
        <v/>
      </c>
      <c r="AE268" s="610" t="str">
        <f t="shared" si="77"/>
        <v/>
      </c>
      <c r="AF268" s="610" t="str">
        <f t="shared" si="78"/>
        <v/>
      </c>
      <c r="AG268" s="610" t="str">
        <f t="shared" si="79"/>
        <v/>
      </c>
      <c r="AH268" s="608" t="str">
        <f t="shared" si="80"/>
        <v/>
      </c>
      <c r="AI268" s="610" t="str">
        <f t="shared" si="81"/>
        <v/>
      </c>
    </row>
    <row r="269" spans="2:35" x14ac:dyDescent="0.25">
      <c r="B269" s="209">
        <v>236</v>
      </c>
      <c r="C269" s="480"/>
      <c r="D269" s="480"/>
      <c r="E269" s="481"/>
      <c r="F269" s="480"/>
      <c r="G269" s="480"/>
      <c r="H269" s="607" t="str">
        <f t="shared" si="66"/>
        <v/>
      </c>
      <c r="I269" s="607" t="str">
        <f t="shared" si="67"/>
        <v/>
      </c>
      <c r="J269" s="607" t="str">
        <f t="shared" si="68"/>
        <v/>
      </c>
      <c r="K269" s="208" t="str">
        <f t="shared" si="69"/>
        <v/>
      </c>
      <c r="L269" s="208" t="str">
        <f t="shared" si="70"/>
        <v/>
      </c>
      <c r="M269" s="208" t="str">
        <f t="shared" si="82"/>
        <v/>
      </c>
      <c r="N269" s="608" t="str">
        <f>IF($D$3="", "", IFERROR(VLOOKUP(L269,'PIPE INCENTIVE'!$B$4:$E$19,2,FALSE),""))</f>
        <v/>
      </c>
      <c r="O269" s="608" t="str">
        <f t="shared" si="83"/>
        <v/>
      </c>
      <c r="P269" s="208" t="str">
        <f t="shared" si="84"/>
        <v/>
      </c>
      <c r="Q269" s="208" t="str">
        <f t="shared" si="71"/>
        <v/>
      </c>
      <c r="R269" s="609" t="str">
        <f t="shared" si="72"/>
        <v/>
      </c>
      <c r="S269" s="609" t="str">
        <f t="shared" si="73"/>
        <v/>
      </c>
      <c r="T269" s="609" t="str">
        <f t="shared" si="74"/>
        <v/>
      </c>
      <c r="U269" s="609" t="str" cm="1">
        <f t="array" ref="U269">IFERROR(IF($D$3="","",_xlfn.LET(_xlpm.Mixed,AND(COUNTIF($G$34:$G$533,"Heating_Hot_Water")&gt;0,(COUNTIF($G$34:$G$533,"Steam_Low_Pressure") + COUNTIF($G$34:$G$533,"Steam_Medium_Pressure") + COUNTIF($G$34:$G$533,"Steam_High_Pressure"))&gt;0),_xlpm.fluid, G269,_xlpm.fuel, K269,_xlpm.load,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69" s="609" t="str">
        <f t="shared" si="85"/>
        <v/>
      </c>
      <c r="W269" s="482"/>
      <c r="X269" s="397" t="str" cm="1">
        <f t="array" ref="X269">IFERROR(IF($D$3="","", _xlfn.XLOOKUP(1,($AR$36:$AR$53=F269)*($AS$36:$AS$53=G269), INDEX($AT$36:$BJ$53,,_xlfn.XMATCH(E269,$AT$35:$BJ$35)))),"")</f>
        <v/>
      </c>
      <c r="Y269" s="480"/>
      <c r="Z269" s="482"/>
      <c r="AA269" s="607" t="str" cm="1">
        <f t="array" ref="AA269">IFERROR(IF($D$3="", "", _xlfn.LET(_xlpm.dia, E269, _xlpm.thk, Z269, _xlpm.temp, I269,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69" s="397" t="str" cm="1">
        <f t="array" ref="AB269">IFERROR(IF($D$3="", "", _xlfn.XLOOKUP(1,($AR$57:$AR$76=Y269)*($AS$57:$AS$76=Z269), INDEX($AT$57:$BJ$76,,_xlfn.XMATCH(E269,$AT$56:$BJ$56)))),"")</f>
        <v/>
      </c>
      <c r="AC269" s="208" t="str">
        <f t="shared" si="75"/>
        <v/>
      </c>
      <c r="AD269" s="397" t="str">
        <f t="shared" si="76"/>
        <v/>
      </c>
      <c r="AE269" s="610" t="str">
        <f t="shared" si="77"/>
        <v/>
      </c>
      <c r="AF269" s="610" t="str">
        <f t="shared" si="78"/>
        <v/>
      </c>
      <c r="AG269" s="610" t="str">
        <f t="shared" si="79"/>
        <v/>
      </c>
      <c r="AH269" s="608" t="str">
        <f t="shared" si="80"/>
        <v/>
      </c>
      <c r="AI269" s="610" t="str">
        <f t="shared" si="81"/>
        <v/>
      </c>
    </row>
    <row r="270" spans="2:35" x14ac:dyDescent="0.25">
      <c r="B270" s="209">
        <v>237</v>
      </c>
      <c r="C270" s="480"/>
      <c r="D270" s="480"/>
      <c r="E270" s="481"/>
      <c r="F270" s="480"/>
      <c r="G270" s="480"/>
      <c r="H270" s="607" t="str">
        <f t="shared" si="66"/>
        <v/>
      </c>
      <c r="I270" s="607" t="str">
        <f t="shared" si="67"/>
        <v/>
      </c>
      <c r="J270" s="607" t="str">
        <f t="shared" si="68"/>
        <v/>
      </c>
      <c r="K270" s="208" t="str">
        <f t="shared" si="69"/>
        <v/>
      </c>
      <c r="L270" s="208" t="str">
        <f t="shared" si="70"/>
        <v/>
      </c>
      <c r="M270" s="208" t="str">
        <f t="shared" si="82"/>
        <v/>
      </c>
      <c r="N270" s="608" t="str">
        <f>IF($D$3="", "", IFERROR(VLOOKUP(L270,'PIPE INCENTIVE'!$B$4:$E$19,2,FALSE),""))</f>
        <v/>
      </c>
      <c r="O270" s="608" t="str">
        <f t="shared" si="83"/>
        <v/>
      </c>
      <c r="P270" s="208" t="str">
        <f t="shared" si="84"/>
        <v/>
      </c>
      <c r="Q270" s="208" t="str">
        <f t="shared" si="71"/>
        <v/>
      </c>
      <c r="R270" s="609" t="str">
        <f t="shared" si="72"/>
        <v/>
      </c>
      <c r="S270" s="609" t="str">
        <f t="shared" si="73"/>
        <v/>
      </c>
      <c r="T270" s="609" t="str">
        <f t="shared" si="74"/>
        <v/>
      </c>
      <c r="U270" s="609" t="str" cm="1">
        <f t="array" ref="U270">IFERROR(IF($D$3="","",_xlfn.LET(_xlpm.Mixed,AND(COUNTIF($G$34:$G$533,"Heating_Hot_Water")&gt;0,(COUNTIF($G$34:$G$533,"Steam_Low_Pressure") + COUNTIF($G$34:$G$533,"Steam_Medium_Pressure") + COUNTIF($G$34:$G$533,"Steam_High_Pressure"))&gt;0),_xlpm.fluid, G270,_xlpm.fuel, K270,_xlpm.load,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0" s="609" t="str">
        <f t="shared" si="85"/>
        <v/>
      </c>
      <c r="W270" s="482"/>
      <c r="X270" s="397" t="str" cm="1">
        <f t="array" ref="X270">IFERROR(IF($D$3="","", _xlfn.XLOOKUP(1,($AR$36:$AR$53=F270)*($AS$36:$AS$53=G270), INDEX($AT$36:$BJ$53,,_xlfn.XMATCH(E270,$AT$35:$BJ$35)))),"")</f>
        <v/>
      </c>
      <c r="Y270" s="480"/>
      <c r="Z270" s="482"/>
      <c r="AA270" s="607" t="str" cm="1">
        <f t="array" ref="AA270">IFERROR(IF($D$3="", "", _xlfn.LET(_xlpm.dia, E270, _xlpm.thk, Z270, _xlpm.temp, I270,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0" s="397" t="str" cm="1">
        <f t="array" ref="AB270">IFERROR(IF($D$3="", "", _xlfn.XLOOKUP(1,($AR$57:$AR$76=Y270)*($AS$57:$AS$76=Z270), INDEX($AT$57:$BJ$76,,_xlfn.XMATCH(E270,$AT$56:$BJ$56)))),"")</f>
        <v/>
      </c>
      <c r="AC270" s="208" t="str">
        <f t="shared" si="75"/>
        <v/>
      </c>
      <c r="AD270" s="397" t="str">
        <f t="shared" si="76"/>
        <v/>
      </c>
      <c r="AE270" s="610" t="str">
        <f t="shared" si="77"/>
        <v/>
      </c>
      <c r="AF270" s="610" t="str">
        <f t="shared" si="78"/>
        <v/>
      </c>
      <c r="AG270" s="610" t="str">
        <f t="shared" si="79"/>
        <v/>
      </c>
      <c r="AH270" s="608" t="str">
        <f t="shared" si="80"/>
        <v/>
      </c>
      <c r="AI270" s="610" t="str">
        <f t="shared" si="81"/>
        <v/>
      </c>
    </row>
    <row r="271" spans="2:35" x14ac:dyDescent="0.25">
      <c r="B271" s="209">
        <v>238</v>
      </c>
      <c r="C271" s="480"/>
      <c r="D271" s="480"/>
      <c r="E271" s="481"/>
      <c r="F271" s="480"/>
      <c r="G271" s="480"/>
      <c r="H271" s="607" t="str">
        <f t="shared" si="66"/>
        <v/>
      </c>
      <c r="I271" s="607" t="str">
        <f t="shared" si="67"/>
        <v/>
      </c>
      <c r="J271" s="607" t="str">
        <f t="shared" si="68"/>
        <v/>
      </c>
      <c r="K271" s="208" t="str">
        <f t="shared" si="69"/>
        <v/>
      </c>
      <c r="L271" s="208" t="str">
        <f t="shared" si="70"/>
        <v/>
      </c>
      <c r="M271" s="208" t="str">
        <f t="shared" si="82"/>
        <v/>
      </c>
      <c r="N271" s="608" t="str">
        <f>IF($D$3="", "", IFERROR(VLOOKUP(L271,'PIPE INCENTIVE'!$B$4:$E$19,2,FALSE),""))</f>
        <v/>
      </c>
      <c r="O271" s="608" t="str">
        <f t="shared" si="83"/>
        <v/>
      </c>
      <c r="P271" s="208" t="str">
        <f t="shared" si="84"/>
        <v/>
      </c>
      <c r="Q271" s="208" t="str">
        <f t="shared" si="71"/>
        <v/>
      </c>
      <c r="R271" s="609" t="str">
        <f t="shared" si="72"/>
        <v/>
      </c>
      <c r="S271" s="609" t="str">
        <f t="shared" si="73"/>
        <v/>
      </c>
      <c r="T271" s="609" t="str">
        <f t="shared" si="74"/>
        <v/>
      </c>
      <c r="U271" s="609" t="str" cm="1">
        <f t="array" ref="U271">IFERROR(IF($D$3="","",_xlfn.LET(_xlpm.Mixed,AND(COUNTIF($G$34:$G$533,"Heating_Hot_Water")&gt;0,(COUNTIF($G$34:$G$533,"Steam_Low_Pressure") + COUNTIF($G$34:$G$533,"Steam_Medium_Pressure") + COUNTIF($G$34:$G$533,"Steam_High_Pressure"))&gt;0),_xlpm.fluid, G271,_xlpm.fuel, K271,_xlpm.load,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1" s="609" t="str">
        <f t="shared" si="85"/>
        <v/>
      </c>
      <c r="W271" s="482"/>
      <c r="X271" s="397" t="str" cm="1">
        <f t="array" ref="X271">IFERROR(IF($D$3="","", _xlfn.XLOOKUP(1,($AR$36:$AR$53=F271)*($AS$36:$AS$53=G271), INDEX($AT$36:$BJ$53,,_xlfn.XMATCH(E271,$AT$35:$BJ$35)))),"")</f>
        <v/>
      </c>
      <c r="Y271" s="480"/>
      <c r="Z271" s="482"/>
      <c r="AA271" s="607" t="str" cm="1">
        <f t="array" ref="AA271">IFERROR(IF($D$3="", "", _xlfn.LET(_xlpm.dia, E271, _xlpm.thk, Z271, _xlpm.temp, I271,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1" s="397" t="str" cm="1">
        <f t="array" ref="AB271">IFERROR(IF($D$3="", "", _xlfn.XLOOKUP(1,($AR$57:$AR$76=Y271)*($AS$57:$AS$76=Z271), INDEX($AT$57:$BJ$76,,_xlfn.XMATCH(E271,$AT$56:$BJ$56)))),"")</f>
        <v/>
      </c>
      <c r="AC271" s="208" t="str">
        <f t="shared" si="75"/>
        <v/>
      </c>
      <c r="AD271" s="397" t="str">
        <f t="shared" si="76"/>
        <v/>
      </c>
      <c r="AE271" s="610" t="str">
        <f t="shared" si="77"/>
        <v/>
      </c>
      <c r="AF271" s="610" t="str">
        <f t="shared" si="78"/>
        <v/>
      </c>
      <c r="AG271" s="610" t="str">
        <f t="shared" si="79"/>
        <v/>
      </c>
      <c r="AH271" s="608" t="str">
        <f t="shared" si="80"/>
        <v/>
      </c>
      <c r="AI271" s="610" t="str">
        <f t="shared" si="81"/>
        <v/>
      </c>
    </row>
    <row r="272" spans="2:35" x14ac:dyDescent="0.25">
      <c r="B272" s="209">
        <v>239</v>
      </c>
      <c r="C272" s="480"/>
      <c r="D272" s="480"/>
      <c r="E272" s="481"/>
      <c r="F272" s="480"/>
      <c r="G272" s="480"/>
      <c r="H272" s="607" t="str">
        <f t="shared" si="66"/>
        <v/>
      </c>
      <c r="I272" s="607" t="str">
        <f t="shared" si="67"/>
        <v/>
      </c>
      <c r="J272" s="607" t="str">
        <f t="shared" si="68"/>
        <v/>
      </c>
      <c r="K272" s="208" t="str">
        <f t="shared" si="69"/>
        <v/>
      </c>
      <c r="L272" s="208" t="str">
        <f t="shared" si="70"/>
        <v/>
      </c>
      <c r="M272" s="208" t="str">
        <f t="shared" si="82"/>
        <v/>
      </c>
      <c r="N272" s="608" t="str">
        <f>IF($D$3="", "", IFERROR(VLOOKUP(L272,'PIPE INCENTIVE'!$B$4:$E$19,2,FALSE),""))</f>
        <v/>
      </c>
      <c r="O272" s="608" t="str">
        <f t="shared" si="83"/>
        <v/>
      </c>
      <c r="P272" s="208" t="str">
        <f t="shared" si="84"/>
        <v/>
      </c>
      <c r="Q272" s="208" t="str">
        <f t="shared" si="71"/>
        <v/>
      </c>
      <c r="R272" s="609" t="str">
        <f t="shared" si="72"/>
        <v/>
      </c>
      <c r="S272" s="609" t="str">
        <f t="shared" si="73"/>
        <v/>
      </c>
      <c r="T272" s="609" t="str">
        <f t="shared" si="74"/>
        <v/>
      </c>
      <c r="U272" s="609" t="str" cm="1">
        <f t="array" ref="U272">IFERROR(IF($D$3="","",_xlfn.LET(_xlpm.Mixed,AND(COUNTIF($G$34:$G$533,"Heating_Hot_Water")&gt;0,(COUNTIF($G$34:$G$533,"Steam_Low_Pressure") + COUNTIF($G$34:$G$533,"Steam_Medium_Pressure") + COUNTIF($G$34:$G$533,"Steam_High_Pressure"))&gt;0),_xlpm.fluid, G272,_xlpm.fuel, K272,_xlpm.load,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2" s="609" t="str">
        <f t="shared" si="85"/>
        <v/>
      </c>
      <c r="W272" s="482"/>
      <c r="X272" s="397" t="str" cm="1">
        <f t="array" ref="X272">IFERROR(IF($D$3="","", _xlfn.XLOOKUP(1,($AR$36:$AR$53=F272)*($AS$36:$AS$53=G272), INDEX($AT$36:$BJ$53,,_xlfn.XMATCH(E272,$AT$35:$BJ$35)))),"")</f>
        <v/>
      </c>
      <c r="Y272" s="480"/>
      <c r="Z272" s="482"/>
      <c r="AA272" s="607" t="str" cm="1">
        <f t="array" ref="AA272">IFERROR(IF($D$3="", "", _xlfn.LET(_xlpm.dia, E272, _xlpm.thk, Z272, _xlpm.temp, I272,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2" s="397" t="str" cm="1">
        <f t="array" ref="AB272">IFERROR(IF($D$3="", "", _xlfn.XLOOKUP(1,($AR$57:$AR$76=Y272)*($AS$57:$AS$76=Z272), INDEX($AT$57:$BJ$76,,_xlfn.XMATCH(E272,$AT$56:$BJ$56)))),"")</f>
        <v/>
      </c>
      <c r="AC272" s="208" t="str">
        <f t="shared" si="75"/>
        <v/>
      </c>
      <c r="AD272" s="397" t="str">
        <f t="shared" si="76"/>
        <v/>
      </c>
      <c r="AE272" s="610" t="str">
        <f t="shared" si="77"/>
        <v/>
      </c>
      <c r="AF272" s="610" t="str">
        <f t="shared" si="78"/>
        <v/>
      </c>
      <c r="AG272" s="610" t="str">
        <f t="shared" si="79"/>
        <v/>
      </c>
      <c r="AH272" s="608" t="str">
        <f t="shared" si="80"/>
        <v/>
      </c>
      <c r="AI272" s="610" t="str">
        <f t="shared" si="81"/>
        <v/>
      </c>
    </row>
    <row r="273" spans="2:35" x14ac:dyDescent="0.25">
      <c r="B273" s="209">
        <v>240</v>
      </c>
      <c r="C273" s="480"/>
      <c r="D273" s="480"/>
      <c r="E273" s="481"/>
      <c r="F273" s="480"/>
      <c r="G273" s="480"/>
      <c r="H273" s="607" t="str">
        <f t="shared" si="66"/>
        <v/>
      </c>
      <c r="I273" s="607" t="str">
        <f t="shared" si="67"/>
        <v/>
      </c>
      <c r="J273" s="607" t="str">
        <f t="shared" si="68"/>
        <v/>
      </c>
      <c r="K273" s="208" t="str">
        <f t="shared" si="69"/>
        <v/>
      </c>
      <c r="L273" s="208" t="str">
        <f t="shared" si="70"/>
        <v/>
      </c>
      <c r="M273" s="208" t="str">
        <f t="shared" si="82"/>
        <v/>
      </c>
      <c r="N273" s="608" t="str">
        <f>IF($D$3="", "", IFERROR(VLOOKUP(L273,'PIPE INCENTIVE'!$B$4:$E$19,2,FALSE),""))</f>
        <v/>
      </c>
      <c r="O273" s="608" t="str">
        <f t="shared" si="83"/>
        <v/>
      </c>
      <c r="P273" s="208" t="str">
        <f t="shared" si="84"/>
        <v/>
      </c>
      <c r="Q273" s="208" t="str">
        <f t="shared" si="71"/>
        <v/>
      </c>
      <c r="R273" s="609" t="str">
        <f t="shared" si="72"/>
        <v/>
      </c>
      <c r="S273" s="609" t="str">
        <f t="shared" si="73"/>
        <v/>
      </c>
      <c r="T273" s="609" t="str">
        <f t="shared" si="74"/>
        <v/>
      </c>
      <c r="U273" s="609" t="str" cm="1">
        <f t="array" ref="U273">IFERROR(IF($D$3="","",_xlfn.LET(_xlpm.Mixed,AND(COUNTIF($G$34:$G$533,"Heating_Hot_Water")&gt;0,(COUNTIF($G$34:$G$533,"Steam_Low_Pressure") + COUNTIF($G$34:$G$533,"Steam_Medium_Pressure") + COUNTIF($G$34:$G$533,"Steam_High_Pressure"))&gt;0),_xlpm.fluid, G273,_xlpm.fuel, K273,_xlpm.load,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3" s="609" t="str">
        <f t="shared" si="85"/>
        <v/>
      </c>
      <c r="W273" s="482"/>
      <c r="X273" s="397" t="str" cm="1">
        <f t="array" ref="X273">IFERROR(IF($D$3="","", _xlfn.XLOOKUP(1,($AR$36:$AR$53=F273)*($AS$36:$AS$53=G273), INDEX($AT$36:$BJ$53,,_xlfn.XMATCH(E273,$AT$35:$BJ$35)))),"")</f>
        <v/>
      </c>
      <c r="Y273" s="480"/>
      <c r="Z273" s="482"/>
      <c r="AA273" s="607" t="str" cm="1">
        <f t="array" ref="AA273">IFERROR(IF($D$3="", "", _xlfn.LET(_xlpm.dia, E273, _xlpm.thk, Z273, _xlpm.temp, I273,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3" s="397" t="str" cm="1">
        <f t="array" ref="AB273">IFERROR(IF($D$3="", "", _xlfn.XLOOKUP(1,($AR$57:$AR$76=Y273)*($AS$57:$AS$76=Z273), INDEX($AT$57:$BJ$76,,_xlfn.XMATCH(E273,$AT$56:$BJ$56)))),"")</f>
        <v/>
      </c>
      <c r="AC273" s="208" t="str">
        <f t="shared" si="75"/>
        <v/>
      </c>
      <c r="AD273" s="397" t="str">
        <f t="shared" si="76"/>
        <v/>
      </c>
      <c r="AE273" s="610" t="str">
        <f t="shared" si="77"/>
        <v/>
      </c>
      <c r="AF273" s="610" t="str">
        <f t="shared" si="78"/>
        <v/>
      </c>
      <c r="AG273" s="610" t="str">
        <f t="shared" si="79"/>
        <v/>
      </c>
      <c r="AH273" s="608" t="str">
        <f t="shared" si="80"/>
        <v/>
      </c>
      <c r="AI273" s="610" t="str">
        <f t="shared" si="81"/>
        <v/>
      </c>
    </row>
    <row r="274" spans="2:35" x14ac:dyDescent="0.25">
      <c r="B274" s="209">
        <v>241</v>
      </c>
      <c r="C274" s="480"/>
      <c r="D274" s="480"/>
      <c r="E274" s="481"/>
      <c r="F274" s="480"/>
      <c r="G274" s="480"/>
      <c r="H274" s="607" t="str">
        <f t="shared" si="66"/>
        <v/>
      </c>
      <c r="I274" s="607" t="str">
        <f t="shared" si="67"/>
        <v/>
      </c>
      <c r="J274" s="607" t="str">
        <f t="shared" si="68"/>
        <v/>
      </c>
      <c r="K274" s="208" t="str">
        <f t="shared" si="69"/>
        <v/>
      </c>
      <c r="L274" s="208" t="str">
        <f t="shared" si="70"/>
        <v/>
      </c>
      <c r="M274" s="208" t="str">
        <f t="shared" si="82"/>
        <v/>
      </c>
      <c r="N274" s="608" t="str">
        <f>IF($D$3="", "", IFERROR(VLOOKUP(L274,'PIPE INCENTIVE'!$B$4:$E$19,2,FALSE),""))</f>
        <v/>
      </c>
      <c r="O274" s="608" t="str">
        <f t="shared" si="83"/>
        <v/>
      </c>
      <c r="P274" s="208" t="str">
        <f t="shared" si="84"/>
        <v/>
      </c>
      <c r="Q274" s="208" t="str">
        <f t="shared" si="71"/>
        <v/>
      </c>
      <c r="R274" s="609" t="str">
        <f t="shared" si="72"/>
        <v/>
      </c>
      <c r="S274" s="609" t="str">
        <f t="shared" si="73"/>
        <v/>
      </c>
      <c r="T274" s="609" t="str">
        <f t="shared" si="74"/>
        <v/>
      </c>
      <c r="U274" s="609" t="str" cm="1">
        <f t="array" ref="U274">IFERROR(IF($D$3="","",_xlfn.LET(_xlpm.Mixed,AND(COUNTIF($G$34:$G$533,"Heating_Hot_Water")&gt;0,(COUNTIF($G$34:$G$533,"Steam_Low_Pressure") + COUNTIF($G$34:$G$533,"Steam_Medium_Pressure") + COUNTIF($G$34:$G$533,"Steam_High_Pressure"))&gt;0),_xlpm.fluid, G274,_xlpm.fuel, K274,_xlpm.load,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4" s="609" t="str">
        <f t="shared" si="85"/>
        <v/>
      </c>
      <c r="W274" s="482"/>
      <c r="X274" s="397" t="str" cm="1">
        <f t="array" ref="X274">IFERROR(IF($D$3="","", _xlfn.XLOOKUP(1,($AR$36:$AR$53=F274)*($AS$36:$AS$53=G274), INDEX($AT$36:$BJ$53,,_xlfn.XMATCH(E274,$AT$35:$BJ$35)))),"")</f>
        <v/>
      </c>
      <c r="Y274" s="480"/>
      <c r="Z274" s="482"/>
      <c r="AA274" s="607" t="str" cm="1">
        <f t="array" ref="AA274">IFERROR(IF($D$3="", "", _xlfn.LET(_xlpm.dia, E274, _xlpm.thk, Z274, _xlpm.temp, I274,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4" s="397" t="str" cm="1">
        <f t="array" ref="AB274">IFERROR(IF($D$3="", "", _xlfn.XLOOKUP(1,($AR$57:$AR$76=Y274)*($AS$57:$AS$76=Z274), INDEX($AT$57:$BJ$76,,_xlfn.XMATCH(E274,$AT$56:$BJ$56)))),"")</f>
        <v/>
      </c>
      <c r="AC274" s="208" t="str">
        <f t="shared" si="75"/>
        <v/>
      </c>
      <c r="AD274" s="397" t="str">
        <f t="shared" si="76"/>
        <v/>
      </c>
      <c r="AE274" s="610" t="str">
        <f t="shared" si="77"/>
        <v/>
      </c>
      <c r="AF274" s="610" t="str">
        <f t="shared" si="78"/>
        <v/>
      </c>
      <c r="AG274" s="610" t="str">
        <f t="shared" si="79"/>
        <v/>
      </c>
      <c r="AH274" s="608" t="str">
        <f t="shared" si="80"/>
        <v/>
      </c>
      <c r="AI274" s="610" t="str">
        <f t="shared" si="81"/>
        <v/>
      </c>
    </row>
    <row r="275" spans="2:35" x14ac:dyDescent="0.25">
      <c r="B275" s="209">
        <v>242</v>
      </c>
      <c r="C275" s="480"/>
      <c r="D275" s="480"/>
      <c r="E275" s="481"/>
      <c r="F275" s="480"/>
      <c r="G275" s="480"/>
      <c r="H275" s="607" t="str">
        <f t="shared" si="66"/>
        <v/>
      </c>
      <c r="I275" s="607" t="str">
        <f t="shared" si="67"/>
        <v/>
      </c>
      <c r="J275" s="607" t="str">
        <f t="shared" si="68"/>
        <v/>
      </c>
      <c r="K275" s="208" t="str">
        <f t="shared" si="69"/>
        <v/>
      </c>
      <c r="L275" s="208" t="str">
        <f t="shared" si="70"/>
        <v/>
      </c>
      <c r="M275" s="208" t="str">
        <f t="shared" si="82"/>
        <v/>
      </c>
      <c r="N275" s="608" t="str">
        <f>IF($D$3="", "", IFERROR(VLOOKUP(L275,'PIPE INCENTIVE'!$B$4:$E$19,2,FALSE),""))</f>
        <v/>
      </c>
      <c r="O275" s="608" t="str">
        <f t="shared" si="83"/>
        <v/>
      </c>
      <c r="P275" s="208" t="str">
        <f t="shared" si="84"/>
        <v/>
      </c>
      <c r="Q275" s="208" t="str">
        <f t="shared" si="71"/>
        <v/>
      </c>
      <c r="R275" s="609" t="str">
        <f t="shared" si="72"/>
        <v/>
      </c>
      <c r="S275" s="609" t="str">
        <f t="shared" si="73"/>
        <v/>
      </c>
      <c r="T275" s="609" t="str">
        <f t="shared" si="74"/>
        <v/>
      </c>
      <c r="U275" s="609" t="str" cm="1">
        <f t="array" ref="U275">IFERROR(IF($D$3="","",_xlfn.LET(_xlpm.Mixed,AND(COUNTIF($G$34:$G$533,"Heating_Hot_Water")&gt;0,(COUNTIF($G$34:$G$533,"Steam_Low_Pressure") + COUNTIF($G$34:$G$533,"Steam_Medium_Pressure") + COUNTIF($G$34:$G$533,"Steam_High_Pressure"))&gt;0),_xlpm.fluid, G275,_xlpm.fuel, K275,_xlpm.load,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5" s="609" t="str">
        <f t="shared" si="85"/>
        <v/>
      </c>
      <c r="W275" s="482"/>
      <c r="X275" s="397" t="str" cm="1">
        <f t="array" ref="X275">IFERROR(IF($D$3="","", _xlfn.XLOOKUP(1,($AR$36:$AR$53=F275)*($AS$36:$AS$53=G275), INDEX($AT$36:$BJ$53,,_xlfn.XMATCH(E275,$AT$35:$BJ$35)))),"")</f>
        <v/>
      </c>
      <c r="Y275" s="480"/>
      <c r="Z275" s="482"/>
      <c r="AA275" s="607" t="str" cm="1">
        <f t="array" ref="AA275">IFERROR(IF($D$3="", "", _xlfn.LET(_xlpm.dia, E275, _xlpm.thk, Z275, _xlpm.temp, I275,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5" s="397" t="str" cm="1">
        <f t="array" ref="AB275">IFERROR(IF($D$3="", "", _xlfn.XLOOKUP(1,($AR$57:$AR$76=Y275)*($AS$57:$AS$76=Z275), INDEX($AT$57:$BJ$76,,_xlfn.XMATCH(E275,$AT$56:$BJ$56)))),"")</f>
        <v/>
      </c>
      <c r="AC275" s="208" t="str">
        <f t="shared" si="75"/>
        <v/>
      </c>
      <c r="AD275" s="397" t="str">
        <f t="shared" si="76"/>
        <v/>
      </c>
      <c r="AE275" s="610" t="str">
        <f t="shared" si="77"/>
        <v/>
      </c>
      <c r="AF275" s="610" t="str">
        <f t="shared" si="78"/>
        <v/>
      </c>
      <c r="AG275" s="610" t="str">
        <f t="shared" si="79"/>
        <v/>
      </c>
      <c r="AH275" s="608" t="str">
        <f t="shared" si="80"/>
        <v/>
      </c>
      <c r="AI275" s="610" t="str">
        <f t="shared" si="81"/>
        <v/>
      </c>
    </row>
    <row r="276" spans="2:35" x14ac:dyDescent="0.25">
      <c r="B276" s="209">
        <v>243</v>
      </c>
      <c r="C276" s="480"/>
      <c r="D276" s="480"/>
      <c r="E276" s="481"/>
      <c r="F276" s="480"/>
      <c r="G276" s="480"/>
      <c r="H276" s="607" t="str">
        <f t="shared" si="66"/>
        <v/>
      </c>
      <c r="I276" s="607" t="str">
        <f t="shared" si="67"/>
        <v/>
      </c>
      <c r="J276" s="607" t="str">
        <f t="shared" si="68"/>
        <v/>
      </c>
      <c r="K276" s="208" t="str">
        <f t="shared" si="69"/>
        <v/>
      </c>
      <c r="L276" s="208" t="str">
        <f t="shared" si="70"/>
        <v/>
      </c>
      <c r="M276" s="208" t="str">
        <f t="shared" si="82"/>
        <v/>
      </c>
      <c r="N276" s="608" t="str">
        <f>IF($D$3="", "", IFERROR(VLOOKUP(L276,'PIPE INCENTIVE'!$B$4:$E$19,2,FALSE),""))</f>
        <v/>
      </c>
      <c r="O276" s="608" t="str">
        <f t="shared" si="83"/>
        <v/>
      </c>
      <c r="P276" s="208" t="str">
        <f t="shared" si="84"/>
        <v/>
      </c>
      <c r="Q276" s="208" t="str">
        <f t="shared" si="71"/>
        <v/>
      </c>
      <c r="R276" s="609" t="str">
        <f t="shared" si="72"/>
        <v/>
      </c>
      <c r="S276" s="609" t="str">
        <f t="shared" si="73"/>
        <v/>
      </c>
      <c r="T276" s="609" t="str">
        <f t="shared" si="74"/>
        <v/>
      </c>
      <c r="U276" s="609" t="str" cm="1">
        <f t="array" ref="U276">IFERROR(IF($D$3="","",_xlfn.LET(_xlpm.Mixed,AND(COUNTIF($G$34:$G$533,"Heating_Hot_Water")&gt;0,(COUNTIF($G$34:$G$533,"Steam_Low_Pressure") + COUNTIF($G$34:$G$533,"Steam_Medium_Pressure") + COUNTIF($G$34:$G$533,"Steam_High_Pressure"))&gt;0),_xlpm.fluid, G276,_xlpm.fuel, K276,_xlpm.load,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6" s="609" t="str">
        <f t="shared" si="85"/>
        <v/>
      </c>
      <c r="W276" s="482"/>
      <c r="X276" s="397" t="str" cm="1">
        <f t="array" ref="X276">IFERROR(IF($D$3="","", _xlfn.XLOOKUP(1,($AR$36:$AR$53=F276)*($AS$36:$AS$53=G276), INDEX($AT$36:$BJ$53,,_xlfn.XMATCH(E276,$AT$35:$BJ$35)))),"")</f>
        <v/>
      </c>
      <c r="Y276" s="480"/>
      <c r="Z276" s="482"/>
      <c r="AA276" s="607" t="str" cm="1">
        <f t="array" ref="AA276">IFERROR(IF($D$3="", "", _xlfn.LET(_xlpm.dia, E276, _xlpm.thk, Z276, _xlpm.temp, I276,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6" s="397" t="str" cm="1">
        <f t="array" ref="AB276">IFERROR(IF($D$3="", "", _xlfn.XLOOKUP(1,($AR$57:$AR$76=Y276)*($AS$57:$AS$76=Z276), INDEX($AT$57:$BJ$76,,_xlfn.XMATCH(E276,$AT$56:$BJ$56)))),"")</f>
        <v/>
      </c>
      <c r="AC276" s="208" t="str">
        <f t="shared" si="75"/>
        <v/>
      </c>
      <c r="AD276" s="397" t="str">
        <f t="shared" si="76"/>
        <v/>
      </c>
      <c r="AE276" s="610" t="str">
        <f t="shared" si="77"/>
        <v/>
      </c>
      <c r="AF276" s="610" t="str">
        <f t="shared" si="78"/>
        <v/>
      </c>
      <c r="AG276" s="610" t="str">
        <f t="shared" si="79"/>
        <v/>
      </c>
      <c r="AH276" s="608" t="str">
        <f t="shared" si="80"/>
        <v/>
      </c>
      <c r="AI276" s="610" t="str">
        <f t="shared" si="81"/>
        <v/>
      </c>
    </row>
    <row r="277" spans="2:35" x14ac:dyDescent="0.25">
      <c r="B277" s="209">
        <v>244</v>
      </c>
      <c r="C277" s="480"/>
      <c r="D277" s="480"/>
      <c r="E277" s="481"/>
      <c r="F277" s="480"/>
      <c r="G277" s="480"/>
      <c r="H277" s="607" t="str">
        <f t="shared" si="66"/>
        <v/>
      </c>
      <c r="I277" s="607" t="str">
        <f t="shared" si="67"/>
        <v/>
      </c>
      <c r="J277" s="607" t="str">
        <f t="shared" si="68"/>
        <v/>
      </c>
      <c r="K277" s="208" t="str">
        <f t="shared" si="69"/>
        <v/>
      </c>
      <c r="L277" s="208" t="str">
        <f t="shared" si="70"/>
        <v/>
      </c>
      <c r="M277" s="208" t="str">
        <f t="shared" si="82"/>
        <v/>
      </c>
      <c r="N277" s="608" t="str">
        <f>IF($D$3="", "", IFERROR(VLOOKUP(L277,'PIPE INCENTIVE'!$B$4:$E$19,2,FALSE),""))</f>
        <v/>
      </c>
      <c r="O277" s="608" t="str">
        <f t="shared" si="83"/>
        <v/>
      </c>
      <c r="P277" s="208" t="str">
        <f t="shared" si="84"/>
        <v/>
      </c>
      <c r="Q277" s="208" t="str">
        <f t="shared" si="71"/>
        <v/>
      </c>
      <c r="R277" s="609" t="str">
        <f t="shared" si="72"/>
        <v/>
      </c>
      <c r="S277" s="609" t="str">
        <f t="shared" si="73"/>
        <v/>
      </c>
      <c r="T277" s="609" t="str">
        <f t="shared" si="74"/>
        <v/>
      </c>
      <c r="U277" s="609" t="str" cm="1">
        <f t="array" ref="U277">IFERROR(IF($D$3="","",_xlfn.LET(_xlpm.Mixed,AND(COUNTIF($G$34:$G$533,"Heating_Hot_Water")&gt;0,(COUNTIF($G$34:$G$533,"Steam_Low_Pressure") + COUNTIF($G$34:$G$533,"Steam_Medium_Pressure") + COUNTIF($G$34:$G$533,"Steam_High_Pressure"))&gt;0),_xlpm.fluid, G277,_xlpm.fuel, K277,_xlpm.load,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7" s="609" t="str">
        <f t="shared" si="85"/>
        <v/>
      </c>
      <c r="W277" s="482"/>
      <c r="X277" s="397" t="str" cm="1">
        <f t="array" ref="X277">IFERROR(IF($D$3="","", _xlfn.XLOOKUP(1,($AR$36:$AR$53=F277)*($AS$36:$AS$53=G277), INDEX($AT$36:$BJ$53,,_xlfn.XMATCH(E277,$AT$35:$BJ$35)))),"")</f>
        <v/>
      </c>
      <c r="Y277" s="480"/>
      <c r="Z277" s="482"/>
      <c r="AA277" s="607" t="str" cm="1">
        <f t="array" ref="AA277">IFERROR(IF($D$3="", "", _xlfn.LET(_xlpm.dia, E277, _xlpm.thk, Z277, _xlpm.temp, I277,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7" s="397" t="str" cm="1">
        <f t="array" ref="AB277">IFERROR(IF($D$3="", "", _xlfn.XLOOKUP(1,($AR$57:$AR$76=Y277)*($AS$57:$AS$76=Z277), INDEX($AT$57:$BJ$76,,_xlfn.XMATCH(E277,$AT$56:$BJ$56)))),"")</f>
        <v/>
      </c>
      <c r="AC277" s="208" t="str">
        <f t="shared" si="75"/>
        <v/>
      </c>
      <c r="AD277" s="397" t="str">
        <f t="shared" si="76"/>
        <v/>
      </c>
      <c r="AE277" s="610" t="str">
        <f t="shared" si="77"/>
        <v/>
      </c>
      <c r="AF277" s="610" t="str">
        <f t="shared" si="78"/>
        <v/>
      </c>
      <c r="AG277" s="610" t="str">
        <f t="shared" si="79"/>
        <v/>
      </c>
      <c r="AH277" s="608" t="str">
        <f t="shared" si="80"/>
        <v/>
      </c>
      <c r="AI277" s="610" t="str">
        <f t="shared" si="81"/>
        <v/>
      </c>
    </row>
    <row r="278" spans="2:35" x14ac:dyDescent="0.25">
      <c r="B278" s="209">
        <v>245</v>
      </c>
      <c r="C278" s="480"/>
      <c r="D278" s="480"/>
      <c r="E278" s="481"/>
      <c r="F278" s="480"/>
      <c r="G278" s="480"/>
      <c r="H278" s="607" t="str">
        <f t="shared" si="66"/>
        <v/>
      </c>
      <c r="I278" s="607" t="str">
        <f t="shared" si="67"/>
        <v/>
      </c>
      <c r="J278" s="607" t="str">
        <f t="shared" si="68"/>
        <v/>
      </c>
      <c r="K278" s="208" t="str">
        <f t="shared" si="69"/>
        <v/>
      </c>
      <c r="L278" s="208" t="str">
        <f t="shared" si="70"/>
        <v/>
      </c>
      <c r="M278" s="208" t="str">
        <f t="shared" si="82"/>
        <v/>
      </c>
      <c r="N278" s="608" t="str">
        <f>IF($D$3="", "", IFERROR(VLOOKUP(L278,'PIPE INCENTIVE'!$B$4:$E$19,2,FALSE),""))</f>
        <v/>
      </c>
      <c r="O278" s="608" t="str">
        <f t="shared" si="83"/>
        <v/>
      </c>
      <c r="P278" s="208" t="str">
        <f t="shared" si="84"/>
        <v/>
      </c>
      <c r="Q278" s="208" t="str">
        <f t="shared" si="71"/>
        <v/>
      </c>
      <c r="R278" s="609" t="str">
        <f t="shared" si="72"/>
        <v/>
      </c>
      <c r="S278" s="609" t="str">
        <f t="shared" si="73"/>
        <v/>
      </c>
      <c r="T278" s="609" t="str">
        <f t="shared" si="74"/>
        <v/>
      </c>
      <c r="U278" s="609" t="str" cm="1">
        <f t="array" ref="U278">IFERROR(IF($D$3="","",_xlfn.LET(_xlpm.Mixed,AND(COUNTIF($G$34:$G$533,"Heating_Hot_Water")&gt;0,(COUNTIF($G$34:$G$533,"Steam_Low_Pressure") + COUNTIF($G$34:$G$533,"Steam_Medium_Pressure") + COUNTIF($G$34:$G$533,"Steam_High_Pressure"))&gt;0),_xlpm.fluid, G278,_xlpm.fuel, K278,_xlpm.load,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8" s="609" t="str">
        <f t="shared" si="85"/>
        <v/>
      </c>
      <c r="W278" s="482"/>
      <c r="X278" s="397" t="str" cm="1">
        <f t="array" ref="X278">IFERROR(IF($D$3="","", _xlfn.XLOOKUP(1,($AR$36:$AR$53=F278)*($AS$36:$AS$53=G278), INDEX($AT$36:$BJ$53,,_xlfn.XMATCH(E278,$AT$35:$BJ$35)))),"")</f>
        <v/>
      </c>
      <c r="Y278" s="480"/>
      <c r="Z278" s="482"/>
      <c r="AA278" s="607" t="str" cm="1">
        <f t="array" ref="AA278">IFERROR(IF($D$3="", "", _xlfn.LET(_xlpm.dia, E278, _xlpm.thk, Z278, _xlpm.temp, I278,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8" s="397" t="str" cm="1">
        <f t="array" ref="AB278">IFERROR(IF($D$3="", "", _xlfn.XLOOKUP(1,($AR$57:$AR$76=Y278)*($AS$57:$AS$76=Z278), INDEX($AT$57:$BJ$76,,_xlfn.XMATCH(E278,$AT$56:$BJ$56)))),"")</f>
        <v/>
      </c>
      <c r="AC278" s="208" t="str">
        <f t="shared" si="75"/>
        <v/>
      </c>
      <c r="AD278" s="397" t="str">
        <f t="shared" si="76"/>
        <v/>
      </c>
      <c r="AE278" s="610" t="str">
        <f t="shared" si="77"/>
        <v/>
      </c>
      <c r="AF278" s="610" t="str">
        <f t="shared" si="78"/>
        <v/>
      </c>
      <c r="AG278" s="610" t="str">
        <f t="shared" si="79"/>
        <v/>
      </c>
      <c r="AH278" s="608" t="str">
        <f t="shared" si="80"/>
        <v/>
      </c>
      <c r="AI278" s="610" t="str">
        <f t="shared" si="81"/>
        <v/>
      </c>
    </row>
    <row r="279" spans="2:35" x14ac:dyDescent="0.25">
      <c r="B279" s="209">
        <v>246</v>
      </c>
      <c r="C279" s="480"/>
      <c r="D279" s="480"/>
      <c r="E279" s="481"/>
      <c r="F279" s="480"/>
      <c r="G279" s="480"/>
      <c r="H279" s="607" t="str">
        <f t="shared" si="66"/>
        <v/>
      </c>
      <c r="I279" s="607" t="str">
        <f t="shared" si="67"/>
        <v/>
      </c>
      <c r="J279" s="607" t="str">
        <f t="shared" si="68"/>
        <v/>
      </c>
      <c r="K279" s="208" t="str">
        <f t="shared" si="69"/>
        <v/>
      </c>
      <c r="L279" s="208" t="str">
        <f t="shared" si="70"/>
        <v/>
      </c>
      <c r="M279" s="208" t="str">
        <f t="shared" si="82"/>
        <v/>
      </c>
      <c r="N279" s="608" t="str">
        <f>IF($D$3="", "", IFERROR(VLOOKUP(L279,'PIPE INCENTIVE'!$B$4:$E$19,2,FALSE),""))</f>
        <v/>
      </c>
      <c r="O279" s="608" t="str">
        <f t="shared" si="83"/>
        <v/>
      </c>
      <c r="P279" s="208" t="str">
        <f t="shared" si="84"/>
        <v/>
      </c>
      <c r="Q279" s="208" t="str">
        <f t="shared" si="71"/>
        <v/>
      </c>
      <c r="R279" s="609" t="str">
        <f t="shared" si="72"/>
        <v/>
      </c>
      <c r="S279" s="609" t="str">
        <f t="shared" si="73"/>
        <v/>
      </c>
      <c r="T279" s="609" t="str">
        <f t="shared" si="74"/>
        <v/>
      </c>
      <c r="U279" s="609" t="str" cm="1">
        <f t="array" ref="U279">IFERROR(IF($D$3="","",_xlfn.LET(_xlpm.Mixed,AND(COUNTIF($G$34:$G$533,"Heating_Hot_Water")&gt;0,(COUNTIF($G$34:$G$533,"Steam_Low_Pressure") + COUNTIF($G$34:$G$533,"Steam_Medium_Pressure") + COUNTIF($G$34:$G$533,"Steam_High_Pressure"))&gt;0),_xlpm.fluid, G279,_xlpm.fuel, K279,_xlpm.load,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79" s="609" t="str">
        <f t="shared" si="85"/>
        <v/>
      </c>
      <c r="W279" s="482"/>
      <c r="X279" s="397" t="str" cm="1">
        <f t="array" ref="X279">IFERROR(IF($D$3="","", _xlfn.XLOOKUP(1,($AR$36:$AR$53=F279)*($AS$36:$AS$53=G279), INDEX($AT$36:$BJ$53,,_xlfn.XMATCH(E279,$AT$35:$BJ$35)))),"")</f>
        <v/>
      </c>
      <c r="Y279" s="480"/>
      <c r="Z279" s="482"/>
      <c r="AA279" s="607" t="str" cm="1">
        <f t="array" ref="AA279">IFERROR(IF($D$3="", "", _xlfn.LET(_xlpm.dia, E279, _xlpm.thk, Z279, _xlpm.temp, I279,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79" s="397" t="str" cm="1">
        <f t="array" ref="AB279">IFERROR(IF($D$3="", "", _xlfn.XLOOKUP(1,($AR$57:$AR$76=Y279)*($AS$57:$AS$76=Z279), INDEX($AT$57:$BJ$76,,_xlfn.XMATCH(E279,$AT$56:$BJ$56)))),"")</f>
        <v/>
      </c>
      <c r="AC279" s="208" t="str">
        <f t="shared" si="75"/>
        <v/>
      </c>
      <c r="AD279" s="397" t="str">
        <f t="shared" si="76"/>
        <v/>
      </c>
      <c r="AE279" s="610" t="str">
        <f t="shared" si="77"/>
        <v/>
      </c>
      <c r="AF279" s="610" t="str">
        <f t="shared" si="78"/>
        <v/>
      </c>
      <c r="AG279" s="610" t="str">
        <f t="shared" si="79"/>
        <v/>
      </c>
      <c r="AH279" s="608" t="str">
        <f t="shared" si="80"/>
        <v/>
      </c>
      <c r="AI279" s="610" t="str">
        <f t="shared" si="81"/>
        <v/>
      </c>
    </row>
    <row r="280" spans="2:35" x14ac:dyDescent="0.25">
      <c r="B280" s="209">
        <v>247</v>
      </c>
      <c r="C280" s="480"/>
      <c r="D280" s="480"/>
      <c r="E280" s="481"/>
      <c r="F280" s="480"/>
      <c r="G280" s="480"/>
      <c r="H280" s="607" t="str">
        <f t="shared" si="66"/>
        <v/>
      </c>
      <c r="I280" s="607" t="str">
        <f t="shared" si="67"/>
        <v/>
      </c>
      <c r="J280" s="607" t="str">
        <f t="shared" si="68"/>
        <v/>
      </c>
      <c r="K280" s="208" t="str">
        <f t="shared" si="69"/>
        <v/>
      </c>
      <c r="L280" s="208" t="str">
        <f t="shared" si="70"/>
        <v/>
      </c>
      <c r="M280" s="208" t="str">
        <f t="shared" si="82"/>
        <v/>
      </c>
      <c r="N280" s="608" t="str">
        <f>IF($D$3="", "", IFERROR(VLOOKUP(L280,'PIPE INCENTIVE'!$B$4:$E$19,2,FALSE),""))</f>
        <v/>
      </c>
      <c r="O280" s="608" t="str">
        <f t="shared" si="83"/>
        <v/>
      </c>
      <c r="P280" s="208" t="str">
        <f t="shared" si="84"/>
        <v/>
      </c>
      <c r="Q280" s="208" t="str">
        <f t="shared" si="71"/>
        <v/>
      </c>
      <c r="R280" s="609" t="str">
        <f t="shared" si="72"/>
        <v/>
      </c>
      <c r="S280" s="609" t="str">
        <f t="shared" si="73"/>
        <v/>
      </c>
      <c r="T280" s="609" t="str">
        <f t="shared" si="74"/>
        <v/>
      </c>
      <c r="U280" s="609" t="str" cm="1">
        <f t="array" ref="U280">IFERROR(IF($D$3="","",_xlfn.LET(_xlpm.Mixed,AND(COUNTIF($G$34:$G$533,"Heating_Hot_Water")&gt;0,(COUNTIF($G$34:$G$533,"Steam_Low_Pressure") + COUNTIF($G$34:$G$533,"Steam_Medium_Pressure") + COUNTIF($G$34:$G$533,"Steam_High_Pressure"))&gt;0),_xlpm.fluid, G280,_xlpm.fuel, K280,_xlpm.load,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0" s="609" t="str">
        <f t="shared" si="85"/>
        <v/>
      </c>
      <c r="W280" s="482"/>
      <c r="X280" s="397" t="str" cm="1">
        <f t="array" ref="X280">IFERROR(IF($D$3="","", _xlfn.XLOOKUP(1,($AR$36:$AR$53=F280)*($AS$36:$AS$53=G280), INDEX($AT$36:$BJ$53,,_xlfn.XMATCH(E280,$AT$35:$BJ$35)))),"")</f>
        <v/>
      </c>
      <c r="Y280" s="480"/>
      <c r="Z280" s="482"/>
      <c r="AA280" s="607" t="str" cm="1">
        <f t="array" ref="AA280">IFERROR(IF($D$3="", "", _xlfn.LET(_xlpm.dia, E280, _xlpm.thk, Z280, _xlpm.temp, I280,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0" s="397" t="str" cm="1">
        <f t="array" ref="AB280">IFERROR(IF($D$3="", "", _xlfn.XLOOKUP(1,($AR$57:$AR$76=Y280)*($AS$57:$AS$76=Z280), INDEX($AT$57:$BJ$76,,_xlfn.XMATCH(E280,$AT$56:$BJ$56)))),"")</f>
        <v/>
      </c>
      <c r="AC280" s="208" t="str">
        <f t="shared" si="75"/>
        <v/>
      </c>
      <c r="AD280" s="397" t="str">
        <f t="shared" si="76"/>
        <v/>
      </c>
      <c r="AE280" s="610" t="str">
        <f t="shared" si="77"/>
        <v/>
      </c>
      <c r="AF280" s="610" t="str">
        <f t="shared" si="78"/>
        <v/>
      </c>
      <c r="AG280" s="610" t="str">
        <f t="shared" si="79"/>
        <v/>
      </c>
      <c r="AH280" s="608" t="str">
        <f t="shared" si="80"/>
        <v/>
      </c>
      <c r="AI280" s="610" t="str">
        <f t="shared" si="81"/>
        <v/>
      </c>
    </row>
    <row r="281" spans="2:35" x14ac:dyDescent="0.25">
      <c r="B281" s="209">
        <v>248</v>
      </c>
      <c r="C281" s="480"/>
      <c r="D281" s="480"/>
      <c r="E281" s="481"/>
      <c r="F281" s="480"/>
      <c r="G281" s="480"/>
      <c r="H281" s="607" t="str">
        <f t="shared" si="66"/>
        <v/>
      </c>
      <c r="I281" s="607" t="str">
        <f t="shared" si="67"/>
        <v/>
      </c>
      <c r="J281" s="607" t="str">
        <f t="shared" si="68"/>
        <v/>
      </c>
      <c r="K281" s="208" t="str">
        <f t="shared" si="69"/>
        <v/>
      </c>
      <c r="L281" s="208" t="str">
        <f t="shared" si="70"/>
        <v/>
      </c>
      <c r="M281" s="208" t="str">
        <f t="shared" si="82"/>
        <v/>
      </c>
      <c r="N281" s="608" t="str">
        <f>IF($D$3="", "", IFERROR(VLOOKUP(L281,'PIPE INCENTIVE'!$B$4:$E$19,2,FALSE),""))</f>
        <v/>
      </c>
      <c r="O281" s="608" t="str">
        <f t="shared" si="83"/>
        <v/>
      </c>
      <c r="P281" s="208" t="str">
        <f t="shared" si="84"/>
        <v/>
      </c>
      <c r="Q281" s="208" t="str">
        <f t="shared" si="71"/>
        <v/>
      </c>
      <c r="R281" s="609" t="str">
        <f t="shared" si="72"/>
        <v/>
      </c>
      <c r="S281" s="609" t="str">
        <f t="shared" si="73"/>
        <v/>
      </c>
      <c r="T281" s="609" t="str">
        <f t="shared" si="74"/>
        <v/>
      </c>
      <c r="U281" s="609" t="str" cm="1">
        <f t="array" ref="U281">IFERROR(IF($D$3="","",_xlfn.LET(_xlpm.Mixed,AND(COUNTIF($G$34:$G$533,"Heating_Hot_Water")&gt;0,(COUNTIF($G$34:$G$533,"Steam_Low_Pressure") + COUNTIF($G$34:$G$533,"Steam_Medium_Pressure") + COUNTIF($G$34:$G$533,"Steam_High_Pressure"))&gt;0),_xlpm.fluid, G281,_xlpm.fuel, K281,_xlpm.load,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1" s="609" t="str">
        <f t="shared" si="85"/>
        <v/>
      </c>
      <c r="W281" s="482"/>
      <c r="X281" s="397" t="str" cm="1">
        <f t="array" ref="X281">IFERROR(IF($D$3="","", _xlfn.XLOOKUP(1,($AR$36:$AR$53=F281)*($AS$36:$AS$53=G281), INDEX($AT$36:$BJ$53,,_xlfn.XMATCH(E281,$AT$35:$BJ$35)))),"")</f>
        <v/>
      </c>
      <c r="Y281" s="480"/>
      <c r="Z281" s="482"/>
      <c r="AA281" s="607" t="str" cm="1">
        <f t="array" ref="AA281">IFERROR(IF($D$3="", "", _xlfn.LET(_xlpm.dia, E281, _xlpm.thk, Z281, _xlpm.temp, I281,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1" s="397" t="str" cm="1">
        <f t="array" ref="AB281">IFERROR(IF($D$3="", "", _xlfn.XLOOKUP(1,($AR$57:$AR$76=Y281)*($AS$57:$AS$76=Z281), INDEX($AT$57:$BJ$76,,_xlfn.XMATCH(E281,$AT$56:$BJ$56)))),"")</f>
        <v/>
      </c>
      <c r="AC281" s="208" t="str">
        <f t="shared" si="75"/>
        <v/>
      </c>
      <c r="AD281" s="397" t="str">
        <f t="shared" si="76"/>
        <v/>
      </c>
      <c r="AE281" s="610" t="str">
        <f t="shared" si="77"/>
        <v/>
      </c>
      <c r="AF281" s="610" t="str">
        <f t="shared" si="78"/>
        <v/>
      </c>
      <c r="AG281" s="610" t="str">
        <f t="shared" si="79"/>
        <v/>
      </c>
      <c r="AH281" s="608" t="str">
        <f t="shared" si="80"/>
        <v/>
      </c>
      <c r="AI281" s="610" t="str">
        <f t="shared" si="81"/>
        <v/>
      </c>
    </row>
    <row r="282" spans="2:35" x14ac:dyDescent="0.25">
      <c r="B282" s="209">
        <v>249</v>
      </c>
      <c r="C282" s="480"/>
      <c r="D282" s="480"/>
      <c r="E282" s="481"/>
      <c r="F282" s="480"/>
      <c r="G282" s="480"/>
      <c r="H282" s="607" t="str">
        <f t="shared" si="66"/>
        <v/>
      </c>
      <c r="I282" s="607" t="str">
        <f t="shared" si="67"/>
        <v/>
      </c>
      <c r="J282" s="607" t="str">
        <f t="shared" si="68"/>
        <v/>
      </c>
      <c r="K282" s="208" t="str">
        <f t="shared" si="69"/>
        <v/>
      </c>
      <c r="L282" s="208" t="str">
        <f t="shared" si="70"/>
        <v/>
      </c>
      <c r="M282" s="208" t="str">
        <f t="shared" si="82"/>
        <v/>
      </c>
      <c r="N282" s="608" t="str">
        <f>IF($D$3="", "", IFERROR(VLOOKUP(L282,'PIPE INCENTIVE'!$B$4:$E$19,2,FALSE),""))</f>
        <v/>
      </c>
      <c r="O282" s="608" t="str">
        <f t="shared" si="83"/>
        <v/>
      </c>
      <c r="P282" s="208" t="str">
        <f t="shared" si="84"/>
        <v/>
      </c>
      <c r="Q282" s="208" t="str">
        <f t="shared" si="71"/>
        <v/>
      </c>
      <c r="R282" s="609" t="str">
        <f t="shared" si="72"/>
        <v/>
      </c>
      <c r="S282" s="609" t="str">
        <f t="shared" si="73"/>
        <v/>
      </c>
      <c r="T282" s="609" t="str">
        <f t="shared" si="74"/>
        <v/>
      </c>
      <c r="U282" s="609" t="str" cm="1">
        <f t="array" ref="U282">IFERROR(IF($D$3="","",_xlfn.LET(_xlpm.Mixed,AND(COUNTIF($G$34:$G$533,"Heating_Hot_Water")&gt;0,(COUNTIF($G$34:$G$533,"Steam_Low_Pressure") + COUNTIF($G$34:$G$533,"Steam_Medium_Pressure") + COUNTIF($G$34:$G$533,"Steam_High_Pressure"))&gt;0),_xlpm.fluid, G282,_xlpm.fuel, K282,_xlpm.load,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2" s="609" t="str">
        <f t="shared" si="85"/>
        <v/>
      </c>
      <c r="W282" s="482"/>
      <c r="X282" s="397" t="str" cm="1">
        <f t="array" ref="X282">IFERROR(IF($D$3="","", _xlfn.XLOOKUP(1,($AR$36:$AR$53=F282)*($AS$36:$AS$53=G282), INDEX($AT$36:$BJ$53,,_xlfn.XMATCH(E282,$AT$35:$BJ$35)))),"")</f>
        <v/>
      </c>
      <c r="Y282" s="480"/>
      <c r="Z282" s="482"/>
      <c r="AA282" s="607" t="str" cm="1">
        <f t="array" ref="AA282">IFERROR(IF($D$3="", "", _xlfn.LET(_xlpm.dia, E282, _xlpm.thk, Z282, _xlpm.temp, I282,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2" s="397" t="str" cm="1">
        <f t="array" ref="AB282">IFERROR(IF($D$3="", "", _xlfn.XLOOKUP(1,($AR$57:$AR$76=Y282)*($AS$57:$AS$76=Z282), INDEX($AT$57:$BJ$76,,_xlfn.XMATCH(E282,$AT$56:$BJ$56)))),"")</f>
        <v/>
      </c>
      <c r="AC282" s="208" t="str">
        <f t="shared" si="75"/>
        <v/>
      </c>
      <c r="AD282" s="397" t="str">
        <f t="shared" si="76"/>
        <v/>
      </c>
      <c r="AE282" s="610" t="str">
        <f t="shared" si="77"/>
        <v/>
      </c>
      <c r="AF282" s="610" t="str">
        <f t="shared" si="78"/>
        <v/>
      </c>
      <c r="AG282" s="610" t="str">
        <f t="shared" si="79"/>
        <v/>
      </c>
      <c r="AH282" s="608" t="str">
        <f t="shared" si="80"/>
        <v/>
      </c>
      <c r="AI282" s="610" t="str">
        <f t="shared" si="81"/>
        <v/>
      </c>
    </row>
    <row r="283" spans="2:35" x14ac:dyDescent="0.25">
      <c r="B283" s="209">
        <v>250</v>
      </c>
      <c r="C283" s="480"/>
      <c r="D283" s="480"/>
      <c r="E283" s="481"/>
      <c r="F283" s="480"/>
      <c r="G283" s="480"/>
      <c r="H283" s="607" t="str">
        <f t="shared" si="66"/>
        <v/>
      </c>
      <c r="I283" s="607" t="str">
        <f t="shared" si="67"/>
        <v/>
      </c>
      <c r="J283" s="607" t="str">
        <f t="shared" si="68"/>
        <v/>
      </c>
      <c r="K283" s="208" t="str">
        <f t="shared" si="69"/>
        <v/>
      </c>
      <c r="L283" s="208" t="str">
        <f t="shared" si="70"/>
        <v/>
      </c>
      <c r="M283" s="208" t="str">
        <f t="shared" si="82"/>
        <v/>
      </c>
      <c r="N283" s="608" t="str">
        <f>IF($D$3="", "", IFERROR(VLOOKUP(L283,'PIPE INCENTIVE'!$B$4:$E$19,2,FALSE),""))</f>
        <v/>
      </c>
      <c r="O283" s="608" t="str">
        <f t="shared" si="83"/>
        <v/>
      </c>
      <c r="P283" s="208" t="str">
        <f t="shared" si="84"/>
        <v/>
      </c>
      <c r="Q283" s="208" t="str">
        <f t="shared" si="71"/>
        <v/>
      </c>
      <c r="R283" s="609" t="str">
        <f t="shared" si="72"/>
        <v/>
      </c>
      <c r="S283" s="609" t="str">
        <f t="shared" si="73"/>
        <v/>
      </c>
      <c r="T283" s="609" t="str">
        <f t="shared" si="74"/>
        <v/>
      </c>
      <c r="U283" s="609" t="str" cm="1">
        <f t="array" ref="U283">IFERROR(IF($D$3="","",_xlfn.LET(_xlpm.Mixed,AND(COUNTIF($G$34:$G$533,"Heating_Hot_Water")&gt;0,(COUNTIF($G$34:$G$533,"Steam_Low_Pressure") + COUNTIF($G$34:$G$533,"Steam_Medium_Pressure") + COUNTIF($G$34:$G$533,"Steam_High_Pressure"))&gt;0),_xlpm.fluid, G283,_xlpm.fuel, K283,_xlpm.load,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3" s="609" t="str">
        <f t="shared" si="85"/>
        <v/>
      </c>
      <c r="W283" s="482"/>
      <c r="X283" s="397" t="str" cm="1">
        <f t="array" ref="X283">IFERROR(IF($D$3="","", _xlfn.XLOOKUP(1,($AR$36:$AR$53=F283)*($AS$36:$AS$53=G283), INDEX($AT$36:$BJ$53,,_xlfn.XMATCH(E283,$AT$35:$BJ$35)))),"")</f>
        <v/>
      </c>
      <c r="Y283" s="480"/>
      <c r="Z283" s="482"/>
      <c r="AA283" s="607" t="str" cm="1">
        <f t="array" ref="AA283">IFERROR(IF($D$3="", "", _xlfn.LET(_xlpm.dia, E283, _xlpm.thk, Z283, _xlpm.temp, I283,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3" s="397" t="str" cm="1">
        <f t="array" ref="AB283">IFERROR(IF($D$3="", "", _xlfn.XLOOKUP(1,($AR$57:$AR$76=Y283)*($AS$57:$AS$76=Z283), INDEX($AT$57:$BJ$76,,_xlfn.XMATCH(E283,$AT$56:$BJ$56)))),"")</f>
        <v/>
      </c>
      <c r="AC283" s="208" t="str">
        <f t="shared" si="75"/>
        <v/>
      </c>
      <c r="AD283" s="397" t="str">
        <f t="shared" si="76"/>
        <v/>
      </c>
      <c r="AE283" s="610" t="str">
        <f t="shared" si="77"/>
        <v/>
      </c>
      <c r="AF283" s="610" t="str">
        <f t="shared" si="78"/>
        <v/>
      </c>
      <c r="AG283" s="610" t="str">
        <f t="shared" si="79"/>
        <v/>
      </c>
      <c r="AH283" s="608" t="str">
        <f t="shared" si="80"/>
        <v/>
      </c>
      <c r="AI283" s="610" t="str">
        <f t="shared" si="81"/>
        <v/>
      </c>
    </row>
    <row r="284" spans="2:35" x14ac:dyDescent="0.25">
      <c r="B284" s="209">
        <v>251</v>
      </c>
      <c r="C284" s="480"/>
      <c r="D284" s="480"/>
      <c r="E284" s="481"/>
      <c r="F284" s="480"/>
      <c r="G284" s="480"/>
      <c r="H284" s="607" t="str">
        <f t="shared" si="66"/>
        <v/>
      </c>
      <c r="I284" s="607" t="str">
        <f t="shared" si="67"/>
        <v/>
      </c>
      <c r="J284" s="607" t="str">
        <f t="shared" si="68"/>
        <v/>
      </c>
      <c r="K284" s="208" t="str">
        <f t="shared" si="69"/>
        <v/>
      </c>
      <c r="L284" s="208" t="str">
        <f t="shared" si="70"/>
        <v/>
      </c>
      <c r="M284" s="208" t="str">
        <f t="shared" si="82"/>
        <v/>
      </c>
      <c r="N284" s="608" t="str">
        <f>IF($D$3="", "", IFERROR(VLOOKUP(L284,'PIPE INCENTIVE'!$B$4:$E$19,2,FALSE),""))</f>
        <v/>
      </c>
      <c r="O284" s="608" t="str">
        <f t="shared" si="83"/>
        <v/>
      </c>
      <c r="P284" s="208" t="str">
        <f t="shared" si="84"/>
        <v/>
      </c>
      <c r="Q284" s="208" t="str">
        <f t="shared" si="71"/>
        <v/>
      </c>
      <c r="R284" s="609" t="str">
        <f t="shared" si="72"/>
        <v/>
      </c>
      <c r="S284" s="609" t="str">
        <f t="shared" si="73"/>
        <v/>
      </c>
      <c r="T284" s="609" t="str">
        <f t="shared" si="74"/>
        <v/>
      </c>
      <c r="U284" s="609" t="str" cm="1">
        <f t="array" ref="U284">IFERROR(IF($D$3="","",_xlfn.LET(_xlpm.Mixed,AND(COUNTIF($G$34:$G$533,"Heating_Hot_Water")&gt;0,(COUNTIF($G$34:$G$533,"Steam_Low_Pressure") + COUNTIF($G$34:$G$533,"Steam_Medium_Pressure") + COUNTIF($G$34:$G$533,"Steam_High_Pressure"))&gt;0),_xlpm.fluid, G284,_xlpm.fuel, K284,_xlpm.load,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4" s="609" t="str">
        <f t="shared" si="85"/>
        <v/>
      </c>
      <c r="W284" s="482"/>
      <c r="X284" s="397" t="str" cm="1">
        <f t="array" ref="X284">IFERROR(IF($D$3="","", _xlfn.XLOOKUP(1,($AR$36:$AR$53=F284)*($AS$36:$AS$53=G284), INDEX($AT$36:$BJ$53,,_xlfn.XMATCH(E284,$AT$35:$BJ$35)))),"")</f>
        <v/>
      </c>
      <c r="Y284" s="480"/>
      <c r="Z284" s="482"/>
      <c r="AA284" s="607" t="str" cm="1">
        <f t="array" ref="AA284">IFERROR(IF($D$3="", "", _xlfn.LET(_xlpm.dia, E284, _xlpm.thk, Z284, _xlpm.temp, I284,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4" s="397" t="str" cm="1">
        <f t="array" ref="AB284">IFERROR(IF($D$3="", "", _xlfn.XLOOKUP(1,($AR$57:$AR$76=Y284)*($AS$57:$AS$76=Z284), INDEX($AT$57:$BJ$76,,_xlfn.XMATCH(E284,$AT$56:$BJ$56)))),"")</f>
        <v/>
      </c>
      <c r="AC284" s="208" t="str">
        <f t="shared" si="75"/>
        <v/>
      </c>
      <c r="AD284" s="397" t="str">
        <f t="shared" si="76"/>
        <v/>
      </c>
      <c r="AE284" s="610" t="str">
        <f t="shared" si="77"/>
        <v/>
      </c>
      <c r="AF284" s="610" t="str">
        <f t="shared" si="78"/>
        <v/>
      </c>
      <c r="AG284" s="610" t="str">
        <f t="shared" si="79"/>
        <v/>
      </c>
      <c r="AH284" s="608" t="str">
        <f t="shared" si="80"/>
        <v/>
      </c>
      <c r="AI284" s="610" t="str">
        <f t="shared" si="81"/>
        <v/>
      </c>
    </row>
    <row r="285" spans="2:35" x14ac:dyDescent="0.25">
      <c r="B285" s="209">
        <v>252</v>
      </c>
      <c r="C285" s="480"/>
      <c r="D285" s="480"/>
      <c r="E285" s="481"/>
      <c r="F285" s="480"/>
      <c r="G285" s="480"/>
      <c r="H285" s="607" t="str">
        <f t="shared" si="66"/>
        <v/>
      </c>
      <c r="I285" s="607" t="str">
        <f t="shared" si="67"/>
        <v/>
      </c>
      <c r="J285" s="607" t="str">
        <f t="shared" si="68"/>
        <v/>
      </c>
      <c r="K285" s="208" t="str">
        <f t="shared" si="69"/>
        <v/>
      </c>
      <c r="L285" s="208" t="str">
        <f t="shared" si="70"/>
        <v/>
      </c>
      <c r="M285" s="208" t="str">
        <f t="shared" si="82"/>
        <v/>
      </c>
      <c r="N285" s="608" t="str">
        <f>IF($D$3="", "", IFERROR(VLOOKUP(L285,'PIPE INCENTIVE'!$B$4:$E$19,2,FALSE),""))</f>
        <v/>
      </c>
      <c r="O285" s="608" t="str">
        <f t="shared" si="83"/>
        <v/>
      </c>
      <c r="P285" s="208" t="str">
        <f t="shared" si="84"/>
        <v/>
      </c>
      <c r="Q285" s="208" t="str">
        <f t="shared" si="71"/>
        <v/>
      </c>
      <c r="R285" s="609" t="str">
        <f t="shared" si="72"/>
        <v/>
      </c>
      <c r="S285" s="609" t="str">
        <f t="shared" si="73"/>
        <v/>
      </c>
      <c r="T285" s="609" t="str">
        <f t="shared" si="74"/>
        <v/>
      </c>
      <c r="U285" s="609" t="str" cm="1">
        <f t="array" ref="U285">IFERROR(IF($D$3="","",_xlfn.LET(_xlpm.Mixed,AND(COUNTIF($G$34:$G$533,"Heating_Hot_Water")&gt;0,(COUNTIF($G$34:$G$533,"Steam_Low_Pressure") + COUNTIF($G$34:$G$533,"Steam_Medium_Pressure") + COUNTIF($G$34:$G$533,"Steam_High_Pressure"))&gt;0),_xlpm.fluid, G285,_xlpm.fuel, K285,_xlpm.load,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5" s="609" t="str">
        <f t="shared" si="85"/>
        <v/>
      </c>
      <c r="W285" s="482"/>
      <c r="X285" s="397" t="str" cm="1">
        <f t="array" ref="X285">IFERROR(IF($D$3="","", _xlfn.XLOOKUP(1,($AR$36:$AR$53=F285)*($AS$36:$AS$53=G285), INDEX($AT$36:$BJ$53,,_xlfn.XMATCH(E285,$AT$35:$BJ$35)))),"")</f>
        <v/>
      </c>
      <c r="Y285" s="480"/>
      <c r="Z285" s="482"/>
      <c r="AA285" s="607" t="str" cm="1">
        <f t="array" ref="AA285">IFERROR(IF($D$3="", "", _xlfn.LET(_xlpm.dia, E285, _xlpm.thk, Z285, _xlpm.temp, I285,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5" s="397" t="str" cm="1">
        <f t="array" ref="AB285">IFERROR(IF($D$3="", "", _xlfn.XLOOKUP(1,($AR$57:$AR$76=Y285)*($AS$57:$AS$76=Z285), INDEX($AT$57:$BJ$76,,_xlfn.XMATCH(E285,$AT$56:$BJ$56)))),"")</f>
        <v/>
      </c>
      <c r="AC285" s="208" t="str">
        <f t="shared" si="75"/>
        <v/>
      </c>
      <c r="AD285" s="397" t="str">
        <f t="shared" si="76"/>
        <v/>
      </c>
      <c r="AE285" s="610" t="str">
        <f t="shared" si="77"/>
        <v/>
      </c>
      <c r="AF285" s="610" t="str">
        <f t="shared" si="78"/>
        <v/>
      </c>
      <c r="AG285" s="610" t="str">
        <f t="shared" si="79"/>
        <v/>
      </c>
      <c r="AH285" s="608" t="str">
        <f t="shared" si="80"/>
        <v/>
      </c>
      <c r="AI285" s="610" t="str">
        <f t="shared" si="81"/>
        <v/>
      </c>
    </row>
    <row r="286" spans="2:35" x14ac:dyDescent="0.25">
      <c r="B286" s="209">
        <v>253</v>
      </c>
      <c r="C286" s="480"/>
      <c r="D286" s="480"/>
      <c r="E286" s="481"/>
      <c r="F286" s="480"/>
      <c r="G286" s="480"/>
      <c r="H286" s="607" t="str">
        <f t="shared" si="66"/>
        <v/>
      </c>
      <c r="I286" s="607" t="str">
        <f t="shared" si="67"/>
        <v/>
      </c>
      <c r="J286" s="607" t="str">
        <f t="shared" si="68"/>
        <v/>
      </c>
      <c r="K286" s="208" t="str">
        <f t="shared" si="69"/>
        <v/>
      </c>
      <c r="L286" s="208" t="str">
        <f t="shared" si="70"/>
        <v/>
      </c>
      <c r="M286" s="208" t="str">
        <f t="shared" si="82"/>
        <v/>
      </c>
      <c r="N286" s="608" t="str">
        <f>IF($D$3="", "", IFERROR(VLOOKUP(L286,'PIPE INCENTIVE'!$B$4:$E$19,2,FALSE),""))</f>
        <v/>
      </c>
      <c r="O286" s="608" t="str">
        <f t="shared" si="83"/>
        <v/>
      </c>
      <c r="P286" s="208" t="str">
        <f t="shared" si="84"/>
        <v/>
      </c>
      <c r="Q286" s="208" t="str">
        <f t="shared" si="71"/>
        <v/>
      </c>
      <c r="R286" s="609" t="str">
        <f t="shared" si="72"/>
        <v/>
      </c>
      <c r="S286" s="609" t="str">
        <f t="shared" si="73"/>
        <v/>
      </c>
      <c r="T286" s="609" t="str">
        <f t="shared" si="74"/>
        <v/>
      </c>
      <c r="U286" s="609" t="str" cm="1">
        <f t="array" ref="U286">IFERROR(IF($D$3="","",_xlfn.LET(_xlpm.Mixed,AND(COUNTIF($G$34:$G$533,"Heating_Hot_Water")&gt;0,(COUNTIF($G$34:$G$533,"Steam_Low_Pressure") + COUNTIF($G$34:$G$533,"Steam_Medium_Pressure") + COUNTIF($G$34:$G$533,"Steam_High_Pressure"))&gt;0),_xlpm.fluid, G286,_xlpm.fuel, K286,_xlpm.load,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6" s="609" t="str">
        <f t="shared" si="85"/>
        <v/>
      </c>
      <c r="W286" s="482"/>
      <c r="X286" s="397" t="str" cm="1">
        <f t="array" ref="X286">IFERROR(IF($D$3="","", _xlfn.XLOOKUP(1,($AR$36:$AR$53=F286)*($AS$36:$AS$53=G286), INDEX($AT$36:$BJ$53,,_xlfn.XMATCH(E286,$AT$35:$BJ$35)))),"")</f>
        <v/>
      </c>
      <c r="Y286" s="480"/>
      <c r="Z286" s="482"/>
      <c r="AA286" s="607" t="str" cm="1">
        <f t="array" ref="AA286">IFERROR(IF($D$3="", "", _xlfn.LET(_xlpm.dia, E286, _xlpm.thk, Z286, _xlpm.temp, I286,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6" s="397" t="str" cm="1">
        <f t="array" ref="AB286">IFERROR(IF($D$3="", "", _xlfn.XLOOKUP(1,($AR$57:$AR$76=Y286)*($AS$57:$AS$76=Z286), INDEX($AT$57:$BJ$76,,_xlfn.XMATCH(E286,$AT$56:$BJ$56)))),"")</f>
        <v/>
      </c>
      <c r="AC286" s="208" t="str">
        <f t="shared" si="75"/>
        <v/>
      </c>
      <c r="AD286" s="397" t="str">
        <f t="shared" si="76"/>
        <v/>
      </c>
      <c r="AE286" s="610" t="str">
        <f t="shared" si="77"/>
        <v/>
      </c>
      <c r="AF286" s="610" t="str">
        <f t="shared" si="78"/>
        <v/>
      </c>
      <c r="AG286" s="610" t="str">
        <f t="shared" si="79"/>
        <v/>
      </c>
      <c r="AH286" s="608" t="str">
        <f t="shared" si="80"/>
        <v/>
      </c>
      <c r="AI286" s="610" t="str">
        <f t="shared" si="81"/>
        <v/>
      </c>
    </row>
    <row r="287" spans="2:35" x14ac:dyDescent="0.25">
      <c r="B287" s="209">
        <v>254</v>
      </c>
      <c r="C287" s="480"/>
      <c r="D287" s="480"/>
      <c r="E287" s="481"/>
      <c r="F287" s="480"/>
      <c r="G287" s="480"/>
      <c r="H287" s="607" t="str">
        <f t="shared" si="66"/>
        <v/>
      </c>
      <c r="I287" s="607" t="str">
        <f t="shared" si="67"/>
        <v/>
      </c>
      <c r="J287" s="607" t="str">
        <f t="shared" si="68"/>
        <v/>
      </c>
      <c r="K287" s="208" t="str">
        <f t="shared" si="69"/>
        <v/>
      </c>
      <c r="L287" s="208" t="str">
        <f t="shared" si="70"/>
        <v/>
      </c>
      <c r="M287" s="208" t="str">
        <f t="shared" si="82"/>
        <v/>
      </c>
      <c r="N287" s="608" t="str">
        <f>IF($D$3="", "", IFERROR(VLOOKUP(L287,'PIPE INCENTIVE'!$B$4:$E$19,2,FALSE),""))</f>
        <v/>
      </c>
      <c r="O287" s="608" t="str">
        <f t="shared" si="83"/>
        <v/>
      </c>
      <c r="P287" s="208" t="str">
        <f t="shared" si="84"/>
        <v/>
      </c>
      <c r="Q287" s="208" t="str">
        <f t="shared" si="71"/>
        <v/>
      </c>
      <c r="R287" s="609" t="str">
        <f t="shared" si="72"/>
        <v/>
      </c>
      <c r="S287" s="609" t="str">
        <f t="shared" si="73"/>
        <v/>
      </c>
      <c r="T287" s="609" t="str">
        <f t="shared" si="74"/>
        <v/>
      </c>
      <c r="U287" s="609" t="str" cm="1">
        <f t="array" ref="U287">IFERROR(IF($D$3="","",_xlfn.LET(_xlpm.Mixed,AND(COUNTIF($G$34:$G$533,"Heating_Hot_Water")&gt;0,(COUNTIF($G$34:$G$533,"Steam_Low_Pressure") + COUNTIF($G$34:$G$533,"Steam_Medium_Pressure") + COUNTIF($G$34:$G$533,"Steam_High_Pressure"))&gt;0),_xlpm.fluid, G287,_xlpm.fuel, K287,_xlpm.load,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7" s="609" t="str">
        <f t="shared" si="85"/>
        <v/>
      </c>
      <c r="W287" s="482"/>
      <c r="X287" s="397" t="str" cm="1">
        <f t="array" ref="X287">IFERROR(IF($D$3="","", _xlfn.XLOOKUP(1,($AR$36:$AR$53=F287)*($AS$36:$AS$53=G287), INDEX($AT$36:$BJ$53,,_xlfn.XMATCH(E287,$AT$35:$BJ$35)))),"")</f>
        <v/>
      </c>
      <c r="Y287" s="480"/>
      <c r="Z287" s="482"/>
      <c r="AA287" s="607" t="str" cm="1">
        <f t="array" ref="AA287">IFERROR(IF($D$3="", "", _xlfn.LET(_xlpm.dia, E287, _xlpm.thk, Z287, _xlpm.temp, I287,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7" s="397" t="str" cm="1">
        <f t="array" ref="AB287">IFERROR(IF($D$3="", "", _xlfn.XLOOKUP(1,($AR$57:$AR$76=Y287)*($AS$57:$AS$76=Z287), INDEX($AT$57:$BJ$76,,_xlfn.XMATCH(E287,$AT$56:$BJ$56)))),"")</f>
        <v/>
      </c>
      <c r="AC287" s="208" t="str">
        <f t="shared" si="75"/>
        <v/>
      </c>
      <c r="AD287" s="397" t="str">
        <f t="shared" si="76"/>
        <v/>
      </c>
      <c r="AE287" s="610" t="str">
        <f t="shared" si="77"/>
        <v/>
      </c>
      <c r="AF287" s="610" t="str">
        <f t="shared" si="78"/>
        <v/>
      </c>
      <c r="AG287" s="610" t="str">
        <f t="shared" si="79"/>
        <v/>
      </c>
      <c r="AH287" s="608" t="str">
        <f t="shared" si="80"/>
        <v/>
      </c>
      <c r="AI287" s="610" t="str">
        <f t="shared" si="81"/>
        <v/>
      </c>
    </row>
    <row r="288" spans="2:35" x14ac:dyDescent="0.25">
      <c r="B288" s="209">
        <v>255</v>
      </c>
      <c r="C288" s="480"/>
      <c r="D288" s="480"/>
      <c r="E288" s="481"/>
      <c r="F288" s="480"/>
      <c r="G288" s="480"/>
      <c r="H288" s="607" t="str">
        <f t="shared" si="66"/>
        <v/>
      </c>
      <c r="I288" s="607" t="str">
        <f t="shared" si="67"/>
        <v/>
      </c>
      <c r="J288" s="607" t="str">
        <f t="shared" si="68"/>
        <v/>
      </c>
      <c r="K288" s="208" t="str">
        <f t="shared" si="69"/>
        <v/>
      </c>
      <c r="L288" s="208" t="str">
        <f t="shared" si="70"/>
        <v/>
      </c>
      <c r="M288" s="208" t="str">
        <f t="shared" si="82"/>
        <v/>
      </c>
      <c r="N288" s="608" t="str">
        <f>IF($D$3="", "", IFERROR(VLOOKUP(L288,'PIPE INCENTIVE'!$B$4:$E$19,2,FALSE),""))</f>
        <v/>
      </c>
      <c r="O288" s="608" t="str">
        <f t="shared" si="83"/>
        <v/>
      </c>
      <c r="P288" s="208" t="str">
        <f t="shared" si="84"/>
        <v/>
      </c>
      <c r="Q288" s="208" t="str">
        <f t="shared" si="71"/>
        <v/>
      </c>
      <c r="R288" s="609" t="str">
        <f t="shared" si="72"/>
        <v/>
      </c>
      <c r="S288" s="609" t="str">
        <f t="shared" si="73"/>
        <v/>
      </c>
      <c r="T288" s="609" t="str">
        <f t="shared" si="74"/>
        <v/>
      </c>
      <c r="U288" s="609" t="str" cm="1">
        <f t="array" ref="U288">IFERROR(IF($D$3="","",_xlfn.LET(_xlpm.Mixed,AND(COUNTIF($G$34:$G$533,"Heating_Hot_Water")&gt;0,(COUNTIF($G$34:$G$533,"Steam_Low_Pressure") + COUNTIF($G$34:$G$533,"Steam_Medium_Pressure") + COUNTIF($G$34:$G$533,"Steam_High_Pressure"))&gt;0),_xlpm.fluid, G288,_xlpm.fuel, K288,_xlpm.load,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8" s="609" t="str">
        <f t="shared" si="85"/>
        <v/>
      </c>
      <c r="W288" s="482"/>
      <c r="X288" s="397" t="str" cm="1">
        <f t="array" ref="X288">IFERROR(IF($D$3="","", _xlfn.XLOOKUP(1,($AR$36:$AR$53=F288)*($AS$36:$AS$53=G288), INDEX($AT$36:$BJ$53,,_xlfn.XMATCH(E288,$AT$35:$BJ$35)))),"")</f>
        <v/>
      </c>
      <c r="Y288" s="480"/>
      <c r="Z288" s="482"/>
      <c r="AA288" s="607" t="str" cm="1">
        <f t="array" ref="AA288">IFERROR(IF($D$3="", "", _xlfn.LET(_xlpm.dia, E288, _xlpm.thk, Z288, _xlpm.temp, I288,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8" s="397" t="str" cm="1">
        <f t="array" ref="AB288">IFERROR(IF($D$3="", "", _xlfn.XLOOKUP(1,($AR$57:$AR$76=Y288)*($AS$57:$AS$76=Z288), INDEX($AT$57:$BJ$76,,_xlfn.XMATCH(E288,$AT$56:$BJ$56)))),"")</f>
        <v/>
      </c>
      <c r="AC288" s="208" t="str">
        <f t="shared" si="75"/>
        <v/>
      </c>
      <c r="AD288" s="397" t="str">
        <f t="shared" si="76"/>
        <v/>
      </c>
      <c r="AE288" s="610" t="str">
        <f t="shared" si="77"/>
        <v/>
      </c>
      <c r="AF288" s="610" t="str">
        <f t="shared" si="78"/>
        <v/>
      </c>
      <c r="AG288" s="610" t="str">
        <f t="shared" si="79"/>
        <v/>
      </c>
      <c r="AH288" s="608" t="str">
        <f t="shared" si="80"/>
        <v/>
      </c>
      <c r="AI288" s="610" t="str">
        <f t="shared" si="81"/>
        <v/>
      </c>
    </row>
    <row r="289" spans="2:35" x14ac:dyDescent="0.25">
      <c r="B289" s="209">
        <v>256</v>
      </c>
      <c r="C289" s="480"/>
      <c r="D289" s="480"/>
      <c r="E289" s="481"/>
      <c r="F289" s="480"/>
      <c r="G289" s="480"/>
      <c r="H289" s="607" t="str">
        <f t="shared" si="66"/>
        <v/>
      </c>
      <c r="I289" s="607" t="str">
        <f t="shared" si="67"/>
        <v/>
      </c>
      <c r="J289" s="607" t="str">
        <f t="shared" si="68"/>
        <v/>
      </c>
      <c r="K289" s="208" t="str">
        <f t="shared" si="69"/>
        <v/>
      </c>
      <c r="L289" s="208" t="str">
        <f t="shared" si="70"/>
        <v/>
      </c>
      <c r="M289" s="208" t="str">
        <f t="shared" si="82"/>
        <v/>
      </c>
      <c r="N289" s="608" t="str">
        <f>IF($D$3="", "", IFERROR(VLOOKUP(L289,'PIPE INCENTIVE'!$B$4:$E$19,2,FALSE),""))</f>
        <v/>
      </c>
      <c r="O289" s="608" t="str">
        <f t="shared" si="83"/>
        <v/>
      </c>
      <c r="P289" s="208" t="str">
        <f t="shared" si="84"/>
        <v/>
      </c>
      <c r="Q289" s="208" t="str">
        <f t="shared" si="71"/>
        <v/>
      </c>
      <c r="R289" s="609" t="str">
        <f t="shared" si="72"/>
        <v/>
      </c>
      <c r="S289" s="609" t="str">
        <f t="shared" si="73"/>
        <v/>
      </c>
      <c r="T289" s="609" t="str">
        <f t="shared" si="74"/>
        <v/>
      </c>
      <c r="U289" s="609" t="str" cm="1">
        <f t="array" ref="U289">IFERROR(IF($D$3="","",_xlfn.LET(_xlpm.Mixed,AND(COUNTIF($G$34:$G$533,"Heating_Hot_Water")&gt;0,(COUNTIF($G$34:$G$533,"Steam_Low_Pressure") + COUNTIF($G$34:$G$533,"Steam_Medium_Pressure") + COUNTIF($G$34:$G$533,"Steam_High_Pressure"))&gt;0),_xlpm.fluid, G289,_xlpm.fuel, K289,_xlpm.load,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89" s="609" t="str">
        <f t="shared" si="85"/>
        <v/>
      </c>
      <c r="W289" s="482"/>
      <c r="X289" s="397" t="str" cm="1">
        <f t="array" ref="X289">IFERROR(IF($D$3="","", _xlfn.XLOOKUP(1,($AR$36:$AR$53=F289)*($AS$36:$AS$53=G289), INDEX($AT$36:$BJ$53,,_xlfn.XMATCH(E289,$AT$35:$BJ$35)))),"")</f>
        <v/>
      </c>
      <c r="Y289" s="480"/>
      <c r="Z289" s="482"/>
      <c r="AA289" s="607" t="str" cm="1">
        <f t="array" ref="AA289">IFERROR(IF($D$3="", "", _xlfn.LET(_xlpm.dia, E289, _xlpm.thk, Z289, _xlpm.temp, I289,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89" s="397" t="str" cm="1">
        <f t="array" ref="AB289">IFERROR(IF($D$3="", "", _xlfn.XLOOKUP(1,($AR$57:$AR$76=Y289)*($AS$57:$AS$76=Z289), INDEX($AT$57:$BJ$76,,_xlfn.XMATCH(E289,$AT$56:$BJ$56)))),"")</f>
        <v/>
      </c>
      <c r="AC289" s="208" t="str">
        <f t="shared" si="75"/>
        <v/>
      </c>
      <c r="AD289" s="397" t="str">
        <f t="shared" si="76"/>
        <v/>
      </c>
      <c r="AE289" s="610" t="str">
        <f t="shared" si="77"/>
        <v/>
      </c>
      <c r="AF289" s="610" t="str">
        <f t="shared" si="78"/>
        <v/>
      </c>
      <c r="AG289" s="610" t="str">
        <f t="shared" si="79"/>
        <v/>
      </c>
      <c r="AH289" s="608" t="str">
        <f t="shared" si="80"/>
        <v/>
      </c>
      <c r="AI289" s="610" t="str">
        <f t="shared" si="81"/>
        <v/>
      </c>
    </row>
    <row r="290" spans="2:35" x14ac:dyDescent="0.25">
      <c r="B290" s="209">
        <v>257</v>
      </c>
      <c r="C290" s="480"/>
      <c r="D290" s="480"/>
      <c r="E290" s="481"/>
      <c r="F290" s="480"/>
      <c r="G290" s="480"/>
      <c r="H290" s="607" t="str">
        <f t="shared" ref="H290:H353" si="86">IFERROR(IF($D$3="", "", VLOOKUP(G290,$AM$53:$AN$60,2,FALSE)),"")</f>
        <v/>
      </c>
      <c r="I290" s="607" t="str">
        <f t="shared" ref="I290:I353" si="87">IFERROR(IF($D$3 = "", "", VLOOKUP(G290,$AM$64:$AN$71,2,FALSE)),"")</f>
        <v/>
      </c>
      <c r="J290" s="607" t="str">
        <f t="shared" ref="J290:J353" si="88">IFERROR(IF($D$3="", "", ABS(I290-H290)),"")</f>
        <v/>
      </c>
      <c r="K290" s="208" t="str">
        <f t="shared" ref="K290:K353" si="89">IFERROR(IF($D$3="", "", IF(OR(G290="Steam_Low_Pressure", G290="Steam_Medium_Pressure",G290="Steam_High_Pressure", G290="Heating_Hot_Water", G290="Steam_Condensate"), "Heating"&amp;$AT$115, IF(G290="Domestic_Hot_Water", G290&amp;$AT$131, IF(OR(G290="CoolingSupply", G290="CoolingReturn"), G290&amp;$AT$122,"")))),"")</f>
        <v/>
      </c>
      <c r="L290" s="208" t="str">
        <f t="shared" ref="L290:L353" si="90">IF($D$3="","", IFERROR(IF($D$7="Large C &amp; I (LCI)", "LCI", "SMB")&amp;"_"&amp;IF(RIGHT(K290, 6)="Fossil", "Gas_", "Electric_")&amp;$D$8&amp;"_"&amp;IF($D$9="No", "DACNo", "DACYes"),""))</f>
        <v/>
      </c>
      <c r="M290" s="208" t="str">
        <f t="shared" si="82"/>
        <v/>
      </c>
      <c r="N290" s="608" t="str">
        <f>IF($D$3="", "", IFERROR(VLOOKUP(L290,'PIPE INCENTIVE'!$B$4:$E$19,2,FALSE),""))</f>
        <v/>
      </c>
      <c r="O290" s="608" t="str">
        <f t="shared" si="83"/>
        <v/>
      </c>
      <c r="P290" s="208" t="str">
        <f t="shared" si="84"/>
        <v/>
      </c>
      <c r="Q290" s="208" t="str">
        <f t="shared" ref="Q290:Q353" si="91">IFERROR(IF($D$3="","",IF(P290="Domestic_Hot_Water_AY",8760,IF(P290="Domestic_Hot_Water_HSO",VLOOKUP($D$5,$AM$74:$AN$81,2,FALSE),IF(P290="NOTDHW",IF($D$21="Yes",IF(OR(G290="CoolingSupply",G290="CoolingReturn"), $D$23, $D$22),IF(OR(G290="CoolingSupply",G290="CoolingReturn"), $AP$44, $AP$43)),"")))),"")</f>
        <v/>
      </c>
      <c r="R290" s="609" t="str">
        <f t="shared" ref="R290:R353" si="92">IFERROR(IF($D$3="", "", VLOOKUP(K290,$AM$86:$AN$96,2, FALSE)),"")</f>
        <v/>
      </c>
      <c r="S290" s="609" t="str">
        <f t="shared" ref="S290:S353" si="93">IFERROR(IF($D$3="", "", VLOOKUP(K290,$AM$100:$AN$110,2, FALSE)),"")</f>
        <v/>
      </c>
      <c r="T290" s="609" t="str">
        <f t="shared" ref="T290:T353" si="94">IF($D$3="","",IFERROR(IF(OR(K290="CoolingSupplyElectric",K290="CoolingReturnElectric"),IF($D$20&lt;&gt;"",$D$20, _xlfn.XLOOKUP(K290,$AR$102:$AR$107,$AS$102:$AS$107)),IF(OR(K290="HeatingElectric",K290="Domestic_Hot_WaterElectric",K290="Domestic_Hot_WaterUnknown"),0.98,0.98)),""))</f>
        <v/>
      </c>
      <c r="U290" s="609" t="str" cm="1">
        <f t="array" ref="U290">IFERROR(IF($D$3="","",_xlfn.LET(_xlpm.Mixed,AND(COUNTIF($G$34:$G$533,"Heating_Hot_Water")&gt;0,(COUNTIF($G$34:$G$533,"Steam_Low_Pressure") + COUNTIF($G$34:$G$533,"Steam_Medium_Pressure") + COUNTIF($G$34:$G$533,"Steam_High_Pressure"))&gt;0),_xlpm.fluid, G290,_xlpm.fuel, K290,_xlpm.load,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0" s="609" t="str">
        <f t="shared" si="85"/>
        <v/>
      </c>
      <c r="W290" s="482"/>
      <c r="X290" s="397" t="str" cm="1">
        <f t="array" ref="X290">IFERROR(IF($D$3="","", _xlfn.XLOOKUP(1,($AR$36:$AR$53=F290)*($AS$36:$AS$53=G290), INDEX($AT$36:$BJ$53,,_xlfn.XMATCH(E290,$AT$35:$BJ$35)))),"")</f>
        <v/>
      </c>
      <c r="Y290" s="480"/>
      <c r="Z290" s="482"/>
      <c r="AA290" s="607" t="str" cm="1">
        <f t="array" ref="AA290">IFERROR(IF($D$3="", "", _xlfn.LET(_xlpm.dia, E290, _xlpm.thk, Z290, _xlpm.temp, I290,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0" s="397" t="str" cm="1">
        <f t="array" ref="AB290">IFERROR(IF($D$3="", "", _xlfn.XLOOKUP(1,($AR$57:$AR$76=Y290)*($AS$57:$AS$76=Z290), INDEX($AT$57:$BJ$76,,_xlfn.XMATCH(E290,$AT$56:$BJ$56)))),"")</f>
        <v/>
      </c>
      <c r="AC290" s="208" t="str">
        <f t="shared" ref="AC290:AC353" si="95">IFERROR(IF($D$3="", "", IF(AND($AT$115="Fossil", $AT$122="Fossil", $AT$131="Fossil"), 0, ((X290-AB290)/(T290*3412))*W290*J290*Q290*R290)),"")</f>
        <v/>
      </c>
      <c r="AD290" s="397" t="str">
        <f t="shared" ref="AD290:AD353" si="96">IFERROR(IF($D$3="", "", AC290*V290/8760),"")</f>
        <v/>
      </c>
      <c r="AE290" s="610" t="str">
        <f t="shared" ref="AE290:AE353" si="97">IFERROR(IF(AF290="", "", AF290*10),"")</f>
        <v/>
      </c>
      <c r="AF290" s="610" t="str">
        <f t="shared" ref="AF290:AF353" si="98">IFERROR(IF($D$3="", "", IF(AND($AT$115="Electric", $AT$122="Electric", $AT$131="Electric"), 0, ((X290-AB290)/(U290*1000000))*W290*J290*Q290*S290)),"")</f>
        <v/>
      </c>
      <c r="AG290" s="610" t="str">
        <f t="shared" ref="AG290:AG353" si="99">IFERROR(IF(AC290&lt;&gt;0, AC290*3412/1000000, 0),"")</f>
        <v/>
      </c>
      <c r="AH290" s="608" t="str">
        <f t="shared" ref="AH290:AH353" si="100">IFERROR(IF($D$3="","",IF(OR(AND(ISNUMBER(SEARCH("Domestic_Hot_Water",$K290)),OR(ISNUMBER(SEARCH("Not National Grid",$D$17)),ISNUMBER(SEARCH("Oil/Propane/Wood",$D$17)))),AND(ISNUMBER(SEARCH("Cooling",$K290)),ISNUMBER(SEARCH("Not National Grid",$D$16))),AND(NOT(ISNUMBER(SEARCH("Domestic_Hot_Water",$K290))),NOT(ISNUMBER(SEARCH("Cooling",$K290))),OR(ISNUMBER(SEARCH("Not National Grid",$D$15)),ISNUMBER(SEARCH("Oil/Propane/Wood",$D$15))))),0,IF(AA290="No",0,IF(M290="PERTHERM",N290*AE290,N290*W290)))),"")</f>
        <v/>
      </c>
      <c r="AI290" s="610" t="str">
        <f t="shared" ref="AI290:AI353" si="101">IFERROR(AG290+AF290,"")</f>
        <v/>
      </c>
    </row>
    <row r="291" spans="2:35" x14ac:dyDescent="0.25">
      <c r="B291" s="209">
        <v>258</v>
      </c>
      <c r="C291" s="480"/>
      <c r="D291" s="480"/>
      <c r="E291" s="481"/>
      <c r="F291" s="480"/>
      <c r="G291" s="480"/>
      <c r="H291" s="607" t="str">
        <f t="shared" si="86"/>
        <v/>
      </c>
      <c r="I291" s="607" t="str">
        <f t="shared" si="87"/>
        <v/>
      </c>
      <c r="J291" s="607" t="str">
        <f t="shared" si="88"/>
        <v/>
      </c>
      <c r="K291" s="208" t="str">
        <f t="shared" si="89"/>
        <v/>
      </c>
      <c r="L291" s="208" t="str">
        <f t="shared" si="90"/>
        <v/>
      </c>
      <c r="M291" s="208" t="str">
        <f t="shared" ref="M291:M354" si="102">IF($D$3="","",IFERROR(IF(LEFT(L291,7)="LCI_Gas","PERTHERM","PERLF"),""))</f>
        <v/>
      </c>
      <c r="N291" s="608" t="str">
        <f>IF($D$3="", "", IFERROR(VLOOKUP(L291,'PIPE INCENTIVE'!$B$4:$E$19,2,FALSE),""))</f>
        <v/>
      </c>
      <c r="O291" s="608" t="str">
        <f t="shared" ref="O291:O354" si="103">IF($D$3="", "", IFERROR(IF(RIGHT(K291,6)="Fossil","Gas","Electric"),""))</f>
        <v/>
      </c>
      <c r="P291" s="208" t="str">
        <f t="shared" ref="P291:P354" si="104">IFERROR(IF($D$3="", "", IF(AND(G291="Domestic_Hot_Water",$D$18="All Year"),G291&amp;"_AY",IF(AND(G291="Domestic_Hot_Water",$D$18="Heating Season Only"),G291&amp;"_HSO","NOTDHW"))),"")</f>
        <v/>
      </c>
      <c r="Q291" s="208" t="str">
        <f t="shared" si="91"/>
        <v/>
      </c>
      <c r="R291" s="609" t="str">
        <f t="shared" si="92"/>
        <v/>
      </c>
      <c r="S291" s="609" t="str">
        <f t="shared" si="93"/>
        <v/>
      </c>
      <c r="T291" s="609" t="str">
        <f t="shared" si="94"/>
        <v/>
      </c>
      <c r="U291" s="609" t="str" cm="1">
        <f t="array" ref="U291">IFERROR(IF($D$3="","",_xlfn.LET(_xlpm.Mixed,AND(COUNTIF($G$34:$G$533,"Heating_Hot_Water")&gt;0,(COUNTIF($G$34:$G$533,"Steam_Low_Pressure") + COUNTIF($G$34:$G$533,"Steam_Medium_Pressure") + COUNTIF($G$34:$G$533,"Steam_High_Pressure"))&gt;0),_xlpm.fluid, G291,_xlpm.fuel, K291,_xlpm.load,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1" s="609" t="str">
        <f t="shared" ref="V291:V354" si="105">IFERROR(IF($D$3="", "", IF(K291="Domestic_Hot_WaterElectric", 1, 0)),"")</f>
        <v/>
      </c>
      <c r="W291" s="482"/>
      <c r="X291" s="397" t="str" cm="1">
        <f t="array" ref="X291">IFERROR(IF($D$3="","", _xlfn.XLOOKUP(1,($AR$36:$AR$53=F291)*($AS$36:$AS$53=G291), INDEX($AT$36:$BJ$53,,_xlfn.XMATCH(E291,$AT$35:$BJ$35)))),"")</f>
        <v/>
      </c>
      <c r="Y291" s="480"/>
      <c r="Z291" s="482"/>
      <c r="AA291" s="607" t="str" cm="1">
        <f t="array" ref="AA291">IFERROR(IF($D$3="", "", _xlfn.LET(_xlpm.dia, E291, _xlpm.thk, Z291, _xlpm.temp, I291,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1" s="397" t="str" cm="1">
        <f t="array" ref="AB291">IFERROR(IF($D$3="", "", _xlfn.XLOOKUP(1,($AR$57:$AR$76=Y291)*($AS$57:$AS$76=Z291), INDEX($AT$57:$BJ$76,,_xlfn.XMATCH(E291,$AT$56:$BJ$56)))),"")</f>
        <v/>
      </c>
      <c r="AC291" s="208" t="str">
        <f t="shared" si="95"/>
        <v/>
      </c>
      <c r="AD291" s="397" t="str">
        <f t="shared" si="96"/>
        <v/>
      </c>
      <c r="AE291" s="610" t="str">
        <f t="shared" si="97"/>
        <v/>
      </c>
      <c r="AF291" s="610" t="str">
        <f t="shared" si="98"/>
        <v/>
      </c>
      <c r="AG291" s="610" t="str">
        <f t="shared" si="99"/>
        <v/>
      </c>
      <c r="AH291" s="608" t="str">
        <f t="shared" si="100"/>
        <v/>
      </c>
      <c r="AI291" s="610" t="str">
        <f t="shared" si="101"/>
        <v/>
      </c>
    </row>
    <row r="292" spans="2:35" x14ac:dyDescent="0.25">
      <c r="B292" s="209">
        <v>259</v>
      </c>
      <c r="C292" s="480"/>
      <c r="D292" s="480"/>
      <c r="E292" s="481"/>
      <c r="F292" s="480"/>
      <c r="G292" s="480"/>
      <c r="H292" s="607" t="str">
        <f t="shared" si="86"/>
        <v/>
      </c>
      <c r="I292" s="607" t="str">
        <f t="shared" si="87"/>
        <v/>
      </c>
      <c r="J292" s="607" t="str">
        <f t="shared" si="88"/>
        <v/>
      </c>
      <c r="K292" s="208" t="str">
        <f t="shared" si="89"/>
        <v/>
      </c>
      <c r="L292" s="208" t="str">
        <f t="shared" si="90"/>
        <v/>
      </c>
      <c r="M292" s="208" t="str">
        <f t="shared" si="102"/>
        <v/>
      </c>
      <c r="N292" s="608" t="str">
        <f>IF($D$3="", "", IFERROR(VLOOKUP(L292,'PIPE INCENTIVE'!$B$4:$E$19,2,FALSE),""))</f>
        <v/>
      </c>
      <c r="O292" s="608" t="str">
        <f t="shared" si="103"/>
        <v/>
      </c>
      <c r="P292" s="208" t="str">
        <f t="shared" si="104"/>
        <v/>
      </c>
      <c r="Q292" s="208" t="str">
        <f t="shared" si="91"/>
        <v/>
      </c>
      <c r="R292" s="609" t="str">
        <f t="shared" si="92"/>
        <v/>
      </c>
      <c r="S292" s="609" t="str">
        <f t="shared" si="93"/>
        <v/>
      </c>
      <c r="T292" s="609" t="str">
        <f t="shared" si="94"/>
        <v/>
      </c>
      <c r="U292" s="609" t="str" cm="1">
        <f t="array" ref="U292">IFERROR(IF($D$3="","",_xlfn.LET(_xlpm.Mixed,AND(COUNTIF($G$34:$G$533,"Heating_Hot_Water")&gt;0,(COUNTIF($G$34:$G$533,"Steam_Low_Pressure") + COUNTIF($G$34:$G$533,"Steam_Medium_Pressure") + COUNTIF($G$34:$G$533,"Steam_High_Pressure"))&gt;0),_xlpm.fluid, G292,_xlpm.fuel, K292,_xlpm.load,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2" s="609" t="str">
        <f t="shared" si="105"/>
        <v/>
      </c>
      <c r="W292" s="482"/>
      <c r="X292" s="397" t="str" cm="1">
        <f t="array" ref="X292">IFERROR(IF($D$3="","", _xlfn.XLOOKUP(1,($AR$36:$AR$53=F292)*($AS$36:$AS$53=G292), INDEX($AT$36:$BJ$53,,_xlfn.XMATCH(E292,$AT$35:$BJ$35)))),"")</f>
        <v/>
      </c>
      <c r="Y292" s="480"/>
      <c r="Z292" s="482"/>
      <c r="AA292" s="607" t="str" cm="1">
        <f t="array" ref="AA292">IFERROR(IF($D$3="", "", _xlfn.LET(_xlpm.dia, E292, _xlpm.thk, Z292, _xlpm.temp, I292,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2" s="397" t="str" cm="1">
        <f t="array" ref="AB292">IFERROR(IF($D$3="", "", _xlfn.XLOOKUP(1,($AR$57:$AR$76=Y292)*($AS$57:$AS$76=Z292), INDEX($AT$57:$BJ$76,,_xlfn.XMATCH(E292,$AT$56:$BJ$56)))),"")</f>
        <v/>
      </c>
      <c r="AC292" s="208" t="str">
        <f t="shared" si="95"/>
        <v/>
      </c>
      <c r="AD292" s="397" t="str">
        <f t="shared" si="96"/>
        <v/>
      </c>
      <c r="AE292" s="610" t="str">
        <f t="shared" si="97"/>
        <v/>
      </c>
      <c r="AF292" s="610" t="str">
        <f t="shared" si="98"/>
        <v/>
      </c>
      <c r="AG292" s="610" t="str">
        <f t="shared" si="99"/>
        <v/>
      </c>
      <c r="AH292" s="608" t="str">
        <f t="shared" si="100"/>
        <v/>
      </c>
      <c r="AI292" s="610" t="str">
        <f t="shared" si="101"/>
        <v/>
      </c>
    </row>
    <row r="293" spans="2:35" x14ac:dyDescent="0.25">
      <c r="B293" s="209">
        <v>260</v>
      </c>
      <c r="C293" s="480"/>
      <c r="D293" s="480"/>
      <c r="E293" s="481"/>
      <c r="F293" s="480"/>
      <c r="G293" s="480"/>
      <c r="H293" s="607" t="str">
        <f t="shared" si="86"/>
        <v/>
      </c>
      <c r="I293" s="607" t="str">
        <f t="shared" si="87"/>
        <v/>
      </c>
      <c r="J293" s="607" t="str">
        <f t="shared" si="88"/>
        <v/>
      </c>
      <c r="K293" s="208" t="str">
        <f t="shared" si="89"/>
        <v/>
      </c>
      <c r="L293" s="208" t="str">
        <f t="shared" si="90"/>
        <v/>
      </c>
      <c r="M293" s="208" t="str">
        <f t="shared" si="102"/>
        <v/>
      </c>
      <c r="N293" s="608" t="str">
        <f>IF($D$3="", "", IFERROR(VLOOKUP(L293,'PIPE INCENTIVE'!$B$4:$E$19,2,FALSE),""))</f>
        <v/>
      </c>
      <c r="O293" s="608" t="str">
        <f t="shared" si="103"/>
        <v/>
      </c>
      <c r="P293" s="208" t="str">
        <f t="shared" si="104"/>
        <v/>
      </c>
      <c r="Q293" s="208" t="str">
        <f t="shared" si="91"/>
        <v/>
      </c>
      <c r="R293" s="609" t="str">
        <f t="shared" si="92"/>
        <v/>
      </c>
      <c r="S293" s="609" t="str">
        <f t="shared" si="93"/>
        <v/>
      </c>
      <c r="T293" s="609" t="str">
        <f t="shared" si="94"/>
        <v/>
      </c>
      <c r="U293" s="609" t="str" cm="1">
        <f t="array" ref="U293">IFERROR(IF($D$3="","",_xlfn.LET(_xlpm.Mixed,AND(COUNTIF($G$34:$G$533,"Heating_Hot_Water")&gt;0,(COUNTIF($G$34:$G$533,"Steam_Low_Pressure") + COUNTIF($G$34:$G$533,"Steam_Medium_Pressure") + COUNTIF($G$34:$G$533,"Steam_High_Pressure"))&gt;0),_xlpm.fluid, G293,_xlpm.fuel, K293,_xlpm.load,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3" s="609" t="str">
        <f t="shared" si="105"/>
        <v/>
      </c>
      <c r="W293" s="482"/>
      <c r="X293" s="397" t="str" cm="1">
        <f t="array" ref="X293">IFERROR(IF($D$3="","", _xlfn.XLOOKUP(1,($AR$36:$AR$53=F293)*($AS$36:$AS$53=G293), INDEX($AT$36:$BJ$53,,_xlfn.XMATCH(E293,$AT$35:$BJ$35)))),"")</f>
        <v/>
      </c>
      <c r="Y293" s="480"/>
      <c r="Z293" s="482"/>
      <c r="AA293" s="607" t="str" cm="1">
        <f t="array" ref="AA293">IFERROR(IF($D$3="", "", _xlfn.LET(_xlpm.dia, E293, _xlpm.thk, Z293, _xlpm.temp, I293,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3" s="397" t="str" cm="1">
        <f t="array" ref="AB293">IFERROR(IF($D$3="", "", _xlfn.XLOOKUP(1,($AR$57:$AR$76=Y293)*($AS$57:$AS$76=Z293), INDEX($AT$57:$BJ$76,,_xlfn.XMATCH(E293,$AT$56:$BJ$56)))),"")</f>
        <v/>
      </c>
      <c r="AC293" s="208" t="str">
        <f t="shared" si="95"/>
        <v/>
      </c>
      <c r="AD293" s="397" t="str">
        <f t="shared" si="96"/>
        <v/>
      </c>
      <c r="AE293" s="610" t="str">
        <f t="shared" si="97"/>
        <v/>
      </c>
      <c r="AF293" s="610" t="str">
        <f t="shared" si="98"/>
        <v/>
      </c>
      <c r="AG293" s="610" t="str">
        <f t="shared" si="99"/>
        <v/>
      </c>
      <c r="AH293" s="608" t="str">
        <f t="shared" si="100"/>
        <v/>
      </c>
      <c r="AI293" s="610" t="str">
        <f t="shared" si="101"/>
        <v/>
      </c>
    </row>
    <row r="294" spans="2:35" x14ac:dyDescent="0.25">
      <c r="B294" s="209">
        <v>261</v>
      </c>
      <c r="C294" s="480"/>
      <c r="D294" s="480"/>
      <c r="E294" s="481"/>
      <c r="F294" s="480"/>
      <c r="G294" s="480"/>
      <c r="H294" s="607" t="str">
        <f t="shared" si="86"/>
        <v/>
      </c>
      <c r="I294" s="607" t="str">
        <f t="shared" si="87"/>
        <v/>
      </c>
      <c r="J294" s="607" t="str">
        <f t="shared" si="88"/>
        <v/>
      </c>
      <c r="K294" s="208" t="str">
        <f t="shared" si="89"/>
        <v/>
      </c>
      <c r="L294" s="208" t="str">
        <f t="shared" si="90"/>
        <v/>
      </c>
      <c r="M294" s="208" t="str">
        <f t="shared" si="102"/>
        <v/>
      </c>
      <c r="N294" s="608" t="str">
        <f>IF($D$3="", "", IFERROR(VLOOKUP(L294,'PIPE INCENTIVE'!$B$4:$E$19,2,FALSE),""))</f>
        <v/>
      </c>
      <c r="O294" s="608" t="str">
        <f t="shared" si="103"/>
        <v/>
      </c>
      <c r="P294" s="208" t="str">
        <f t="shared" si="104"/>
        <v/>
      </c>
      <c r="Q294" s="208" t="str">
        <f t="shared" si="91"/>
        <v/>
      </c>
      <c r="R294" s="609" t="str">
        <f t="shared" si="92"/>
        <v/>
      </c>
      <c r="S294" s="609" t="str">
        <f t="shared" si="93"/>
        <v/>
      </c>
      <c r="T294" s="609" t="str">
        <f t="shared" si="94"/>
        <v/>
      </c>
      <c r="U294" s="609" t="str" cm="1">
        <f t="array" ref="U294">IFERROR(IF($D$3="","",_xlfn.LET(_xlpm.Mixed,AND(COUNTIF($G$34:$G$533,"Heating_Hot_Water")&gt;0,(COUNTIF($G$34:$G$533,"Steam_Low_Pressure") + COUNTIF($G$34:$G$533,"Steam_Medium_Pressure") + COUNTIF($G$34:$G$533,"Steam_High_Pressure"))&gt;0),_xlpm.fluid, G294,_xlpm.fuel, K294,_xlpm.load,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4" s="609" t="str">
        <f t="shared" si="105"/>
        <v/>
      </c>
      <c r="W294" s="482"/>
      <c r="X294" s="397" t="str" cm="1">
        <f t="array" ref="X294">IFERROR(IF($D$3="","", _xlfn.XLOOKUP(1,($AR$36:$AR$53=F294)*($AS$36:$AS$53=G294), INDEX($AT$36:$BJ$53,,_xlfn.XMATCH(E294,$AT$35:$BJ$35)))),"")</f>
        <v/>
      </c>
      <c r="Y294" s="480"/>
      <c r="Z294" s="482"/>
      <c r="AA294" s="607" t="str" cm="1">
        <f t="array" ref="AA294">IFERROR(IF($D$3="", "", _xlfn.LET(_xlpm.dia, E294, _xlpm.thk, Z294, _xlpm.temp, I294,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4" s="397" t="str" cm="1">
        <f t="array" ref="AB294">IFERROR(IF($D$3="", "", _xlfn.XLOOKUP(1,($AR$57:$AR$76=Y294)*($AS$57:$AS$76=Z294), INDEX($AT$57:$BJ$76,,_xlfn.XMATCH(E294,$AT$56:$BJ$56)))),"")</f>
        <v/>
      </c>
      <c r="AC294" s="208" t="str">
        <f t="shared" si="95"/>
        <v/>
      </c>
      <c r="AD294" s="397" t="str">
        <f t="shared" si="96"/>
        <v/>
      </c>
      <c r="AE294" s="610" t="str">
        <f t="shared" si="97"/>
        <v/>
      </c>
      <c r="AF294" s="610" t="str">
        <f t="shared" si="98"/>
        <v/>
      </c>
      <c r="AG294" s="610" t="str">
        <f t="shared" si="99"/>
        <v/>
      </c>
      <c r="AH294" s="608" t="str">
        <f t="shared" si="100"/>
        <v/>
      </c>
      <c r="AI294" s="610" t="str">
        <f t="shared" si="101"/>
        <v/>
      </c>
    </row>
    <row r="295" spans="2:35" x14ac:dyDescent="0.25">
      <c r="B295" s="209">
        <v>262</v>
      </c>
      <c r="C295" s="480"/>
      <c r="D295" s="480"/>
      <c r="E295" s="481"/>
      <c r="F295" s="480"/>
      <c r="G295" s="480"/>
      <c r="H295" s="607" t="str">
        <f t="shared" si="86"/>
        <v/>
      </c>
      <c r="I295" s="607" t="str">
        <f t="shared" si="87"/>
        <v/>
      </c>
      <c r="J295" s="607" t="str">
        <f t="shared" si="88"/>
        <v/>
      </c>
      <c r="K295" s="208" t="str">
        <f t="shared" si="89"/>
        <v/>
      </c>
      <c r="L295" s="208" t="str">
        <f t="shared" si="90"/>
        <v/>
      </c>
      <c r="M295" s="208" t="str">
        <f t="shared" si="102"/>
        <v/>
      </c>
      <c r="N295" s="608" t="str">
        <f>IF($D$3="", "", IFERROR(VLOOKUP(L295,'PIPE INCENTIVE'!$B$4:$E$19,2,FALSE),""))</f>
        <v/>
      </c>
      <c r="O295" s="608" t="str">
        <f t="shared" si="103"/>
        <v/>
      </c>
      <c r="P295" s="208" t="str">
        <f t="shared" si="104"/>
        <v/>
      </c>
      <c r="Q295" s="208" t="str">
        <f t="shared" si="91"/>
        <v/>
      </c>
      <c r="R295" s="609" t="str">
        <f t="shared" si="92"/>
        <v/>
      </c>
      <c r="S295" s="609" t="str">
        <f t="shared" si="93"/>
        <v/>
      </c>
      <c r="T295" s="609" t="str">
        <f t="shared" si="94"/>
        <v/>
      </c>
      <c r="U295" s="609" t="str" cm="1">
        <f t="array" ref="U295">IFERROR(IF($D$3="","",_xlfn.LET(_xlpm.Mixed,AND(COUNTIF($G$34:$G$533,"Heating_Hot_Water")&gt;0,(COUNTIF($G$34:$G$533,"Steam_Low_Pressure") + COUNTIF($G$34:$G$533,"Steam_Medium_Pressure") + COUNTIF($G$34:$G$533,"Steam_High_Pressure"))&gt;0),_xlpm.fluid, G295,_xlpm.fuel, K295,_xlpm.load,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5" s="609" t="str">
        <f t="shared" si="105"/>
        <v/>
      </c>
      <c r="W295" s="482"/>
      <c r="X295" s="397" t="str" cm="1">
        <f t="array" ref="X295">IFERROR(IF($D$3="","", _xlfn.XLOOKUP(1,($AR$36:$AR$53=F295)*($AS$36:$AS$53=G295), INDEX($AT$36:$BJ$53,,_xlfn.XMATCH(E295,$AT$35:$BJ$35)))),"")</f>
        <v/>
      </c>
      <c r="Y295" s="480"/>
      <c r="Z295" s="482"/>
      <c r="AA295" s="607" t="str" cm="1">
        <f t="array" ref="AA295">IFERROR(IF($D$3="", "", _xlfn.LET(_xlpm.dia, E295, _xlpm.thk, Z295, _xlpm.temp, I295,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5" s="397" t="str" cm="1">
        <f t="array" ref="AB295">IFERROR(IF($D$3="", "", _xlfn.XLOOKUP(1,($AR$57:$AR$76=Y295)*($AS$57:$AS$76=Z295), INDEX($AT$57:$BJ$76,,_xlfn.XMATCH(E295,$AT$56:$BJ$56)))),"")</f>
        <v/>
      </c>
      <c r="AC295" s="208" t="str">
        <f t="shared" si="95"/>
        <v/>
      </c>
      <c r="AD295" s="397" t="str">
        <f t="shared" si="96"/>
        <v/>
      </c>
      <c r="AE295" s="610" t="str">
        <f t="shared" si="97"/>
        <v/>
      </c>
      <c r="AF295" s="610" t="str">
        <f t="shared" si="98"/>
        <v/>
      </c>
      <c r="AG295" s="610" t="str">
        <f t="shared" si="99"/>
        <v/>
      </c>
      <c r="AH295" s="608" t="str">
        <f t="shared" si="100"/>
        <v/>
      </c>
      <c r="AI295" s="610" t="str">
        <f t="shared" si="101"/>
        <v/>
      </c>
    </row>
    <row r="296" spans="2:35" x14ac:dyDescent="0.25">
      <c r="B296" s="209">
        <v>263</v>
      </c>
      <c r="C296" s="480"/>
      <c r="D296" s="480"/>
      <c r="E296" s="481"/>
      <c r="F296" s="480"/>
      <c r="G296" s="480"/>
      <c r="H296" s="607" t="str">
        <f t="shared" si="86"/>
        <v/>
      </c>
      <c r="I296" s="607" t="str">
        <f t="shared" si="87"/>
        <v/>
      </c>
      <c r="J296" s="607" t="str">
        <f t="shared" si="88"/>
        <v/>
      </c>
      <c r="K296" s="208" t="str">
        <f t="shared" si="89"/>
        <v/>
      </c>
      <c r="L296" s="208" t="str">
        <f t="shared" si="90"/>
        <v/>
      </c>
      <c r="M296" s="208" t="str">
        <f t="shared" si="102"/>
        <v/>
      </c>
      <c r="N296" s="608" t="str">
        <f>IF($D$3="", "", IFERROR(VLOOKUP(L296,'PIPE INCENTIVE'!$B$4:$E$19,2,FALSE),""))</f>
        <v/>
      </c>
      <c r="O296" s="608" t="str">
        <f t="shared" si="103"/>
        <v/>
      </c>
      <c r="P296" s="208" t="str">
        <f t="shared" si="104"/>
        <v/>
      </c>
      <c r="Q296" s="208" t="str">
        <f t="shared" si="91"/>
        <v/>
      </c>
      <c r="R296" s="609" t="str">
        <f t="shared" si="92"/>
        <v/>
      </c>
      <c r="S296" s="609" t="str">
        <f t="shared" si="93"/>
        <v/>
      </c>
      <c r="T296" s="609" t="str">
        <f t="shared" si="94"/>
        <v/>
      </c>
      <c r="U296" s="609" t="str" cm="1">
        <f t="array" ref="U296">IFERROR(IF($D$3="","",_xlfn.LET(_xlpm.Mixed,AND(COUNTIF($G$34:$G$533,"Heating_Hot_Water")&gt;0,(COUNTIF($G$34:$G$533,"Steam_Low_Pressure") + COUNTIF($G$34:$G$533,"Steam_Medium_Pressure") + COUNTIF($G$34:$G$533,"Steam_High_Pressure"))&gt;0),_xlpm.fluid, G296,_xlpm.fuel, K296,_xlpm.load,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6" s="609" t="str">
        <f t="shared" si="105"/>
        <v/>
      </c>
      <c r="W296" s="482"/>
      <c r="X296" s="397" t="str" cm="1">
        <f t="array" ref="X296">IFERROR(IF($D$3="","", _xlfn.XLOOKUP(1,($AR$36:$AR$53=F296)*($AS$36:$AS$53=G296), INDEX($AT$36:$BJ$53,,_xlfn.XMATCH(E296,$AT$35:$BJ$35)))),"")</f>
        <v/>
      </c>
      <c r="Y296" s="480"/>
      <c r="Z296" s="482"/>
      <c r="AA296" s="607" t="str" cm="1">
        <f t="array" ref="AA296">IFERROR(IF($D$3="", "", _xlfn.LET(_xlpm.dia, E296, _xlpm.thk, Z296, _xlpm.temp, I296,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6" s="397" t="str" cm="1">
        <f t="array" ref="AB296">IFERROR(IF($D$3="", "", _xlfn.XLOOKUP(1,($AR$57:$AR$76=Y296)*($AS$57:$AS$76=Z296), INDEX($AT$57:$BJ$76,,_xlfn.XMATCH(E296,$AT$56:$BJ$56)))),"")</f>
        <v/>
      </c>
      <c r="AC296" s="208" t="str">
        <f t="shared" si="95"/>
        <v/>
      </c>
      <c r="AD296" s="397" t="str">
        <f t="shared" si="96"/>
        <v/>
      </c>
      <c r="AE296" s="610" t="str">
        <f t="shared" si="97"/>
        <v/>
      </c>
      <c r="AF296" s="610" t="str">
        <f t="shared" si="98"/>
        <v/>
      </c>
      <c r="AG296" s="610" t="str">
        <f t="shared" si="99"/>
        <v/>
      </c>
      <c r="AH296" s="608" t="str">
        <f t="shared" si="100"/>
        <v/>
      </c>
      <c r="AI296" s="610" t="str">
        <f t="shared" si="101"/>
        <v/>
      </c>
    </row>
    <row r="297" spans="2:35" x14ac:dyDescent="0.25">
      <c r="B297" s="209">
        <v>264</v>
      </c>
      <c r="C297" s="480"/>
      <c r="D297" s="480"/>
      <c r="E297" s="481"/>
      <c r="F297" s="480"/>
      <c r="G297" s="480"/>
      <c r="H297" s="607" t="str">
        <f t="shared" si="86"/>
        <v/>
      </c>
      <c r="I297" s="607" t="str">
        <f t="shared" si="87"/>
        <v/>
      </c>
      <c r="J297" s="607" t="str">
        <f t="shared" si="88"/>
        <v/>
      </c>
      <c r="K297" s="208" t="str">
        <f t="shared" si="89"/>
        <v/>
      </c>
      <c r="L297" s="208" t="str">
        <f t="shared" si="90"/>
        <v/>
      </c>
      <c r="M297" s="208" t="str">
        <f t="shared" si="102"/>
        <v/>
      </c>
      <c r="N297" s="608" t="str">
        <f>IF($D$3="", "", IFERROR(VLOOKUP(L297,'PIPE INCENTIVE'!$B$4:$E$19,2,FALSE),""))</f>
        <v/>
      </c>
      <c r="O297" s="608" t="str">
        <f t="shared" si="103"/>
        <v/>
      </c>
      <c r="P297" s="208" t="str">
        <f t="shared" si="104"/>
        <v/>
      </c>
      <c r="Q297" s="208" t="str">
        <f t="shared" si="91"/>
        <v/>
      </c>
      <c r="R297" s="609" t="str">
        <f t="shared" si="92"/>
        <v/>
      </c>
      <c r="S297" s="609" t="str">
        <f t="shared" si="93"/>
        <v/>
      </c>
      <c r="T297" s="609" t="str">
        <f t="shared" si="94"/>
        <v/>
      </c>
      <c r="U297" s="609" t="str" cm="1">
        <f t="array" ref="U297">IFERROR(IF($D$3="","",_xlfn.LET(_xlpm.Mixed,AND(COUNTIF($G$34:$G$533,"Heating_Hot_Water")&gt;0,(COUNTIF($G$34:$G$533,"Steam_Low_Pressure") + COUNTIF($G$34:$G$533,"Steam_Medium_Pressure") + COUNTIF($G$34:$G$533,"Steam_High_Pressure"))&gt;0),_xlpm.fluid, G297,_xlpm.fuel, K297,_xlpm.load,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7" s="609" t="str">
        <f t="shared" si="105"/>
        <v/>
      </c>
      <c r="W297" s="482"/>
      <c r="X297" s="397" t="str" cm="1">
        <f t="array" ref="X297">IFERROR(IF($D$3="","", _xlfn.XLOOKUP(1,($AR$36:$AR$53=F297)*($AS$36:$AS$53=G297), INDEX($AT$36:$BJ$53,,_xlfn.XMATCH(E297,$AT$35:$BJ$35)))),"")</f>
        <v/>
      </c>
      <c r="Y297" s="480"/>
      <c r="Z297" s="482"/>
      <c r="AA297" s="607" t="str" cm="1">
        <f t="array" ref="AA297">IFERROR(IF($D$3="", "", _xlfn.LET(_xlpm.dia, E297, _xlpm.thk, Z297, _xlpm.temp, I297,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7" s="397" t="str" cm="1">
        <f t="array" ref="AB297">IFERROR(IF($D$3="", "", _xlfn.XLOOKUP(1,($AR$57:$AR$76=Y297)*($AS$57:$AS$76=Z297), INDEX($AT$57:$BJ$76,,_xlfn.XMATCH(E297,$AT$56:$BJ$56)))),"")</f>
        <v/>
      </c>
      <c r="AC297" s="208" t="str">
        <f t="shared" si="95"/>
        <v/>
      </c>
      <c r="AD297" s="397" t="str">
        <f t="shared" si="96"/>
        <v/>
      </c>
      <c r="AE297" s="610" t="str">
        <f t="shared" si="97"/>
        <v/>
      </c>
      <c r="AF297" s="610" t="str">
        <f t="shared" si="98"/>
        <v/>
      </c>
      <c r="AG297" s="610" t="str">
        <f t="shared" si="99"/>
        <v/>
      </c>
      <c r="AH297" s="608" t="str">
        <f t="shared" si="100"/>
        <v/>
      </c>
      <c r="AI297" s="610" t="str">
        <f t="shared" si="101"/>
        <v/>
      </c>
    </row>
    <row r="298" spans="2:35" x14ac:dyDescent="0.25">
      <c r="B298" s="209">
        <v>265</v>
      </c>
      <c r="C298" s="480"/>
      <c r="D298" s="480"/>
      <c r="E298" s="481"/>
      <c r="F298" s="480"/>
      <c r="G298" s="480"/>
      <c r="H298" s="607" t="str">
        <f t="shared" si="86"/>
        <v/>
      </c>
      <c r="I298" s="607" t="str">
        <f t="shared" si="87"/>
        <v/>
      </c>
      <c r="J298" s="607" t="str">
        <f t="shared" si="88"/>
        <v/>
      </c>
      <c r="K298" s="208" t="str">
        <f t="shared" si="89"/>
        <v/>
      </c>
      <c r="L298" s="208" t="str">
        <f t="shared" si="90"/>
        <v/>
      </c>
      <c r="M298" s="208" t="str">
        <f t="shared" si="102"/>
        <v/>
      </c>
      <c r="N298" s="608" t="str">
        <f>IF($D$3="", "", IFERROR(VLOOKUP(L298,'PIPE INCENTIVE'!$B$4:$E$19,2,FALSE),""))</f>
        <v/>
      </c>
      <c r="O298" s="608" t="str">
        <f t="shared" si="103"/>
        <v/>
      </c>
      <c r="P298" s="208" t="str">
        <f t="shared" si="104"/>
        <v/>
      </c>
      <c r="Q298" s="208" t="str">
        <f t="shared" si="91"/>
        <v/>
      </c>
      <c r="R298" s="609" t="str">
        <f t="shared" si="92"/>
        <v/>
      </c>
      <c r="S298" s="609" t="str">
        <f t="shared" si="93"/>
        <v/>
      </c>
      <c r="T298" s="609" t="str">
        <f t="shared" si="94"/>
        <v/>
      </c>
      <c r="U298" s="609" t="str" cm="1">
        <f t="array" ref="U298">IFERROR(IF($D$3="","",_xlfn.LET(_xlpm.Mixed,AND(COUNTIF($G$34:$G$533,"Heating_Hot_Water")&gt;0,(COUNTIF($G$34:$G$533,"Steam_Low_Pressure") + COUNTIF($G$34:$G$533,"Steam_Medium_Pressure") + COUNTIF($G$34:$G$533,"Steam_High_Pressure"))&gt;0),_xlpm.fluid, G298,_xlpm.fuel, K298,_xlpm.load,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8" s="609" t="str">
        <f t="shared" si="105"/>
        <v/>
      </c>
      <c r="W298" s="482"/>
      <c r="X298" s="397" t="str" cm="1">
        <f t="array" ref="X298">IFERROR(IF($D$3="","", _xlfn.XLOOKUP(1,($AR$36:$AR$53=F298)*($AS$36:$AS$53=G298), INDEX($AT$36:$BJ$53,,_xlfn.XMATCH(E298,$AT$35:$BJ$35)))),"")</f>
        <v/>
      </c>
      <c r="Y298" s="480"/>
      <c r="Z298" s="482"/>
      <c r="AA298" s="607" t="str" cm="1">
        <f t="array" ref="AA298">IFERROR(IF($D$3="", "", _xlfn.LET(_xlpm.dia, E298, _xlpm.thk, Z298, _xlpm.temp, I298,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8" s="397" t="str" cm="1">
        <f t="array" ref="AB298">IFERROR(IF($D$3="", "", _xlfn.XLOOKUP(1,($AR$57:$AR$76=Y298)*($AS$57:$AS$76=Z298), INDEX($AT$57:$BJ$76,,_xlfn.XMATCH(E298,$AT$56:$BJ$56)))),"")</f>
        <v/>
      </c>
      <c r="AC298" s="208" t="str">
        <f t="shared" si="95"/>
        <v/>
      </c>
      <c r="AD298" s="397" t="str">
        <f t="shared" si="96"/>
        <v/>
      </c>
      <c r="AE298" s="610" t="str">
        <f t="shared" si="97"/>
        <v/>
      </c>
      <c r="AF298" s="610" t="str">
        <f t="shared" si="98"/>
        <v/>
      </c>
      <c r="AG298" s="610" t="str">
        <f t="shared" si="99"/>
        <v/>
      </c>
      <c r="AH298" s="608" t="str">
        <f t="shared" si="100"/>
        <v/>
      </c>
      <c r="AI298" s="610" t="str">
        <f t="shared" si="101"/>
        <v/>
      </c>
    </row>
    <row r="299" spans="2:35" x14ac:dyDescent="0.25">
      <c r="B299" s="209">
        <v>266</v>
      </c>
      <c r="C299" s="480"/>
      <c r="D299" s="480"/>
      <c r="E299" s="481"/>
      <c r="F299" s="480"/>
      <c r="G299" s="480"/>
      <c r="H299" s="607" t="str">
        <f t="shared" si="86"/>
        <v/>
      </c>
      <c r="I299" s="607" t="str">
        <f t="shared" si="87"/>
        <v/>
      </c>
      <c r="J299" s="607" t="str">
        <f t="shared" si="88"/>
        <v/>
      </c>
      <c r="K299" s="208" t="str">
        <f t="shared" si="89"/>
        <v/>
      </c>
      <c r="L299" s="208" t="str">
        <f t="shared" si="90"/>
        <v/>
      </c>
      <c r="M299" s="208" t="str">
        <f t="shared" si="102"/>
        <v/>
      </c>
      <c r="N299" s="608" t="str">
        <f>IF($D$3="", "", IFERROR(VLOOKUP(L299,'PIPE INCENTIVE'!$B$4:$E$19,2,FALSE),""))</f>
        <v/>
      </c>
      <c r="O299" s="608" t="str">
        <f t="shared" si="103"/>
        <v/>
      </c>
      <c r="P299" s="208" t="str">
        <f t="shared" si="104"/>
        <v/>
      </c>
      <c r="Q299" s="208" t="str">
        <f t="shared" si="91"/>
        <v/>
      </c>
      <c r="R299" s="609" t="str">
        <f t="shared" si="92"/>
        <v/>
      </c>
      <c r="S299" s="609" t="str">
        <f t="shared" si="93"/>
        <v/>
      </c>
      <c r="T299" s="609" t="str">
        <f t="shared" si="94"/>
        <v/>
      </c>
      <c r="U299" s="609" t="str" cm="1">
        <f t="array" ref="U299">IFERROR(IF($D$3="","",_xlfn.LET(_xlpm.Mixed,AND(COUNTIF($G$34:$G$533,"Heating_Hot_Water")&gt;0,(COUNTIF($G$34:$G$533,"Steam_Low_Pressure") + COUNTIF($G$34:$G$533,"Steam_Medium_Pressure") + COUNTIF($G$34:$G$533,"Steam_High_Pressure"))&gt;0),_xlpm.fluid, G299,_xlpm.fuel, K299,_xlpm.load,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299" s="609" t="str">
        <f t="shared" si="105"/>
        <v/>
      </c>
      <c r="W299" s="482"/>
      <c r="X299" s="397" t="str" cm="1">
        <f t="array" ref="X299">IFERROR(IF($D$3="","", _xlfn.XLOOKUP(1,($AR$36:$AR$53=F299)*($AS$36:$AS$53=G299), INDEX($AT$36:$BJ$53,,_xlfn.XMATCH(E299,$AT$35:$BJ$35)))),"")</f>
        <v/>
      </c>
      <c r="Y299" s="480"/>
      <c r="Z299" s="482"/>
      <c r="AA299" s="607" t="str" cm="1">
        <f t="array" ref="AA299">IFERROR(IF($D$3="", "", _xlfn.LET(_xlpm.dia, E299, _xlpm.thk, Z299, _xlpm.temp, I299,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299" s="397" t="str" cm="1">
        <f t="array" ref="AB299">IFERROR(IF($D$3="", "", _xlfn.XLOOKUP(1,($AR$57:$AR$76=Y299)*($AS$57:$AS$76=Z299), INDEX($AT$57:$BJ$76,,_xlfn.XMATCH(E299,$AT$56:$BJ$56)))),"")</f>
        <v/>
      </c>
      <c r="AC299" s="208" t="str">
        <f t="shared" si="95"/>
        <v/>
      </c>
      <c r="AD299" s="397" t="str">
        <f t="shared" si="96"/>
        <v/>
      </c>
      <c r="AE299" s="610" t="str">
        <f t="shared" si="97"/>
        <v/>
      </c>
      <c r="AF299" s="610" t="str">
        <f t="shared" si="98"/>
        <v/>
      </c>
      <c r="AG299" s="610" t="str">
        <f t="shared" si="99"/>
        <v/>
      </c>
      <c r="AH299" s="608" t="str">
        <f t="shared" si="100"/>
        <v/>
      </c>
      <c r="AI299" s="610" t="str">
        <f t="shared" si="101"/>
        <v/>
      </c>
    </row>
    <row r="300" spans="2:35" x14ac:dyDescent="0.25">
      <c r="B300" s="209">
        <v>267</v>
      </c>
      <c r="C300" s="480"/>
      <c r="D300" s="480"/>
      <c r="E300" s="481"/>
      <c r="F300" s="480"/>
      <c r="G300" s="480"/>
      <c r="H300" s="607" t="str">
        <f t="shared" si="86"/>
        <v/>
      </c>
      <c r="I300" s="607" t="str">
        <f t="shared" si="87"/>
        <v/>
      </c>
      <c r="J300" s="607" t="str">
        <f t="shared" si="88"/>
        <v/>
      </c>
      <c r="K300" s="208" t="str">
        <f t="shared" si="89"/>
        <v/>
      </c>
      <c r="L300" s="208" t="str">
        <f t="shared" si="90"/>
        <v/>
      </c>
      <c r="M300" s="208" t="str">
        <f t="shared" si="102"/>
        <v/>
      </c>
      <c r="N300" s="608" t="str">
        <f>IF($D$3="", "", IFERROR(VLOOKUP(L300,'PIPE INCENTIVE'!$B$4:$E$19,2,FALSE),""))</f>
        <v/>
      </c>
      <c r="O300" s="608" t="str">
        <f t="shared" si="103"/>
        <v/>
      </c>
      <c r="P300" s="208" t="str">
        <f t="shared" si="104"/>
        <v/>
      </c>
      <c r="Q300" s="208" t="str">
        <f t="shared" si="91"/>
        <v/>
      </c>
      <c r="R300" s="609" t="str">
        <f t="shared" si="92"/>
        <v/>
      </c>
      <c r="S300" s="609" t="str">
        <f t="shared" si="93"/>
        <v/>
      </c>
      <c r="T300" s="609" t="str">
        <f t="shared" si="94"/>
        <v/>
      </c>
      <c r="U300" s="609" t="str" cm="1">
        <f t="array" ref="U300">IFERROR(IF($D$3="","",_xlfn.LET(_xlpm.Mixed,AND(COUNTIF($G$34:$G$533,"Heating_Hot_Water")&gt;0,(COUNTIF($G$34:$G$533,"Steam_Low_Pressure") + COUNTIF($G$34:$G$533,"Steam_Medium_Pressure") + COUNTIF($G$34:$G$533,"Steam_High_Pressure"))&gt;0),_xlpm.fluid, G300,_xlpm.fuel, K300,_xlpm.load,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0" s="609" t="str">
        <f t="shared" si="105"/>
        <v/>
      </c>
      <c r="W300" s="482"/>
      <c r="X300" s="397" t="str" cm="1">
        <f t="array" ref="X300">IFERROR(IF($D$3="","", _xlfn.XLOOKUP(1,($AR$36:$AR$53=F300)*($AS$36:$AS$53=G300), INDEX($AT$36:$BJ$53,,_xlfn.XMATCH(E300,$AT$35:$BJ$35)))),"")</f>
        <v/>
      </c>
      <c r="Y300" s="480"/>
      <c r="Z300" s="482"/>
      <c r="AA300" s="607" t="str" cm="1">
        <f t="array" ref="AA300">IFERROR(IF($D$3="", "", _xlfn.LET(_xlpm.dia, E300, _xlpm.thk, Z300, _xlpm.temp, I300,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0" s="397" t="str" cm="1">
        <f t="array" ref="AB300">IFERROR(IF($D$3="", "", _xlfn.XLOOKUP(1,($AR$57:$AR$76=Y300)*($AS$57:$AS$76=Z300), INDEX($AT$57:$BJ$76,,_xlfn.XMATCH(E300,$AT$56:$BJ$56)))),"")</f>
        <v/>
      </c>
      <c r="AC300" s="208" t="str">
        <f t="shared" si="95"/>
        <v/>
      </c>
      <c r="AD300" s="397" t="str">
        <f t="shared" si="96"/>
        <v/>
      </c>
      <c r="AE300" s="610" t="str">
        <f t="shared" si="97"/>
        <v/>
      </c>
      <c r="AF300" s="610" t="str">
        <f t="shared" si="98"/>
        <v/>
      </c>
      <c r="AG300" s="610" t="str">
        <f t="shared" si="99"/>
        <v/>
      </c>
      <c r="AH300" s="608" t="str">
        <f t="shared" si="100"/>
        <v/>
      </c>
      <c r="AI300" s="610" t="str">
        <f t="shared" si="101"/>
        <v/>
      </c>
    </row>
    <row r="301" spans="2:35" x14ac:dyDescent="0.25">
      <c r="B301" s="209">
        <v>268</v>
      </c>
      <c r="C301" s="480"/>
      <c r="D301" s="480"/>
      <c r="E301" s="481"/>
      <c r="F301" s="480"/>
      <c r="G301" s="480"/>
      <c r="H301" s="607" t="str">
        <f t="shared" si="86"/>
        <v/>
      </c>
      <c r="I301" s="607" t="str">
        <f t="shared" si="87"/>
        <v/>
      </c>
      <c r="J301" s="607" t="str">
        <f t="shared" si="88"/>
        <v/>
      </c>
      <c r="K301" s="208" t="str">
        <f t="shared" si="89"/>
        <v/>
      </c>
      <c r="L301" s="208" t="str">
        <f t="shared" si="90"/>
        <v/>
      </c>
      <c r="M301" s="208" t="str">
        <f t="shared" si="102"/>
        <v/>
      </c>
      <c r="N301" s="608" t="str">
        <f>IF($D$3="", "", IFERROR(VLOOKUP(L301,'PIPE INCENTIVE'!$B$4:$E$19,2,FALSE),""))</f>
        <v/>
      </c>
      <c r="O301" s="608" t="str">
        <f t="shared" si="103"/>
        <v/>
      </c>
      <c r="P301" s="208" t="str">
        <f t="shared" si="104"/>
        <v/>
      </c>
      <c r="Q301" s="208" t="str">
        <f t="shared" si="91"/>
        <v/>
      </c>
      <c r="R301" s="609" t="str">
        <f t="shared" si="92"/>
        <v/>
      </c>
      <c r="S301" s="609" t="str">
        <f t="shared" si="93"/>
        <v/>
      </c>
      <c r="T301" s="609" t="str">
        <f t="shared" si="94"/>
        <v/>
      </c>
      <c r="U301" s="609" t="str" cm="1">
        <f t="array" ref="U301">IFERROR(IF($D$3="","",_xlfn.LET(_xlpm.Mixed,AND(COUNTIF($G$34:$G$533,"Heating_Hot_Water")&gt;0,(COUNTIF($G$34:$G$533,"Steam_Low_Pressure") + COUNTIF($G$34:$G$533,"Steam_Medium_Pressure") + COUNTIF($G$34:$G$533,"Steam_High_Pressure"))&gt;0),_xlpm.fluid, G301,_xlpm.fuel, K301,_xlpm.load,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1" s="609" t="str">
        <f t="shared" si="105"/>
        <v/>
      </c>
      <c r="W301" s="482"/>
      <c r="X301" s="397" t="str" cm="1">
        <f t="array" ref="X301">IFERROR(IF($D$3="","", _xlfn.XLOOKUP(1,($AR$36:$AR$53=F301)*($AS$36:$AS$53=G301), INDEX($AT$36:$BJ$53,,_xlfn.XMATCH(E301,$AT$35:$BJ$35)))),"")</f>
        <v/>
      </c>
      <c r="Y301" s="480"/>
      <c r="Z301" s="482"/>
      <c r="AA301" s="607" t="str" cm="1">
        <f t="array" ref="AA301">IFERROR(IF($D$3="", "", _xlfn.LET(_xlpm.dia, E301, _xlpm.thk, Z301, _xlpm.temp, I301,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1" s="397" t="str" cm="1">
        <f t="array" ref="AB301">IFERROR(IF($D$3="", "", _xlfn.XLOOKUP(1,($AR$57:$AR$76=Y301)*($AS$57:$AS$76=Z301), INDEX($AT$57:$BJ$76,,_xlfn.XMATCH(E301,$AT$56:$BJ$56)))),"")</f>
        <v/>
      </c>
      <c r="AC301" s="208" t="str">
        <f t="shared" si="95"/>
        <v/>
      </c>
      <c r="AD301" s="397" t="str">
        <f t="shared" si="96"/>
        <v/>
      </c>
      <c r="AE301" s="610" t="str">
        <f t="shared" si="97"/>
        <v/>
      </c>
      <c r="AF301" s="610" t="str">
        <f t="shared" si="98"/>
        <v/>
      </c>
      <c r="AG301" s="610" t="str">
        <f t="shared" si="99"/>
        <v/>
      </c>
      <c r="AH301" s="608" t="str">
        <f t="shared" si="100"/>
        <v/>
      </c>
      <c r="AI301" s="610" t="str">
        <f t="shared" si="101"/>
        <v/>
      </c>
    </row>
    <row r="302" spans="2:35" x14ac:dyDescent="0.25">
      <c r="B302" s="209">
        <v>269</v>
      </c>
      <c r="C302" s="480"/>
      <c r="D302" s="480"/>
      <c r="E302" s="481"/>
      <c r="F302" s="480"/>
      <c r="G302" s="480"/>
      <c r="H302" s="607" t="str">
        <f t="shared" si="86"/>
        <v/>
      </c>
      <c r="I302" s="607" t="str">
        <f t="shared" si="87"/>
        <v/>
      </c>
      <c r="J302" s="607" t="str">
        <f t="shared" si="88"/>
        <v/>
      </c>
      <c r="K302" s="208" t="str">
        <f t="shared" si="89"/>
        <v/>
      </c>
      <c r="L302" s="208" t="str">
        <f t="shared" si="90"/>
        <v/>
      </c>
      <c r="M302" s="208" t="str">
        <f t="shared" si="102"/>
        <v/>
      </c>
      <c r="N302" s="608" t="str">
        <f>IF($D$3="", "", IFERROR(VLOOKUP(L302,'PIPE INCENTIVE'!$B$4:$E$19,2,FALSE),""))</f>
        <v/>
      </c>
      <c r="O302" s="608" t="str">
        <f t="shared" si="103"/>
        <v/>
      </c>
      <c r="P302" s="208" t="str">
        <f t="shared" si="104"/>
        <v/>
      </c>
      <c r="Q302" s="208" t="str">
        <f t="shared" si="91"/>
        <v/>
      </c>
      <c r="R302" s="609" t="str">
        <f t="shared" si="92"/>
        <v/>
      </c>
      <c r="S302" s="609" t="str">
        <f t="shared" si="93"/>
        <v/>
      </c>
      <c r="T302" s="609" t="str">
        <f t="shared" si="94"/>
        <v/>
      </c>
      <c r="U302" s="609" t="str" cm="1">
        <f t="array" ref="U302">IFERROR(IF($D$3="","",_xlfn.LET(_xlpm.Mixed,AND(COUNTIF($G$34:$G$533,"Heating_Hot_Water")&gt;0,(COUNTIF($G$34:$G$533,"Steam_Low_Pressure") + COUNTIF($G$34:$G$533,"Steam_Medium_Pressure") + COUNTIF($G$34:$G$533,"Steam_High_Pressure"))&gt;0),_xlpm.fluid, G302,_xlpm.fuel, K302,_xlpm.load,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2" s="609" t="str">
        <f t="shared" si="105"/>
        <v/>
      </c>
      <c r="W302" s="482"/>
      <c r="X302" s="397" t="str" cm="1">
        <f t="array" ref="X302">IFERROR(IF($D$3="","", _xlfn.XLOOKUP(1,($AR$36:$AR$53=F302)*($AS$36:$AS$53=G302), INDEX($AT$36:$BJ$53,,_xlfn.XMATCH(E302,$AT$35:$BJ$35)))),"")</f>
        <v/>
      </c>
      <c r="Y302" s="480"/>
      <c r="Z302" s="482"/>
      <c r="AA302" s="607" t="str" cm="1">
        <f t="array" ref="AA302">IFERROR(IF($D$3="", "", _xlfn.LET(_xlpm.dia, E302, _xlpm.thk, Z302, _xlpm.temp, I302,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2" s="397" t="str" cm="1">
        <f t="array" ref="AB302">IFERROR(IF($D$3="", "", _xlfn.XLOOKUP(1,($AR$57:$AR$76=Y302)*($AS$57:$AS$76=Z302), INDEX($AT$57:$BJ$76,,_xlfn.XMATCH(E302,$AT$56:$BJ$56)))),"")</f>
        <v/>
      </c>
      <c r="AC302" s="208" t="str">
        <f t="shared" si="95"/>
        <v/>
      </c>
      <c r="AD302" s="397" t="str">
        <f t="shared" si="96"/>
        <v/>
      </c>
      <c r="AE302" s="610" t="str">
        <f t="shared" si="97"/>
        <v/>
      </c>
      <c r="AF302" s="610" t="str">
        <f t="shared" si="98"/>
        <v/>
      </c>
      <c r="AG302" s="610" t="str">
        <f t="shared" si="99"/>
        <v/>
      </c>
      <c r="AH302" s="608" t="str">
        <f t="shared" si="100"/>
        <v/>
      </c>
      <c r="AI302" s="610" t="str">
        <f t="shared" si="101"/>
        <v/>
      </c>
    </row>
    <row r="303" spans="2:35" x14ac:dyDescent="0.25">
      <c r="B303" s="209">
        <v>270</v>
      </c>
      <c r="C303" s="480"/>
      <c r="D303" s="480"/>
      <c r="E303" s="481"/>
      <c r="F303" s="480"/>
      <c r="G303" s="480"/>
      <c r="H303" s="607" t="str">
        <f t="shared" si="86"/>
        <v/>
      </c>
      <c r="I303" s="607" t="str">
        <f t="shared" si="87"/>
        <v/>
      </c>
      <c r="J303" s="607" t="str">
        <f t="shared" si="88"/>
        <v/>
      </c>
      <c r="K303" s="208" t="str">
        <f t="shared" si="89"/>
        <v/>
      </c>
      <c r="L303" s="208" t="str">
        <f t="shared" si="90"/>
        <v/>
      </c>
      <c r="M303" s="208" t="str">
        <f t="shared" si="102"/>
        <v/>
      </c>
      <c r="N303" s="608" t="str">
        <f>IF($D$3="", "", IFERROR(VLOOKUP(L303,'PIPE INCENTIVE'!$B$4:$E$19,2,FALSE),""))</f>
        <v/>
      </c>
      <c r="O303" s="608" t="str">
        <f t="shared" si="103"/>
        <v/>
      </c>
      <c r="P303" s="208" t="str">
        <f t="shared" si="104"/>
        <v/>
      </c>
      <c r="Q303" s="208" t="str">
        <f t="shared" si="91"/>
        <v/>
      </c>
      <c r="R303" s="609" t="str">
        <f t="shared" si="92"/>
        <v/>
      </c>
      <c r="S303" s="609" t="str">
        <f t="shared" si="93"/>
        <v/>
      </c>
      <c r="T303" s="609" t="str">
        <f t="shared" si="94"/>
        <v/>
      </c>
      <c r="U303" s="609" t="str" cm="1">
        <f t="array" ref="U303">IFERROR(IF($D$3="","",_xlfn.LET(_xlpm.Mixed,AND(COUNTIF($G$34:$G$533,"Heating_Hot_Water")&gt;0,(COUNTIF($G$34:$G$533,"Steam_Low_Pressure") + COUNTIF($G$34:$G$533,"Steam_Medium_Pressure") + COUNTIF($G$34:$G$533,"Steam_High_Pressure"))&gt;0),_xlpm.fluid, G303,_xlpm.fuel, K303,_xlpm.load,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3" s="609" t="str">
        <f t="shared" si="105"/>
        <v/>
      </c>
      <c r="W303" s="482"/>
      <c r="X303" s="397" t="str" cm="1">
        <f t="array" ref="X303">IFERROR(IF($D$3="","", _xlfn.XLOOKUP(1,($AR$36:$AR$53=F303)*($AS$36:$AS$53=G303), INDEX($AT$36:$BJ$53,,_xlfn.XMATCH(E303,$AT$35:$BJ$35)))),"")</f>
        <v/>
      </c>
      <c r="Y303" s="480"/>
      <c r="Z303" s="482"/>
      <c r="AA303" s="607" t="str" cm="1">
        <f t="array" ref="AA303">IFERROR(IF($D$3="", "", _xlfn.LET(_xlpm.dia, E303, _xlpm.thk, Z303, _xlpm.temp, I303,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3" s="397" t="str" cm="1">
        <f t="array" ref="AB303">IFERROR(IF($D$3="", "", _xlfn.XLOOKUP(1,($AR$57:$AR$76=Y303)*($AS$57:$AS$76=Z303), INDEX($AT$57:$BJ$76,,_xlfn.XMATCH(E303,$AT$56:$BJ$56)))),"")</f>
        <v/>
      </c>
      <c r="AC303" s="208" t="str">
        <f t="shared" si="95"/>
        <v/>
      </c>
      <c r="AD303" s="397" t="str">
        <f t="shared" si="96"/>
        <v/>
      </c>
      <c r="AE303" s="610" t="str">
        <f t="shared" si="97"/>
        <v/>
      </c>
      <c r="AF303" s="610" t="str">
        <f t="shared" si="98"/>
        <v/>
      </c>
      <c r="AG303" s="610" t="str">
        <f t="shared" si="99"/>
        <v/>
      </c>
      <c r="AH303" s="608" t="str">
        <f t="shared" si="100"/>
        <v/>
      </c>
      <c r="AI303" s="610" t="str">
        <f t="shared" si="101"/>
        <v/>
      </c>
    </row>
    <row r="304" spans="2:35" x14ac:dyDescent="0.25">
      <c r="B304" s="209">
        <v>271</v>
      </c>
      <c r="C304" s="480"/>
      <c r="D304" s="480"/>
      <c r="E304" s="481"/>
      <c r="F304" s="480"/>
      <c r="G304" s="480"/>
      <c r="H304" s="607" t="str">
        <f t="shared" si="86"/>
        <v/>
      </c>
      <c r="I304" s="607" t="str">
        <f t="shared" si="87"/>
        <v/>
      </c>
      <c r="J304" s="607" t="str">
        <f t="shared" si="88"/>
        <v/>
      </c>
      <c r="K304" s="208" t="str">
        <f t="shared" si="89"/>
        <v/>
      </c>
      <c r="L304" s="208" t="str">
        <f t="shared" si="90"/>
        <v/>
      </c>
      <c r="M304" s="208" t="str">
        <f t="shared" si="102"/>
        <v/>
      </c>
      <c r="N304" s="608" t="str">
        <f>IF($D$3="", "", IFERROR(VLOOKUP(L304,'PIPE INCENTIVE'!$B$4:$E$19,2,FALSE),""))</f>
        <v/>
      </c>
      <c r="O304" s="608" t="str">
        <f t="shared" si="103"/>
        <v/>
      </c>
      <c r="P304" s="208" t="str">
        <f t="shared" si="104"/>
        <v/>
      </c>
      <c r="Q304" s="208" t="str">
        <f t="shared" si="91"/>
        <v/>
      </c>
      <c r="R304" s="609" t="str">
        <f t="shared" si="92"/>
        <v/>
      </c>
      <c r="S304" s="609" t="str">
        <f t="shared" si="93"/>
        <v/>
      </c>
      <c r="T304" s="609" t="str">
        <f t="shared" si="94"/>
        <v/>
      </c>
      <c r="U304" s="609" t="str" cm="1">
        <f t="array" ref="U304">IFERROR(IF($D$3="","",_xlfn.LET(_xlpm.Mixed,AND(COUNTIF($G$34:$G$533,"Heating_Hot_Water")&gt;0,(COUNTIF($G$34:$G$533,"Steam_Low_Pressure") + COUNTIF($G$34:$G$533,"Steam_Medium_Pressure") + COUNTIF($G$34:$G$533,"Steam_High_Pressure"))&gt;0),_xlpm.fluid, G304,_xlpm.fuel, K304,_xlpm.load,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4" s="609" t="str">
        <f t="shared" si="105"/>
        <v/>
      </c>
      <c r="W304" s="482"/>
      <c r="X304" s="397" t="str" cm="1">
        <f t="array" ref="X304">IFERROR(IF($D$3="","", _xlfn.XLOOKUP(1,($AR$36:$AR$53=F304)*($AS$36:$AS$53=G304), INDEX($AT$36:$BJ$53,,_xlfn.XMATCH(E304,$AT$35:$BJ$35)))),"")</f>
        <v/>
      </c>
      <c r="Y304" s="480"/>
      <c r="Z304" s="482"/>
      <c r="AA304" s="607" t="str" cm="1">
        <f t="array" ref="AA304">IFERROR(IF($D$3="", "", _xlfn.LET(_xlpm.dia, E304, _xlpm.thk, Z304, _xlpm.temp, I304,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4" s="397" t="str" cm="1">
        <f t="array" ref="AB304">IFERROR(IF($D$3="", "", _xlfn.XLOOKUP(1,($AR$57:$AR$76=Y304)*($AS$57:$AS$76=Z304), INDEX($AT$57:$BJ$76,,_xlfn.XMATCH(E304,$AT$56:$BJ$56)))),"")</f>
        <v/>
      </c>
      <c r="AC304" s="208" t="str">
        <f t="shared" si="95"/>
        <v/>
      </c>
      <c r="AD304" s="397" t="str">
        <f t="shared" si="96"/>
        <v/>
      </c>
      <c r="AE304" s="610" t="str">
        <f t="shared" si="97"/>
        <v/>
      </c>
      <c r="AF304" s="610" t="str">
        <f t="shared" si="98"/>
        <v/>
      </c>
      <c r="AG304" s="610" t="str">
        <f t="shared" si="99"/>
        <v/>
      </c>
      <c r="AH304" s="608" t="str">
        <f t="shared" si="100"/>
        <v/>
      </c>
      <c r="AI304" s="610" t="str">
        <f t="shared" si="101"/>
        <v/>
      </c>
    </row>
    <row r="305" spans="2:35" x14ac:dyDescent="0.25">
      <c r="B305" s="209">
        <v>272</v>
      </c>
      <c r="C305" s="480"/>
      <c r="D305" s="480"/>
      <c r="E305" s="481"/>
      <c r="F305" s="480"/>
      <c r="G305" s="480"/>
      <c r="H305" s="607" t="str">
        <f t="shared" si="86"/>
        <v/>
      </c>
      <c r="I305" s="607" t="str">
        <f t="shared" si="87"/>
        <v/>
      </c>
      <c r="J305" s="607" t="str">
        <f t="shared" si="88"/>
        <v/>
      </c>
      <c r="K305" s="208" t="str">
        <f t="shared" si="89"/>
        <v/>
      </c>
      <c r="L305" s="208" t="str">
        <f t="shared" si="90"/>
        <v/>
      </c>
      <c r="M305" s="208" t="str">
        <f t="shared" si="102"/>
        <v/>
      </c>
      <c r="N305" s="608" t="str">
        <f>IF($D$3="", "", IFERROR(VLOOKUP(L305,'PIPE INCENTIVE'!$B$4:$E$19,2,FALSE),""))</f>
        <v/>
      </c>
      <c r="O305" s="608" t="str">
        <f t="shared" si="103"/>
        <v/>
      </c>
      <c r="P305" s="208" t="str">
        <f t="shared" si="104"/>
        <v/>
      </c>
      <c r="Q305" s="208" t="str">
        <f t="shared" si="91"/>
        <v/>
      </c>
      <c r="R305" s="609" t="str">
        <f t="shared" si="92"/>
        <v/>
      </c>
      <c r="S305" s="609" t="str">
        <f t="shared" si="93"/>
        <v/>
      </c>
      <c r="T305" s="609" t="str">
        <f t="shared" si="94"/>
        <v/>
      </c>
      <c r="U305" s="609" t="str" cm="1">
        <f t="array" ref="U305">IFERROR(IF($D$3="","",_xlfn.LET(_xlpm.Mixed,AND(COUNTIF($G$34:$G$533,"Heating_Hot_Water")&gt;0,(COUNTIF($G$34:$G$533,"Steam_Low_Pressure") + COUNTIF($G$34:$G$533,"Steam_Medium_Pressure") + COUNTIF($G$34:$G$533,"Steam_High_Pressure"))&gt;0),_xlpm.fluid, G305,_xlpm.fuel, K305,_xlpm.load,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5" s="609" t="str">
        <f t="shared" si="105"/>
        <v/>
      </c>
      <c r="W305" s="482"/>
      <c r="X305" s="397" t="str" cm="1">
        <f t="array" ref="X305">IFERROR(IF($D$3="","", _xlfn.XLOOKUP(1,($AR$36:$AR$53=F305)*($AS$36:$AS$53=G305), INDEX($AT$36:$BJ$53,,_xlfn.XMATCH(E305,$AT$35:$BJ$35)))),"")</f>
        <v/>
      </c>
      <c r="Y305" s="480"/>
      <c r="Z305" s="482"/>
      <c r="AA305" s="607" t="str" cm="1">
        <f t="array" ref="AA305">IFERROR(IF($D$3="", "", _xlfn.LET(_xlpm.dia, E305, _xlpm.thk, Z305, _xlpm.temp, I305,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5" s="397" t="str" cm="1">
        <f t="array" ref="AB305">IFERROR(IF($D$3="", "", _xlfn.XLOOKUP(1,($AR$57:$AR$76=Y305)*($AS$57:$AS$76=Z305), INDEX($AT$57:$BJ$76,,_xlfn.XMATCH(E305,$AT$56:$BJ$56)))),"")</f>
        <v/>
      </c>
      <c r="AC305" s="208" t="str">
        <f t="shared" si="95"/>
        <v/>
      </c>
      <c r="AD305" s="397" t="str">
        <f t="shared" si="96"/>
        <v/>
      </c>
      <c r="AE305" s="610" t="str">
        <f t="shared" si="97"/>
        <v/>
      </c>
      <c r="AF305" s="610" t="str">
        <f t="shared" si="98"/>
        <v/>
      </c>
      <c r="AG305" s="610" t="str">
        <f t="shared" si="99"/>
        <v/>
      </c>
      <c r="AH305" s="608" t="str">
        <f t="shared" si="100"/>
        <v/>
      </c>
      <c r="AI305" s="610" t="str">
        <f t="shared" si="101"/>
        <v/>
      </c>
    </row>
    <row r="306" spans="2:35" x14ac:dyDescent="0.25">
      <c r="B306" s="209">
        <v>273</v>
      </c>
      <c r="C306" s="480"/>
      <c r="D306" s="480"/>
      <c r="E306" s="481"/>
      <c r="F306" s="480"/>
      <c r="G306" s="480"/>
      <c r="H306" s="607" t="str">
        <f t="shared" si="86"/>
        <v/>
      </c>
      <c r="I306" s="607" t="str">
        <f t="shared" si="87"/>
        <v/>
      </c>
      <c r="J306" s="607" t="str">
        <f t="shared" si="88"/>
        <v/>
      </c>
      <c r="K306" s="208" t="str">
        <f t="shared" si="89"/>
        <v/>
      </c>
      <c r="L306" s="208" t="str">
        <f t="shared" si="90"/>
        <v/>
      </c>
      <c r="M306" s="208" t="str">
        <f t="shared" si="102"/>
        <v/>
      </c>
      <c r="N306" s="608" t="str">
        <f>IF($D$3="", "", IFERROR(VLOOKUP(L306,'PIPE INCENTIVE'!$B$4:$E$19,2,FALSE),""))</f>
        <v/>
      </c>
      <c r="O306" s="608" t="str">
        <f t="shared" si="103"/>
        <v/>
      </c>
      <c r="P306" s="208" t="str">
        <f t="shared" si="104"/>
        <v/>
      </c>
      <c r="Q306" s="208" t="str">
        <f t="shared" si="91"/>
        <v/>
      </c>
      <c r="R306" s="609" t="str">
        <f t="shared" si="92"/>
        <v/>
      </c>
      <c r="S306" s="609" t="str">
        <f t="shared" si="93"/>
        <v/>
      </c>
      <c r="T306" s="609" t="str">
        <f t="shared" si="94"/>
        <v/>
      </c>
      <c r="U306" s="609" t="str" cm="1">
        <f t="array" ref="U306">IFERROR(IF($D$3="","",_xlfn.LET(_xlpm.Mixed,AND(COUNTIF($G$34:$G$533,"Heating_Hot_Water")&gt;0,(COUNTIF($G$34:$G$533,"Steam_Low_Pressure") + COUNTIF($G$34:$G$533,"Steam_Medium_Pressure") + COUNTIF($G$34:$G$533,"Steam_High_Pressure"))&gt;0),_xlpm.fluid, G306,_xlpm.fuel, K306,_xlpm.load,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6" s="609" t="str">
        <f t="shared" si="105"/>
        <v/>
      </c>
      <c r="W306" s="482"/>
      <c r="X306" s="397" t="str" cm="1">
        <f t="array" ref="X306">IFERROR(IF($D$3="","", _xlfn.XLOOKUP(1,($AR$36:$AR$53=F306)*($AS$36:$AS$53=G306), INDEX($AT$36:$BJ$53,,_xlfn.XMATCH(E306,$AT$35:$BJ$35)))),"")</f>
        <v/>
      </c>
      <c r="Y306" s="480"/>
      <c r="Z306" s="482"/>
      <c r="AA306" s="607" t="str" cm="1">
        <f t="array" ref="AA306">IFERROR(IF($D$3="", "", _xlfn.LET(_xlpm.dia, E306, _xlpm.thk, Z306, _xlpm.temp, I306,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6" s="397" t="str" cm="1">
        <f t="array" ref="AB306">IFERROR(IF($D$3="", "", _xlfn.XLOOKUP(1,($AR$57:$AR$76=Y306)*($AS$57:$AS$76=Z306), INDEX($AT$57:$BJ$76,,_xlfn.XMATCH(E306,$AT$56:$BJ$56)))),"")</f>
        <v/>
      </c>
      <c r="AC306" s="208" t="str">
        <f t="shared" si="95"/>
        <v/>
      </c>
      <c r="AD306" s="397" t="str">
        <f t="shared" si="96"/>
        <v/>
      </c>
      <c r="AE306" s="610" t="str">
        <f t="shared" si="97"/>
        <v/>
      </c>
      <c r="AF306" s="610" t="str">
        <f t="shared" si="98"/>
        <v/>
      </c>
      <c r="AG306" s="610" t="str">
        <f t="shared" si="99"/>
        <v/>
      </c>
      <c r="AH306" s="608" t="str">
        <f t="shared" si="100"/>
        <v/>
      </c>
      <c r="AI306" s="610" t="str">
        <f t="shared" si="101"/>
        <v/>
      </c>
    </row>
    <row r="307" spans="2:35" x14ac:dyDescent="0.25">
      <c r="B307" s="209">
        <v>274</v>
      </c>
      <c r="C307" s="480"/>
      <c r="D307" s="480"/>
      <c r="E307" s="481"/>
      <c r="F307" s="480"/>
      <c r="G307" s="480"/>
      <c r="H307" s="607" t="str">
        <f t="shared" si="86"/>
        <v/>
      </c>
      <c r="I307" s="607" t="str">
        <f t="shared" si="87"/>
        <v/>
      </c>
      <c r="J307" s="607" t="str">
        <f t="shared" si="88"/>
        <v/>
      </c>
      <c r="K307" s="208" t="str">
        <f t="shared" si="89"/>
        <v/>
      </c>
      <c r="L307" s="208" t="str">
        <f t="shared" si="90"/>
        <v/>
      </c>
      <c r="M307" s="208" t="str">
        <f t="shared" si="102"/>
        <v/>
      </c>
      <c r="N307" s="608" t="str">
        <f>IF($D$3="", "", IFERROR(VLOOKUP(L307,'PIPE INCENTIVE'!$B$4:$E$19,2,FALSE),""))</f>
        <v/>
      </c>
      <c r="O307" s="608" t="str">
        <f t="shared" si="103"/>
        <v/>
      </c>
      <c r="P307" s="208" t="str">
        <f t="shared" si="104"/>
        <v/>
      </c>
      <c r="Q307" s="208" t="str">
        <f t="shared" si="91"/>
        <v/>
      </c>
      <c r="R307" s="609" t="str">
        <f t="shared" si="92"/>
        <v/>
      </c>
      <c r="S307" s="609" t="str">
        <f t="shared" si="93"/>
        <v/>
      </c>
      <c r="T307" s="609" t="str">
        <f t="shared" si="94"/>
        <v/>
      </c>
      <c r="U307" s="609" t="str" cm="1">
        <f t="array" ref="U307">IFERROR(IF($D$3="","",_xlfn.LET(_xlpm.Mixed,AND(COUNTIF($G$34:$G$533,"Heating_Hot_Water")&gt;0,(COUNTIF($G$34:$G$533,"Steam_Low_Pressure") + COUNTIF($G$34:$G$533,"Steam_Medium_Pressure") + COUNTIF($G$34:$G$533,"Steam_High_Pressure"))&gt;0),_xlpm.fluid, G307,_xlpm.fuel, K307,_xlpm.load,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7" s="609" t="str">
        <f t="shared" si="105"/>
        <v/>
      </c>
      <c r="W307" s="482"/>
      <c r="X307" s="397" t="str" cm="1">
        <f t="array" ref="X307">IFERROR(IF($D$3="","", _xlfn.XLOOKUP(1,($AR$36:$AR$53=F307)*($AS$36:$AS$53=G307), INDEX($AT$36:$BJ$53,,_xlfn.XMATCH(E307,$AT$35:$BJ$35)))),"")</f>
        <v/>
      </c>
      <c r="Y307" s="480"/>
      <c r="Z307" s="482"/>
      <c r="AA307" s="607" t="str" cm="1">
        <f t="array" ref="AA307">IFERROR(IF($D$3="", "", _xlfn.LET(_xlpm.dia, E307, _xlpm.thk, Z307, _xlpm.temp, I307,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7" s="397" t="str" cm="1">
        <f t="array" ref="AB307">IFERROR(IF($D$3="", "", _xlfn.XLOOKUP(1,($AR$57:$AR$76=Y307)*($AS$57:$AS$76=Z307), INDEX($AT$57:$BJ$76,,_xlfn.XMATCH(E307,$AT$56:$BJ$56)))),"")</f>
        <v/>
      </c>
      <c r="AC307" s="208" t="str">
        <f t="shared" si="95"/>
        <v/>
      </c>
      <c r="AD307" s="397" t="str">
        <f t="shared" si="96"/>
        <v/>
      </c>
      <c r="AE307" s="610" t="str">
        <f t="shared" si="97"/>
        <v/>
      </c>
      <c r="AF307" s="610" t="str">
        <f t="shared" si="98"/>
        <v/>
      </c>
      <c r="AG307" s="610" t="str">
        <f t="shared" si="99"/>
        <v/>
      </c>
      <c r="AH307" s="608" t="str">
        <f t="shared" si="100"/>
        <v/>
      </c>
      <c r="AI307" s="610" t="str">
        <f t="shared" si="101"/>
        <v/>
      </c>
    </row>
    <row r="308" spans="2:35" x14ac:dyDescent="0.25">
      <c r="B308" s="209">
        <v>275</v>
      </c>
      <c r="C308" s="480"/>
      <c r="D308" s="480"/>
      <c r="E308" s="481"/>
      <c r="F308" s="480"/>
      <c r="G308" s="480"/>
      <c r="H308" s="607" t="str">
        <f t="shared" si="86"/>
        <v/>
      </c>
      <c r="I308" s="607" t="str">
        <f t="shared" si="87"/>
        <v/>
      </c>
      <c r="J308" s="607" t="str">
        <f t="shared" si="88"/>
        <v/>
      </c>
      <c r="K308" s="208" t="str">
        <f t="shared" si="89"/>
        <v/>
      </c>
      <c r="L308" s="208" t="str">
        <f t="shared" si="90"/>
        <v/>
      </c>
      <c r="M308" s="208" t="str">
        <f t="shared" si="102"/>
        <v/>
      </c>
      <c r="N308" s="608" t="str">
        <f>IF($D$3="", "", IFERROR(VLOOKUP(L308,'PIPE INCENTIVE'!$B$4:$E$19,2,FALSE),""))</f>
        <v/>
      </c>
      <c r="O308" s="608" t="str">
        <f t="shared" si="103"/>
        <v/>
      </c>
      <c r="P308" s="208" t="str">
        <f t="shared" si="104"/>
        <v/>
      </c>
      <c r="Q308" s="208" t="str">
        <f t="shared" si="91"/>
        <v/>
      </c>
      <c r="R308" s="609" t="str">
        <f t="shared" si="92"/>
        <v/>
      </c>
      <c r="S308" s="609" t="str">
        <f t="shared" si="93"/>
        <v/>
      </c>
      <c r="T308" s="609" t="str">
        <f t="shared" si="94"/>
        <v/>
      </c>
      <c r="U308" s="609" t="str" cm="1">
        <f t="array" ref="U308">IFERROR(IF($D$3="","",_xlfn.LET(_xlpm.Mixed,AND(COUNTIF($G$34:$G$533,"Heating_Hot_Water")&gt;0,(COUNTIF($G$34:$G$533,"Steam_Low_Pressure") + COUNTIF($G$34:$G$533,"Steam_Medium_Pressure") + COUNTIF($G$34:$G$533,"Steam_High_Pressure"))&gt;0),_xlpm.fluid, G308,_xlpm.fuel, K308,_xlpm.load,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8" s="609" t="str">
        <f t="shared" si="105"/>
        <v/>
      </c>
      <c r="W308" s="482"/>
      <c r="X308" s="397" t="str" cm="1">
        <f t="array" ref="X308">IFERROR(IF($D$3="","", _xlfn.XLOOKUP(1,($AR$36:$AR$53=F308)*($AS$36:$AS$53=G308), INDEX($AT$36:$BJ$53,,_xlfn.XMATCH(E308,$AT$35:$BJ$35)))),"")</f>
        <v/>
      </c>
      <c r="Y308" s="480"/>
      <c r="Z308" s="482"/>
      <c r="AA308" s="607" t="str" cm="1">
        <f t="array" ref="AA308">IFERROR(IF($D$3="", "", _xlfn.LET(_xlpm.dia, E308, _xlpm.thk, Z308, _xlpm.temp, I308,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8" s="397" t="str" cm="1">
        <f t="array" ref="AB308">IFERROR(IF($D$3="", "", _xlfn.XLOOKUP(1,($AR$57:$AR$76=Y308)*($AS$57:$AS$76=Z308), INDEX($AT$57:$BJ$76,,_xlfn.XMATCH(E308,$AT$56:$BJ$56)))),"")</f>
        <v/>
      </c>
      <c r="AC308" s="208" t="str">
        <f t="shared" si="95"/>
        <v/>
      </c>
      <c r="AD308" s="397" t="str">
        <f t="shared" si="96"/>
        <v/>
      </c>
      <c r="AE308" s="610" t="str">
        <f t="shared" si="97"/>
        <v/>
      </c>
      <c r="AF308" s="610" t="str">
        <f t="shared" si="98"/>
        <v/>
      </c>
      <c r="AG308" s="610" t="str">
        <f t="shared" si="99"/>
        <v/>
      </c>
      <c r="AH308" s="608" t="str">
        <f t="shared" si="100"/>
        <v/>
      </c>
      <c r="AI308" s="610" t="str">
        <f t="shared" si="101"/>
        <v/>
      </c>
    </row>
    <row r="309" spans="2:35" x14ac:dyDescent="0.25">
      <c r="B309" s="209">
        <v>276</v>
      </c>
      <c r="C309" s="480"/>
      <c r="D309" s="480"/>
      <c r="E309" s="481"/>
      <c r="F309" s="480"/>
      <c r="G309" s="480"/>
      <c r="H309" s="607" t="str">
        <f t="shared" si="86"/>
        <v/>
      </c>
      <c r="I309" s="607" t="str">
        <f t="shared" si="87"/>
        <v/>
      </c>
      <c r="J309" s="607" t="str">
        <f t="shared" si="88"/>
        <v/>
      </c>
      <c r="K309" s="208" t="str">
        <f t="shared" si="89"/>
        <v/>
      </c>
      <c r="L309" s="208" t="str">
        <f t="shared" si="90"/>
        <v/>
      </c>
      <c r="M309" s="208" t="str">
        <f t="shared" si="102"/>
        <v/>
      </c>
      <c r="N309" s="608" t="str">
        <f>IF($D$3="", "", IFERROR(VLOOKUP(L309,'PIPE INCENTIVE'!$B$4:$E$19,2,FALSE),""))</f>
        <v/>
      </c>
      <c r="O309" s="608" t="str">
        <f t="shared" si="103"/>
        <v/>
      </c>
      <c r="P309" s="208" t="str">
        <f t="shared" si="104"/>
        <v/>
      </c>
      <c r="Q309" s="208" t="str">
        <f t="shared" si="91"/>
        <v/>
      </c>
      <c r="R309" s="609" t="str">
        <f t="shared" si="92"/>
        <v/>
      </c>
      <c r="S309" s="609" t="str">
        <f t="shared" si="93"/>
        <v/>
      </c>
      <c r="T309" s="609" t="str">
        <f t="shared" si="94"/>
        <v/>
      </c>
      <c r="U309" s="609" t="str" cm="1">
        <f t="array" ref="U309">IFERROR(IF($D$3="","",_xlfn.LET(_xlpm.Mixed,AND(COUNTIF($G$34:$G$533,"Heating_Hot_Water")&gt;0,(COUNTIF($G$34:$G$533,"Steam_Low_Pressure") + COUNTIF($G$34:$G$533,"Steam_Medium_Pressure") + COUNTIF($G$34:$G$533,"Steam_High_Pressure"))&gt;0),_xlpm.fluid, G309,_xlpm.fuel, K309,_xlpm.load,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09" s="609" t="str">
        <f t="shared" si="105"/>
        <v/>
      </c>
      <c r="W309" s="482"/>
      <c r="X309" s="397" t="str" cm="1">
        <f t="array" ref="X309">IFERROR(IF($D$3="","", _xlfn.XLOOKUP(1,($AR$36:$AR$53=F309)*($AS$36:$AS$53=G309), INDEX($AT$36:$BJ$53,,_xlfn.XMATCH(E309,$AT$35:$BJ$35)))),"")</f>
        <v/>
      </c>
      <c r="Y309" s="480"/>
      <c r="Z309" s="482"/>
      <c r="AA309" s="607" t="str" cm="1">
        <f t="array" ref="AA309">IFERROR(IF($D$3="", "", _xlfn.LET(_xlpm.dia, E309, _xlpm.thk, Z309, _xlpm.temp, I309,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09" s="397" t="str" cm="1">
        <f t="array" ref="AB309">IFERROR(IF($D$3="", "", _xlfn.XLOOKUP(1,($AR$57:$AR$76=Y309)*($AS$57:$AS$76=Z309), INDEX($AT$57:$BJ$76,,_xlfn.XMATCH(E309,$AT$56:$BJ$56)))),"")</f>
        <v/>
      </c>
      <c r="AC309" s="208" t="str">
        <f t="shared" si="95"/>
        <v/>
      </c>
      <c r="AD309" s="397" t="str">
        <f t="shared" si="96"/>
        <v/>
      </c>
      <c r="AE309" s="610" t="str">
        <f t="shared" si="97"/>
        <v/>
      </c>
      <c r="AF309" s="610" t="str">
        <f t="shared" si="98"/>
        <v/>
      </c>
      <c r="AG309" s="610" t="str">
        <f t="shared" si="99"/>
        <v/>
      </c>
      <c r="AH309" s="608" t="str">
        <f t="shared" si="100"/>
        <v/>
      </c>
      <c r="AI309" s="610" t="str">
        <f t="shared" si="101"/>
        <v/>
      </c>
    </row>
    <row r="310" spans="2:35" x14ac:dyDescent="0.25">
      <c r="B310" s="209">
        <v>277</v>
      </c>
      <c r="C310" s="480"/>
      <c r="D310" s="480"/>
      <c r="E310" s="481"/>
      <c r="F310" s="480"/>
      <c r="G310" s="480"/>
      <c r="H310" s="607" t="str">
        <f t="shared" si="86"/>
        <v/>
      </c>
      <c r="I310" s="607" t="str">
        <f t="shared" si="87"/>
        <v/>
      </c>
      <c r="J310" s="607" t="str">
        <f t="shared" si="88"/>
        <v/>
      </c>
      <c r="K310" s="208" t="str">
        <f t="shared" si="89"/>
        <v/>
      </c>
      <c r="L310" s="208" t="str">
        <f t="shared" si="90"/>
        <v/>
      </c>
      <c r="M310" s="208" t="str">
        <f t="shared" si="102"/>
        <v/>
      </c>
      <c r="N310" s="608" t="str">
        <f>IF($D$3="", "", IFERROR(VLOOKUP(L310,'PIPE INCENTIVE'!$B$4:$E$19,2,FALSE),""))</f>
        <v/>
      </c>
      <c r="O310" s="608" t="str">
        <f t="shared" si="103"/>
        <v/>
      </c>
      <c r="P310" s="208" t="str">
        <f t="shared" si="104"/>
        <v/>
      </c>
      <c r="Q310" s="208" t="str">
        <f t="shared" si="91"/>
        <v/>
      </c>
      <c r="R310" s="609" t="str">
        <f t="shared" si="92"/>
        <v/>
      </c>
      <c r="S310" s="609" t="str">
        <f t="shared" si="93"/>
        <v/>
      </c>
      <c r="T310" s="609" t="str">
        <f t="shared" si="94"/>
        <v/>
      </c>
      <c r="U310" s="609" t="str" cm="1">
        <f t="array" ref="U310">IFERROR(IF($D$3="","",_xlfn.LET(_xlpm.Mixed,AND(COUNTIF($G$34:$G$533,"Heating_Hot_Water")&gt;0,(COUNTIF($G$34:$G$533,"Steam_Low_Pressure") + COUNTIF($G$34:$G$533,"Steam_Medium_Pressure") + COUNTIF($G$34:$G$533,"Steam_High_Pressure"))&gt;0),_xlpm.fluid, G310,_xlpm.fuel, K310,_xlpm.load,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0" s="609" t="str">
        <f t="shared" si="105"/>
        <v/>
      </c>
      <c r="W310" s="482"/>
      <c r="X310" s="397" t="str" cm="1">
        <f t="array" ref="X310">IFERROR(IF($D$3="","", _xlfn.XLOOKUP(1,($AR$36:$AR$53=F310)*($AS$36:$AS$53=G310), INDEX($AT$36:$BJ$53,,_xlfn.XMATCH(E310,$AT$35:$BJ$35)))),"")</f>
        <v/>
      </c>
      <c r="Y310" s="480"/>
      <c r="Z310" s="482"/>
      <c r="AA310" s="607" t="str" cm="1">
        <f t="array" ref="AA310">IFERROR(IF($D$3="", "", _xlfn.LET(_xlpm.dia, E310, _xlpm.thk, Z310, _xlpm.temp, I310,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0" s="397" t="str" cm="1">
        <f t="array" ref="AB310">IFERROR(IF($D$3="", "", _xlfn.XLOOKUP(1,($AR$57:$AR$76=Y310)*($AS$57:$AS$76=Z310), INDEX($AT$57:$BJ$76,,_xlfn.XMATCH(E310,$AT$56:$BJ$56)))),"")</f>
        <v/>
      </c>
      <c r="AC310" s="208" t="str">
        <f t="shared" si="95"/>
        <v/>
      </c>
      <c r="AD310" s="397" t="str">
        <f t="shared" si="96"/>
        <v/>
      </c>
      <c r="AE310" s="610" t="str">
        <f t="shared" si="97"/>
        <v/>
      </c>
      <c r="AF310" s="610" t="str">
        <f t="shared" si="98"/>
        <v/>
      </c>
      <c r="AG310" s="610" t="str">
        <f t="shared" si="99"/>
        <v/>
      </c>
      <c r="AH310" s="608" t="str">
        <f t="shared" si="100"/>
        <v/>
      </c>
      <c r="AI310" s="610" t="str">
        <f t="shared" si="101"/>
        <v/>
      </c>
    </row>
    <row r="311" spans="2:35" x14ac:dyDescent="0.25">
      <c r="B311" s="209">
        <v>278</v>
      </c>
      <c r="C311" s="480"/>
      <c r="D311" s="480"/>
      <c r="E311" s="481"/>
      <c r="F311" s="480"/>
      <c r="G311" s="480"/>
      <c r="H311" s="607" t="str">
        <f t="shared" si="86"/>
        <v/>
      </c>
      <c r="I311" s="607" t="str">
        <f t="shared" si="87"/>
        <v/>
      </c>
      <c r="J311" s="607" t="str">
        <f t="shared" si="88"/>
        <v/>
      </c>
      <c r="K311" s="208" t="str">
        <f t="shared" si="89"/>
        <v/>
      </c>
      <c r="L311" s="208" t="str">
        <f t="shared" si="90"/>
        <v/>
      </c>
      <c r="M311" s="208" t="str">
        <f t="shared" si="102"/>
        <v/>
      </c>
      <c r="N311" s="608" t="str">
        <f>IF($D$3="", "", IFERROR(VLOOKUP(L311,'PIPE INCENTIVE'!$B$4:$E$19,2,FALSE),""))</f>
        <v/>
      </c>
      <c r="O311" s="608" t="str">
        <f t="shared" si="103"/>
        <v/>
      </c>
      <c r="P311" s="208" t="str">
        <f t="shared" si="104"/>
        <v/>
      </c>
      <c r="Q311" s="208" t="str">
        <f t="shared" si="91"/>
        <v/>
      </c>
      <c r="R311" s="609" t="str">
        <f t="shared" si="92"/>
        <v/>
      </c>
      <c r="S311" s="609" t="str">
        <f t="shared" si="93"/>
        <v/>
      </c>
      <c r="T311" s="609" t="str">
        <f t="shared" si="94"/>
        <v/>
      </c>
      <c r="U311" s="609" t="str" cm="1">
        <f t="array" ref="U311">IFERROR(IF($D$3="","",_xlfn.LET(_xlpm.Mixed,AND(COUNTIF($G$34:$G$533,"Heating_Hot_Water")&gt;0,(COUNTIF($G$34:$G$533,"Steam_Low_Pressure") + COUNTIF($G$34:$G$533,"Steam_Medium_Pressure") + COUNTIF($G$34:$G$533,"Steam_High_Pressure"))&gt;0),_xlpm.fluid, G311,_xlpm.fuel, K311,_xlpm.load,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1" s="609" t="str">
        <f t="shared" si="105"/>
        <v/>
      </c>
      <c r="W311" s="482"/>
      <c r="X311" s="397" t="str" cm="1">
        <f t="array" ref="X311">IFERROR(IF($D$3="","", _xlfn.XLOOKUP(1,($AR$36:$AR$53=F311)*($AS$36:$AS$53=G311), INDEX($AT$36:$BJ$53,,_xlfn.XMATCH(E311,$AT$35:$BJ$35)))),"")</f>
        <v/>
      </c>
      <c r="Y311" s="480"/>
      <c r="Z311" s="482"/>
      <c r="AA311" s="607" t="str" cm="1">
        <f t="array" ref="AA311">IFERROR(IF($D$3="", "", _xlfn.LET(_xlpm.dia, E311, _xlpm.thk, Z311, _xlpm.temp, I311,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1" s="397" t="str" cm="1">
        <f t="array" ref="AB311">IFERROR(IF($D$3="", "", _xlfn.XLOOKUP(1,($AR$57:$AR$76=Y311)*($AS$57:$AS$76=Z311), INDEX($AT$57:$BJ$76,,_xlfn.XMATCH(E311,$AT$56:$BJ$56)))),"")</f>
        <v/>
      </c>
      <c r="AC311" s="208" t="str">
        <f t="shared" si="95"/>
        <v/>
      </c>
      <c r="AD311" s="397" t="str">
        <f t="shared" si="96"/>
        <v/>
      </c>
      <c r="AE311" s="610" t="str">
        <f t="shared" si="97"/>
        <v/>
      </c>
      <c r="AF311" s="610" t="str">
        <f t="shared" si="98"/>
        <v/>
      </c>
      <c r="AG311" s="610" t="str">
        <f t="shared" si="99"/>
        <v/>
      </c>
      <c r="AH311" s="608" t="str">
        <f t="shared" si="100"/>
        <v/>
      </c>
      <c r="AI311" s="610" t="str">
        <f t="shared" si="101"/>
        <v/>
      </c>
    </row>
    <row r="312" spans="2:35" x14ac:dyDescent="0.25">
      <c r="B312" s="209">
        <v>279</v>
      </c>
      <c r="C312" s="480"/>
      <c r="D312" s="480"/>
      <c r="E312" s="481"/>
      <c r="F312" s="480"/>
      <c r="G312" s="480"/>
      <c r="H312" s="607" t="str">
        <f t="shared" si="86"/>
        <v/>
      </c>
      <c r="I312" s="607" t="str">
        <f t="shared" si="87"/>
        <v/>
      </c>
      <c r="J312" s="607" t="str">
        <f t="shared" si="88"/>
        <v/>
      </c>
      <c r="K312" s="208" t="str">
        <f t="shared" si="89"/>
        <v/>
      </c>
      <c r="L312" s="208" t="str">
        <f t="shared" si="90"/>
        <v/>
      </c>
      <c r="M312" s="208" t="str">
        <f t="shared" si="102"/>
        <v/>
      </c>
      <c r="N312" s="608" t="str">
        <f>IF($D$3="", "", IFERROR(VLOOKUP(L312,'PIPE INCENTIVE'!$B$4:$E$19,2,FALSE),""))</f>
        <v/>
      </c>
      <c r="O312" s="608" t="str">
        <f t="shared" si="103"/>
        <v/>
      </c>
      <c r="P312" s="208" t="str">
        <f t="shared" si="104"/>
        <v/>
      </c>
      <c r="Q312" s="208" t="str">
        <f t="shared" si="91"/>
        <v/>
      </c>
      <c r="R312" s="609" t="str">
        <f t="shared" si="92"/>
        <v/>
      </c>
      <c r="S312" s="609" t="str">
        <f t="shared" si="93"/>
        <v/>
      </c>
      <c r="T312" s="609" t="str">
        <f t="shared" si="94"/>
        <v/>
      </c>
      <c r="U312" s="609" t="str" cm="1">
        <f t="array" ref="U312">IFERROR(IF($D$3="","",_xlfn.LET(_xlpm.Mixed,AND(COUNTIF($G$34:$G$533,"Heating_Hot_Water")&gt;0,(COUNTIF($G$34:$G$533,"Steam_Low_Pressure") + COUNTIF($G$34:$G$533,"Steam_Medium_Pressure") + COUNTIF($G$34:$G$533,"Steam_High_Pressure"))&gt;0),_xlpm.fluid, G312,_xlpm.fuel, K312,_xlpm.load,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2" s="609" t="str">
        <f t="shared" si="105"/>
        <v/>
      </c>
      <c r="W312" s="482"/>
      <c r="X312" s="397" t="str" cm="1">
        <f t="array" ref="X312">IFERROR(IF($D$3="","", _xlfn.XLOOKUP(1,($AR$36:$AR$53=F312)*($AS$36:$AS$53=G312), INDEX($AT$36:$BJ$53,,_xlfn.XMATCH(E312,$AT$35:$BJ$35)))),"")</f>
        <v/>
      </c>
      <c r="Y312" s="480"/>
      <c r="Z312" s="482"/>
      <c r="AA312" s="607" t="str" cm="1">
        <f t="array" ref="AA312">IFERROR(IF($D$3="", "", _xlfn.LET(_xlpm.dia, E312, _xlpm.thk, Z312, _xlpm.temp, I312,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2" s="397" t="str" cm="1">
        <f t="array" ref="AB312">IFERROR(IF($D$3="", "", _xlfn.XLOOKUP(1,($AR$57:$AR$76=Y312)*($AS$57:$AS$76=Z312), INDEX($AT$57:$BJ$76,,_xlfn.XMATCH(E312,$AT$56:$BJ$56)))),"")</f>
        <v/>
      </c>
      <c r="AC312" s="208" t="str">
        <f t="shared" si="95"/>
        <v/>
      </c>
      <c r="AD312" s="397" t="str">
        <f t="shared" si="96"/>
        <v/>
      </c>
      <c r="AE312" s="610" t="str">
        <f t="shared" si="97"/>
        <v/>
      </c>
      <c r="AF312" s="610" t="str">
        <f t="shared" si="98"/>
        <v/>
      </c>
      <c r="AG312" s="610" t="str">
        <f t="shared" si="99"/>
        <v/>
      </c>
      <c r="AH312" s="608" t="str">
        <f t="shared" si="100"/>
        <v/>
      </c>
      <c r="AI312" s="610" t="str">
        <f t="shared" si="101"/>
        <v/>
      </c>
    </row>
    <row r="313" spans="2:35" x14ac:dyDescent="0.25">
      <c r="B313" s="209">
        <v>280</v>
      </c>
      <c r="C313" s="480"/>
      <c r="D313" s="480"/>
      <c r="E313" s="481"/>
      <c r="F313" s="480"/>
      <c r="G313" s="480"/>
      <c r="H313" s="607" t="str">
        <f t="shared" si="86"/>
        <v/>
      </c>
      <c r="I313" s="607" t="str">
        <f t="shared" si="87"/>
        <v/>
      </c>
      <c r="J313" s="607" t="str">
        <f t="shared" si="88"/>
        <v/>
      </c>
      <c r="K313" s="208" t="str">
        <f t="shared" si="89"/>
        <v/>
      </c>
      <c r="L313" s="208" t="str">
        <f t="shared" si="90"/>
        <v/>
      </c>
      <c r="M313" s="208" t="str">
        <f t="shared" si="102"/>
        <v/>
      </c>
      <c r="N313" s="608" t="str">
        <f>IF($D$3="", "", IFERROR(VLOOKUP(L313,'PIPE INCENTIVE'!$B$4:$E$19,2,FALSE),""))</f>
        <v/>
      </c>
      <c r="O313" s="608" t="str">
        <f t="shared" si="103"/>
        <v/>
      </c>
      <c r="P313" s="208" t="str">
        <f t="shared" si="104"/>
        <v/>
      </c>
      <c r="Q313" s="208" t="str">
        <f t="shared" si="91"/>
        <v/>
      </c>
      <c r="R313" s="609" t="str">
        <f t="shared" si="92"/>
        <v/>
      </c>
      <c r="S313" s="609" t="str">
        <f t="shared" si="93"/>
        <v/>
      </c>
      <c r="T313" s="609" t="str">
        <f t="shared" si="94"/>
        <v/>
      </c>
      <c r="U313" s="609" t="str" cm="1">
        <f t="array" ref="U313">IFERROR(IF($D$3="","",_xlfn.LET(_xlpm.Mixed,AND(COUNTIF($G$34:$G$533,"Heating_Hot_Water")&gt;0,(COUNTIF($G$34:$G$533,"Steam_Low_Pressure") + COUNTIF($G$34:$G$533,"Steam_Medium_Pressure") + COUNTIF($G$34:$G$533,"Steam_High_Pressure"))&gt;0),_xlpm.fluid, G313,_xlpm.fuel, K313,_xlpm.load,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3" s="609" t="str">
        <f t="shared" si="105"/>
        <v/>
      </c>
      <c r="W313" s="482"/>
      <c r="X313" s="397" t="str" cm="1">
        <f t="array" ref="X313">IFERROR(IF($D$3="","", _xlfn.XLOOKUP(1,($AR$36:$AR$53=F313)*($AS$36:$AS$53=G313), INDEX($AT$36:$BJ$53,,_xlfn.XMATCH(E313,$AT$35:$BJ$35)))),"")</f>
        <v/>
      </c>
      <c r="Y313" s="480"/>
      <c r="Z313" s="482"/>
      <c r="AA313" s="607" t="str" cm="1">
        <f t="array" ref="AA313">IFERROR(IF($D$3="", "", _xlfn.LET(_xlpm.dia, E313, _xlpm.thk, Z313, _xlpm.temp, I313,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3" s="397" t="str" cm="1">
        <f t="array" ref="AB313">IFERROR(IF($D$3="", "", _xlfn.XLOOKUP(1,($AR$57:$AR$76=Y313)*($AS$57:$AS$76=Z313), INDEX($AT$57:$BJ$76,,_xlfn.XMATCH(E313,$AT$56:$BJ$56)))),"")</f>
        <v/>
      </c>
      <c r="AC313" s="208" t="str">
        <f t="shared" si="95"/>
        <v/>
      </c>
      <c r="AD313" s="397" t="str">
        <f t="shared" si="96"/>
        <v/>
      </c>
      <c r="AE313" s="610" t="str">
        <f t="shared" si="97"/>
        <v/>
      </c>
      <c r="AF313" s="610" t="str">
        <f t="shared" si="98"/>
        <v/>
      </c>
      <c r="AG313" s="610" t="str">
        <f t="shared" si="99"/>
        <v/>
      </c>
      <c r="AH313" s="608" t="str">
        <f t="shared" si="100"/>
        <v/>
      </c>
      <c r="AI313" s="610" t="str">
        <f t="shared" si="101"/>
        <v/>
      </c>
    </row>
    <row r="314" spans="2:35" x14ac:dyDescent="0.25">
      <c r="B314" s="209">
        <v>281</v>
      </c>
      <c r="C314" s="480"/>
      <c r="D314" s="480"/>
      <c r="E314" s="481"/>
      <c r="F314" s="480"/>
      <c r="G314" s="480"/>
      <c r="H314" s="607" t="str">
        <f t="shared" si="86"/>
        <v/>
      </c>
      <c r="I314" s="607" t="str">
        <f t="shared" si="87"/>
        <v/>
      </c>
      <c r="J314" s="607" t="str">
        <f t="shared" si="88"/>
        <v/>
      </c>
      <c r="K314" s="208" t="str">
        <f t="shared" si="89"/>
        <v/>
      </c>
      <c r="L314" s="208" t="str">
        <f t="shared" si="90"/>
        <v/>
      </c>
      <c r="M314" s="208" t="str">
        <f t="shared" si="102"/>
        <v/>
      </c>
      <c r="N314" s="608" t="str">
        <f>IF($D$3="", "", IFERROR(VLOOKUP(L314,'PIPE INCENTIVE'!$B$4:$E$19,2,FALSE),""))</f>
        <v/>
      </c>
      <c r="O314" s="608" t="str">
        <f t="shared" si="103"/>
        <v/>
      </c>
      <c r="P314" s="208" t="str">
        <f t="shared" si="104"/>
        <v/>
      </c>
      <c r="Q314" s="208" t="str">
        <f t="shared" si="91"/>
        <v/>
      </c>
      <c r="R314" s="609" t="str">
        <f t="shared" si="92"/>
        <v/>
      </c>
      <c r="S314" s="609" t="str">
        <f t="shared" si="93"/>
        <v/>
      </c>
      <c r="T314" s="609" t="str">
        <f t="shared" si="94"/>
        <v/>
      </c>
      <c r="U314" s="609" t="str" cm="1">
        <f t="array" ref="U314">IFERROR(IF($D$3="","",_xlfn.LET(_xlpm.Mixed,AND(COUNTIF($G$34:$G$533,"Heating_Hot_Water")&gt;0,(COUNTIF($G$34:$G$533,"Steam_Low_Pressure") + COUNTIF($G$34:$G$533,"Steam_Medium_Pressure") + COUNTIF($G$34:$G$533,"Steam_High_Pressure"))&gt;0),_xlpm.fluid, G314,_xlpm.fuel, K314,_xlpm.load,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4" s="609" t="str">
        <f t="shared" si="105"/>
        <v/>
      </c>
      <c r="W314" s="482"/>
      <c r="X314" s="397" t="str" cm="1">
        <f t="array" ref="X314">IFERROR(IF($D$3="","", _xlfn.XLOOKUP(1,($AR$36:$AR$53=F314)*($AS$36:$AS$53=G314), INDEX($AT$36:$BJ$53,,_xlfn.XMATCH(E314,$AT$35:$BJ$35)))),"")</f>
        <v/>
      </c>
      <c r="Y314" s="480"/>
      <c r="Z314" s="482"/>
      <c r="AA314" s="607" t="str" cm="1">
        <f t="array" ref="AA314">IFERROR(IF($D$3="", "", _xlfn.LET(_xlpm.dia, E314, _xlpm.thk, Z314, _xlpm.temp, I314,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4" s="397" t="str" cm="1">
        <f t="array" ref="AB314">IFERROR(IF($D$3="", "", _xlfn.XLOOKUP(1,($AR$57:$AR$76=Y314)*($AS$57:$AS$76=Z314), INDEX($AT$57:$BJ$76,,_xlfn.XMATCH(E314,$AT$56:$BJ$56)))),"")</f>
        <v/>
      </c>
      <c r="AC314" s="208" t="str">
        <f t="shared" si="95"/>
        <v/>
      </c>
      <c r="AD314" s="397" t="str">
        <f t="shared" si="96"/>
        <v/>
      </c>
      <c r="AE314" s="610" t="str">
        <f t="shared" si="97"/>
        <v/>
      </c>
      <c r="AF314" s="610" t="str">
        <f t="shared" si="98"/>
        <v/>
      </c>
      <c r="AG314" s="610" t="str">
        <f t="shared" si="99"/>
        <v/>
      </c>
      <c r="AH314" s="608" t="str">
        <f t="shared" si="100"/>
        <v/>
      </c>
      <c r="AI314" s="610" t="str">
        <f t="shared" si="101"/>
        <v/>
      </c>
    </row>
    <row r="315" spans="2:35" x14ac:dyDescent="0.25">
      <c r="B315" s="209">
        <v>282</v>
      </c>
      <c r="C315" s="480"/>
      <c r="D315" s="480"/>
      <c r="E315" s="481"/>
      <c r="F315" s="480"/>
      <c r="G315" s="480"/>
      <c r="H315" s="607" t="str">
        <f t="shared" si="86"/>
        <v/>
      </c>
      <c r="I315" s="607" t="str">
        <f t="shared" si="87"/>
        <v/>
      </c>
      <c r="J315" s="607" t="str">
        <f t="shared" si="88"/>
        <v/>
      </c>
      <c r="K315" s="208" t="str">
        <f t="shared" si="89"/>
        <v/>
      </c>
      <c r="L315" s="208" t="str">
        <f t="shared" si="90"/>
        <v/>
      </c>
      <c r="M315" s="208" t="str">
        <f t="shared" si="102"/>
        <v/>
      </c>
      <c r="N315" s="608" t="str">
        <f>IF($D$3="", "", IFERROR(VLOOKUP(L315,'PIPE INCENTIVE'!$B$4:$E$19,2,FALSE),""))</f>
        <v/>
      </c>
      <c r="O315" s="608" t="str">
        <f t="shared" si="103"/>
        <v/>
      </c>
      <c r="P315" s="208" t="str">
        <f t="shared" si="104"/>
        <v/>
      </c>
      <c r="Q315" s="208" t="str">
        <f t="shared" si="91"/>
        <v/>
      </c>
      <c r="R315" s="609" t="str">
        <f t="shared" si="92"/>
        <v/>
      </c>
      <c r="S315" s="609" t="str">
        <f t="shared" si="93"/>
        <v/>
      </c>
      <c r="T315" s="609" t="str">
        <f t="shared" si="94"/>
        <v/>
      </c>
      <c r="U315" s="609" t="str" cm="1">
        <f t="array" ref="U315">IFERROR(IF($D$3="","",_xlfn.LET(_xlpm.Mixed,AND(COUNTIF($G$34:$G$533,"Heating_Hot_Water")&gt;0,(COUNTIF($G$34:$G$533,"Steam_Low_Pressure") + COUNTIF($G$34:$G$533,"Steam_Medium_Pressure") + COUNTIF($G$34:$G$533,"Steam_High_Pressure"))&gt;0),_xlpm.fluid, G315,_xlpm.fuel, K315,_xlpm.load,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5" s="609" t="str">
        <f t="shared" si="105"/>
        <v/>
      </c>
      <c r="W315" s="482"/>
      <c r="X315" s="397" t="str" cm="1">
        <f t="array" ref="X315">IFERROR(IF($D$3="","", _xlfn.XLOOKUP(1,($AR$36:$AR$53=F315)*($AS$36:$AS$53=G315), INDEX($AT$36:$BJ$53,,_xlfn.XMATCH(E315,$AT$35:$BJ$35)))),"")</f>
        <v/>
      </c>
      <c r="Y315" s="480"/>
      <c r="Z315" s="482"/>
      <c r="AA315" s="607" t="str" cm="1">
        <f t="array" ref="AA315">IFERROR(IF($D$3="", "", _xlfn.LET(_xlpm.dia, E315, _xlpm.thk, Z315, _xlpm.temp, I315,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5" s="397" t="str" cm="1">
        <f t="array" ref="AB315">IFERROR(IF($D$3="", "", _xlfn.XLOOKUP(1,($AR$57:$AR$76=Y315)*($AS$57:$AS$76=Z315), INDEX($AT$57:$BJ$76,,_xlfn.XMATCH(E315,$AT$56:$BJ$56)))),"")</f>
        <v/>
      </c>
      <c r="AC315" s="208" t="str">
        <f t="shared" si="95"/>
        <v/>
      </c>
      <c r="AD315" s="397" t="str">
        <f t="shared" si="96"/>
        <v/>
      </c>
      <c r="AE315" s="610" t="str">
        <f t="shared" si="97"/>
        <v/>
      </c>
      <c r="AF315" s="610" t="str">
        <f t="shared" si="98"/>
        <v/>
      </c>
      <c r="AG315" s="610" t="str">
        <f t="shared" si="99"/>
        <v/>
      </c>
      <c r="AH315" s="608" t="str">
        <f t="shared" si="100"/>
        <v/>
      </c>
      <c r="AI315" s="610" t="str">
        <f t="shared" si="101"/>
        <v/>
      </c>
    </row>
    <row r="316" spans="2:35" x14ac:dyDescent="0.25">
      <c r="B316" s="209">
        <v>283</v>
      </c>
      <c r="C316" s="480"/>
      <c r="D316" s="480"/>
      <c r="E316" s="481"/>
      <c r="F316" s="480"/>
      <c r="G316" s="480"/>
      <c r="H316" s="607" t="str">
        <f t="shared" si="86"/>
        <v/>
      </c>
      <c r="I316" s="607" t="str">
        <f t="shared" si="87"/>
        <v/>
      </c>
      <c r="J316" s="607" t="str">
        <f t="shared" si="88"/>
        <v/>
      </c>
      <c r="K316" s="208" t="str">
        <f t="shared" si="89"/>
        <v/>
      </c>
      <c r="L316" s="208" t="str">
        <f t="shared" si="90"/>
        <v/>
      </c>
      <c r="M316" s="208" t="str">
        <f t="shared" si="102"/>
        <v/>
      </c>
      <c r="N316" s="608" t="str">
        <f>IF($D$3="", "", IFERROR(VLOOKUP(L316,'PIPE INCENTIVE'!$B$4:$E$19,2,FALSE),""))</f>
        <v/>
      </c>
      <c r="O316" s="608" t="str">
        <f t="shared" si="103"/>
        <v/>
      </c>
      <c r="P316" s="208" t="str">
        <f t="shared" si="104"/>
        <v/>
      </c>
      <c r="Q316" s="208" t="str">
        <f t="shared" si="91"/>
        <v/>
      </c>
      <c r="R316" s="609" t="str">
        <f t="shared" si="92"/>
        <v/>
      </c>
      <c r="S316" s="609" t="str">
        <f t="shared" si="93"/>
        <v/>
      </c>
      <c r="T316" s="609" t="str">
        <f t="shared" si="94"/>
        <v/>
      </c>
      <c r="U316" s="609" t="str" cm="1">
        <f t="array" ref="U316">IFERROR(IF($D$3="","",_xlfn.LET(_xlpm.Mixed,AND(COUNTIF($G$34:$G$533,"Heating_Hot_Water")&gt;0,(COUNTIF($G$34:$G$533,"Steam_Low_Pressure") + COUNTIF($G$34:$G$533,"Steam_Medium_Pressure") + COUNTIF($G$34:$G$533,"Steam_High_Pressure"))&gt;0),_xlpm.fluid, G316,_xlpm.fuel, K316,_xlpm.load,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6" s="609" t="str">
        <f t="shared" si="105"/>
        <v/>
      </c>
      <c r="W316" s="482"/>
      <c r="X316" s="397" t="str" cm="1">
        <f t="array" ref="X316">IFERROR(IF($D$3="","", _xlfn.XLOOKUP(1,($AR$36:$AR$53=F316)*($AS$36:$AS$53=G316), INDEX($AT$36:$BJ$53,,_xlfn.XMATCH(E316,$AT$35:$BJ$35)))),"")</f>
        <v/>
      </c>
      <c r="Y316" s="480"/>
      <c r="Z316" s="482"/>
      <c r="AA316" s="607" t="str" cm="1">
        <f t="array" ref="AA316">IFERROR(IF($D$3="", "", _xlfn.LET(_xlpm.dia, E316, _xlpm.thk, Z316, _xlpm.temp, I316,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6" s="397" t="str" cm="1">
        <f t="array" ref="AB316">IFERROR(IF($D$3="", "", _xlfn.XLOOKUP(1,($AR$57:$AR$76=Y316)*($AS$57:$AS$76=Z316), INDEX($AT$57:$BJ$76,,_xlfn.XMATCH(E316,$AT$56:$BJ$56)))),"")</f>
        <v/>
      </c>
      <c r="AC316" s="208" t="str">
        <f t="shared" si="95"/>
        <v/>
      </c>
      <c r="AD316" s="397" t="str">
        <f t="shared" si="96"/>
        <v/>
      </c>
      <c r="AE316" s="610" t="str">
        <f t="shared" si="97"/>
        <v/>
      </c>
      <c r="AF316" s="610" t="str">
        <f t="shared" si="98"/>
        <v/>
      </c>
      <c r="AG316" s="610" t="str">
        <f t="shared" si="99"/>
        <v/>
      </c>
      <c r="AH316" s="608" t="str">
        <f t="shared" si="100"/>
        <v/>
      </c>
      <c r="AI316" s="610" t="str">
        <f t="shared" si="101"/>
        <v/>
      </c>
    </row>
    <row r="317" spans="2:35" x14ac:dyDescent="0.25">
      <c r="B317" s="209">
        <v>284</v>
      </c>
      <c r="C317" s="480"/>
      <c r="D317" s="480"/>
      <c r="E317" s="481"/>
      <c r="F317" s="480"/>
      <c r="G317" s="480"/>
      <c r="H317" s="607" t="str">
        <f t="shared" si="86"/>
        <v/>
      </c>
      <c r="I317" s="607" t="str">
        <f t="shared" si="87"/>
        <v/>
      </c>
      <c r="J317" s="607" t="str">
        <f t="shared" si="88"/>
        <v/>
      </c>
      <c r="K317" s="208" t="str">
        <f t="shared" si="89"/>
        <v/>
      </c>
      <c r="L317" s="208" t="str">
        <f t="shared" si="90"/>
        <v/>
      </c>
      <c r="M317" s="208" t="str">
        <f t="shared" si="102"/>
        <v/>
      </c>
      <c r="N317" s="608" t="str">
        <f>IF($D$3="", "", IFERROR(VLOOKUP(L317,'PIPE INCENTIVE'!$B$4:$E$19,2,FALSE),""))</f>
        <v/>
      </c>
      <c r="O317" s="608" t="str">
        <f t="shared" si="103"/>
        <v/>
      </c>
      <c r="P317" s="208" t="str">
        <f t="shared" si="104"/>
        <v/>
      </c>
      <c r="Q317" s="208" t="str">
        <f t="shared" si="91"/>
        <v/>
      </c>
      <c r="R317" s="609" t="str">
        <f t="shared" si="92"/>
        <v/>
      </c>
      <c r="S317" s="609" t="str">
        <f t="shared" si="93"/>
        <v/>
      </c>
      <c r="T317" s="609" t="str">
        <f t="shared" si="94"/>
        <v/>
      </c>
      <c r="U317" s="609" t="str" cm="1">
        <f t="array" ref="U317">IFERROR(IF($D$3="","",_xlfn.LET(_xlpm.Mixed,AND(COUNTIF($G$34:$G$533,"Heating_Hot_Water")&gt;0,(COUNTIF($G$34:$G$533,"Steam_Low_Pressure") + COUNTIF($G$34:$G$533,"Steam_Medium_Pressure") + COUNTIF($G$34:$G$533,"Steam_High_Pressure"))&gt;0),_xlpm.fluid, G317,_xlpm.fuel, K317,_xlpm.load,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7" s="609" t="str">
        <f t="shared" si="105"/>
        <v/>
      </c>
      <c r="W317" s="482"/>
      <c r="X317" s="397" t="str" cm="1">
        <f t="array" ref="X317">IFERROR(IF($D$3="","", _xlfn.XLOOKUP(1,($AR$36:$AR$53=F317)*($AS$36:$AS$53=G317), INDEX($AT$36:$BJ$53,,_xlfn.XMATCH(E317,$AT$35:$BJ$35)))),"")</f>
        <v/>
      </c>
      <c r="Y317" s="480"/>
      <c r="Z317" s="482"/>
      <c r="AA317" s="607" t="str" cm="1">
        <f t="array" ref="AA317">IFERROR(IF($D$3="", "", _xlfn.LET(_xlpm.dia, E317, _xlpm.thk, Z317, _xlpm.temp, I317,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7" s="397" t="str" cm="1">
        <f t="array" ref="AB317">IFERROR(IF($D$3="", "", _xlfn.XLOOKUP(1,($AR$57:$AR$76=Y317)*($AS$57:$AS$76=Z317), INDEX($AT$57:$BJ$76,,_xlfn.XMATCH(E317,$AT$56:$BJ$56)))),"")</f>
        <v/>
      </c>
      <c r="AC317" s="208" t="str">
        <f t="shared" si="95"/>
        <v/>
      </c>
      <c r="AD317" s="397" t="str">
        <f t="shared" si="96"/>
        <v/>
      </c>
      <c r="AE317" s="610" t="str">
        <f t="shared" si="97"/>
        <v/>
      </c>
      <c r="AF317" s="610" t="str">
        <f t="shared" si="98"/>
        <v/>
      </c>
      <c r="AG317" s="610" t="str">
        <f t="shared" si="99"/>
        <v/>
      </c>
      <c r="AH317" s="608" t="str">
        <f t="shared" si="100"/>
        <v/>
      </c>
      <c r="AI317" s="610" t="str">
        <f t="shared" si="101"/>
        <v/>
      </c>
    </row>
    <row r="318" spans="2:35" x14ac:dyDescent="0.25">
      <c r="B318" s="209">
        <v>285</v>
      </c>
      <c r="C318" s="480"/>
      <c r="D318" s="480"/>
      <c r="E318" s="481"/>
      <c r="F318" s="480"/>
      <c r="G318" s="480"/>
      <c r="H318" s="607" t="str">
        <f t="shared" si="86"/>
        <v/>
      </c>
      <c r="I318" s="607" t="str">
        <f t="shared" si="87"/>
        <v/>
      </c>
      <c r="J318" s="607" t="str">
        <f t="shared" si="88"/>
        <v/>
      </c>
      <c r="K318" s="208" t="str">
        <f t="shared" si="89"/>
        <v/>
      </c>
      <c r="L318" s="208" t="str">
        <f t="shared" si="90"/>
        <v/>
      </c>
      <c r="M318" s="208" t="str">
        <f t="shared" si="102"/>
        <v/>
      </c>
      <c r="N318" s="608" t="str">
        <f>IF($D$3="", "", IFERROR(VLOOKUP(L318,'PIPE INCENTIVE'!$B$4:$E$19,2,FALSE),""))</f>
        <v/>
      </c>
      <c r="O318" s="608" t="str">
        <f t="shared" si="103"/>
        <v/>
      </c>
      <c r="P318" s="208" t="str">
        <f t="shared" si="104"/>
        <v/>
      </c>
      <c r="Q318" s="208" t="str">
        <f t="shared" si="91"/>
        <v/>
      </c>
      <c r="R318" s="609" t="str">
        <f t="shared" si="92"/>
        <v/>
      </c>
      <c r="S318" s="609" t="str">
        <f t="shared" si="93"/>
        <v/>
      </c>
      <c r="T318" s="609" t="str">
        <f t="shared" si="94"/>
        <v/>
      </c>
      <c r="U318" s="609" t="str" cm="1">
        <f t="array" ref="U318">IFERROR(IF($D$3="","",_xlfn.LET(_xlpm.Mixed,AND(COUNTIF($G$34:$G$533,"Heating_Hot_Water")&gt;0,(COUNTIF($G$34:$G$533,"Steam_Low_Pressure") + COUNTIF($G$34:$G$533,"Steam_Medium_Pressure") + COUNTIF($G$34:$G$533,"Steam_High_Pressure"))&gt;0),_xlpm.fluid, G318,_xlpm.fuel, K318,_xlpm.load,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8" s="609" t="str">
        <f t="shared" si="105"/>
        <v/>
      </c>
      <c r="W318" s="482"/>
      <c r="X318" s="397" t="str" cm="1">
        <f t="array" ref="X318">IFERROR(IF($D$3="","", _xlfn.XLOOKUP(1,($AR$36:$AR$53=F318)*($AS$36:$AS$53=G318), INDEX($AT$36:$BJ$53,,_xlfn.XMATCH(E318,$AT$35:$BJ$35)))),"")</f>
        <v/>
      </c>
      <c r="Y318" s="480"/>
      <c r="Z318" s="482"/>
      <c r="AA318" s="607" t="str" cm="1">
        <f t="array" ref="AA318">IFERROR(IF($D$3="", "", _xlfn.LET(_xlpm.dia, E318, _xlpm.thk, Z318, _xlpm.temp, I318,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8" s="397" t="str" cm="1">
        <f t="array" ref="AB318">IFERROR(IF($D$3="", "", _xlfn.XLOOKUP(1,($AR$57:$AR$76=Y318)*($AS$57:$AS$76=Z318), INDEX($AT$57:$BJ$76,,_xlfn.XMATCH(E318,$AT$56:$BJ$56)))),"")</f>
        <v/>
      </c>
      <c r="AC318" s="208" t="str">
        <f t="shared" si="95"/>
        <v/>
      </c>
      <c r="AD318" s="397" t="str">
        <f t="shared" si="96"/>
        <v/>
      </c>
      <c r="AE318" s="610" t="str">
        <f t="shared" si="97"/>
        <v/>
      </c>
      <c r="AF318" s="610" t="str">
        <f t="shared" si="98"/>
        <v/>
      </c>
      <c r="AG318" s="610" t="str">
        <f t="shared" si="99"/>
        <v/>
      </c>
      <c r="AH318" s="608" t="str">
        <f t="shared" si="100"/>
        <v/>
      </c>
      <c r="AI318" s="610" t="str">
        <f t="shared" si="101"/>
        <v/>
      </c>
    </row>
    <row r="319" spans="2:35" x14ac:dyDescent="0.25">
      <c r="B319" s="209">
        <v>286</v>
      </c>
      <c r="C319" s="480"/>
      <c r="D319" s="480"/>
      <c r="E319" s="481"/>
      <c r="F319" s="480"/>
      <c r="G319" s="480"/>
      <c r="H319" s="607" t="str">
        <f t="shared" si="86"/>
        <v/>
      </c>
      <c r="I319" s="607" t="str">
        <f t="shared" si="87"/>
        <v/>
      </c>
      <c r="J319" s="607" t="str">
        <f t="shared" si="88"/>
        <v/>
      </c>
      <c r="K319" s="208" t="str">
        <f t="shared" si="89"/>
        <v/>
      </c>
      <c r="L319" s="208" t="str">
        <f t="shared" si="90"/>
        <v/>
      </c>
      <c r="M319" s="208" t="str">
        <f t="shared" si="102"/>
        <v/>
      </c>
      <c r="N319" s="608" t="str">
        <f>IF($D$3="", "", IFERROR(VLOOKUP(L319,'PIPE INCENTIVE'!$B$4:$E$19,2,FALSE),""))</f>
        <v/>
      </c>
      <c r="O319" s="608" t="str">
        <f t="shared" si="103"/>
        <v/>
      </c>
      <c r="P319" s="208" t="str">
        <f t="shared" si="104"/>
        <v/>
      </c>
      <c r="Q319" s="208" t="str">
        <f t="shared" si="91"/>
        <v/>
      </c>
      <c r="R319" s="609" t="str">
        <f t="shared" si="92"/>
        <v/>
      </c>
      <c r="S319" s="609" t="str">
        <f t="shared" si="93"/>
        <v/>
      </c>
      <c r="T319" s="609" t="str">
        <f t="shared" si="94"/>
        <v/>
      </c>
      <c r="U319" s="609" t="str" cm="1">
        <f t="array" ref="U319">IFERROR(IF($D$3="","",_xlfn.LET(_xlpm.Mixed,AND(COUNTIF($G$34:$G$533,"Heating_Hot_Water")&gt;0,(COUNTIF($G$34:$G$533,"Steam_Low_Pressure") + COUNTIF($G$34:$G$533,"Steam_Medium_Pressure") + COUNTIF($G$34:$G$533,"Steam_High_Pressure"))&gt;0),_xlpm.fluid, G319,_xlpm.fuel, K319,_xlpm.load,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19" s="609" t="str">
        <f t="shared" si="105"/>
        <v/>
      </c>
      <c r="W319" s="482"/>
      <c r="X319" s="397" t="str" cm="1">
        <f t="array" ref="X319">IFERROR(IF($D$3="","", _xlfn.XLOOKUP(1,($AR$36:$AR$53=F319)*($AS$36:$AS$53=G319), INDEX($AT$36:$BJ$53,,_xlfn.XMATCH(E319,$AT$35:$BJ$35)))),"")</f>
        <v/>
      </c>
      <c r="Y319" s="480"/>
      <c r="Z319" s="482"/>
      <c r="AA319" s="607" t="str" cm="1">
        <f t="array" ref="AA319">IFERROR(IF($D$3="", "", _xlfn.LET(_xlpm.dia, E319, _xlpm.thk, Z319, _xlpm.temp, I319,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19" s="397" t="str" cm="1">
        <f t="array" ref="AB319">IFERROR(IF($D$3="", "", _xlfn.XLOOKUP(1,($AR$57:$AR$76=Y319)*($AS$57:$AS$76=Z319), INDEX($AT$57:$BJ$76,,_xlfn.XMATCH(E319,$AT$56:$BJ$56)))),"")</f>
        <v/>
      </c>
      <c r="AC319" s="208" t="str">
        <f t="shared" si="95"/>
        <v/>
      </c>
      <c r="AD319" s="397" t="str">
        <f t="shared" si="96"/>
        <v/>
      </c>
      <c r="AE319" s="610" t="str">
        <f t="shared" si="97"/>
        <v/>
      </c>
      <c r="AF319" s="610" t="str">
        <f t="shared" si="98"/>
        <v/>
      </c>
      <c r="AG319" s="610" t="str">
        <f t="shared" si="99"/>
        <v/>
      </c>
      <c r="AH319" s="608" t="str">
        <f t="shared" si="100"/>
        <v/>
      </c>
      <c r="AI319" s="610" t="str">
        <f t="shared" si="101"/>
        <v/>
      </c>
    </row>
    <row r="320" spans="2:35" x14ac:dyDescent="0.25">
      <c r="B320" s="209">
        <v>287</v>
      </c>
      <c r="C320" s="480"/>
      <c r="D320" s="480"/>
      <c r="E320" s="481"/>
      <c r="F320" s="480"/>
      <c r="G320" s="480"/>
      <c r="H320" s="607" t="str">
        <f t="shared" si="86"/>
        <v/>
      </c>
      <c r="I320" s="607" t="str">
        <f t="shared" si="87"/>
        <v/>
      </c>
      <c r="J320" s="607" t="str">
        <f t="shared" si="88"/>
        <v/>
      </c>
      <c r="K320" s="208" t="str">
        <f t="shared" si="89"/>
        <v/>
      </c>
      <c r="L320" s="208" t="str">
        <f t="shared" si="90"/>
        <v/>
      </c>
      <c r="M320" s="208" t="str">
        <f t="shared" si="102"/>
        <v/>
      </c>
      <c r="N320" s="608" t="str">
        <f>IF($D$3="", "", IFERROR(VLOOKUP(L320,'PIPE INCENTIVE'!$B$4:$E$19,2,FALSE),""))</f>
        <v/>
      </c>
      <c r="O320" s="608" t="str">
        <f t="shared" si="103"/>
        <v/>
      </c>
      <c r="P320" s="208" t="str">
        <f t="shared" si="104"/>
        <v/>
      </c>
      <c r="Q320" s="208" t="str">
        <f t="shared" si="91"/>
        <v/>
      </c>
      <c r="R320" s="609" t="str">
        <f t="shared" si="92"/>
        <v/>
      </c>
      <c r="S320" s="609" t="str">
        <f t="shared" si="93"/>
        <v/>
      </c>
      <c r="T320" s="609" t="str">
        <f t="shared" si="94"/>
        <v/>
      </c>
      <c r="U320" s="609" t="str" cm="1">
        <f t="array" ref="U320">IFERROR(IF($D$3="","",_xlfn.LET(_xlpm.Mixed,AND(COUNTIF($G$34:$G$533,"Heating_Hot_Water")&gt;0,(COUNTIF($G$34:$G$533,"Steam_Low_Pressure") + COUNTIF($G$34:$G$533,"Steam_Medium_Pressure") + COUNTIF($G$34:$G$533,"Steam_High_Pressure"))&gt;0),_xlpm.fluid, G320,_xlpm.fuel, K320,_xlpm.load,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0" s="609" t="str">
        <f t="shared" si="105"/>
        <v/>
      </c>
      <c r="W320" s="482"/>
      <c r="X320" s="397" t="str" cm="1">
        <f t="array" ref="X320">IFERROR(IF($D$3="","", _xlfn.XLOOKUP(1,($AR$36:$AR$53=F320)*($AS$36:$AS$53=G320), INDEX($AT$36:$BJ$53,,_xlfn.XMATCH(E320,$AT$35:$BJ$35)))),"")</f>
        <v/>
      </c>
      <c r="Y320" s="480"/>
      <c r="Z320" s="482"/>
      <c r="AA320" s="607" t="str" cm="1">
        <f t="array" ref="AA320">IFERROR(IF($D$3="", "", _xlfn.LET(_xlpm.dia, E320, _xlpm.thk, Z320, _xlpm.temp, I320,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0" s="397" t="str" cm="1">
        <f t="array" ref="AB320">IFERROR(IF($D$3="", "", _xlfn.XLOOKUP(1,($AR$57:$AR$76=Y320)*($AS$57:$AS$76=Z320), INDEX($AT$57:$BJ$76,,_xlfn.XMATCH(E320,$AT$56:$BJ$56)))),"")</f>
        <v/>
      </c>
      <c r="AC320" s="208" t="str">
        <f t="shared" si="95"/>
        <v/>
      </c>
      <c r="AD320" s="397" t="str">
        <f t="shared" si="96"/>
        <v/>
      </c>
      <c r="AE320" s="610" t="str">
        <f t="shared" si="97"/>
        <v/>
      </c>
      <c r="AF320" s="610" t="str">
        <f t="shared" si="98"/>
        <v/>
      </c>
      <c r="AG320" s="610" t="str">
        <f t="shared" si="99"/>
        <v/>
      </c>
      <c r="AH320" s="608" t="str">
        <f t="shared" si="100"/>
        <v/>
      </c>
      <c r="AI320" s="610" t="str">
        <f t="shared" si="101"/>
        <v/>
      </c>
    </row>
    <row r="321" spans="2:35" x14ac:dyDescent="0.25">
      <c r="B321" s="209">
        <v>288</v>
      </c>
      <c r="C321" s="480"/>
      <c r="D321" s="480"/>
      <c r="E321" s="481"/>
      <c r="F321" s="480"/>
      <c r="G321" s="480"/>
      <c r="H321" s="607" t="str">
        <f t="shared" si="86"/>
        <v/>
      </c>
      <c r="I321" s="607" t="str">
        <f t="shared" si="87"/>
        <v/>
      </c>
      <c r="J321" s="607" t="str">
        <f t="shared" si="88"/>
        <v/>
      </c>
      <c r="K321" s="208" t="str">
        <f t="shared" si="89"/>
        <v/>
      </c>
      <c r="L321" s="208" t="str">
        <f t="shared" si="90"/>
        <v/>
      </c>
      <c r="M321" s="208" t="str">
        <f t="shared" si="102"/>
        <v/>
      </c>
      <c r="N321" s="608" t="str">
        <f>IF($D$3="", "", IFERROR(VLOOKUP(L321,'PIPE INCENTIVE'!$B$4:$E$19,2,FALSE),""))</f>
        <v/>
      </c>
      <c r="O321" s="608" t="str">
        <f t="shared" si="103"/>
        <v/>
      </c>
      <c r="P321" s="208" t="str">
        <f t="shared" si="104"/>
        <v/>
      </c>
      <c r="Q321" s="208" t="str">
        <f t="shared" si="91"/>
        <v/>
      </c>
      <c r="R321" s="609" t="str">
        <f t="shared" si="92"/>
        <v/>
      </c>
      <c r="S321" s="609" t="str">
        <f t="shared" si="93"/>
        <v/>
      </c>
      <c r="T321" s="609" t="str">
        <f t="shared" si="94"/>
        <v/>
      </c>
      <c r="U321" s="609" t="str" cm="1">
        <f t="array" ref="U321">IFERROR(IF($D$3="","",_xlfn.LET(_xlpm.Mixed,AND(COUNTIF($G$34:$G$533,"Heating_Hot_Water")&gt;0,(COUNTIF($G$34:$G$533,"Steam_Low_Pressure") + COUNTIF($G$34:$G$533,"Steam_Medium_Pressure") + COUNTIF($G$34:$G$533,"Steam_High_Pressure"))&gt;0),_xlpm.fluid, G321,_xlpm.fuel, K321,_xlpm.load,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1" s="609" t="str">
        <f t="shared" si="105"/>
        <v/>
      </c>
      <c r="W321" s="482"/>
      <c r="X321" s="397" t="str" cm="1">
        <f t="array" ref="X321">IFERROR(IF($D$3="","", _xlfn.XLOOKUP(1,($AR$36:$AR$53=F321)*($AS$36:$AS$53=G321), INDEX($AT$36:$BJ$53,,_xlfn.XMATCH(E321,$AT$35:$BJ$35)))),"")</f>
        <v/>
      </c>
      <c r="Y321" s="480"/>
      <c r="Z321" s="482"/>
      <c r="AA321" s="607" t="str" cm="1">
        <f t="array" ref="AA321">IFERROR(IF($D$3="", "", _xlfn.LET(_xlpm.dia, E321, _xlpm.thk, Z321, _xlpm.temp, I321,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1" s="397" t="str" cm="1">
        <f t="array" ref="AB321">IFERROR(IF($D$3="", "", _xlfn.XLOOKUP(1,($AR$57:$AR$76=Y321)*($AS$57:$AS$76=Z321), INDEX($AT$57:$BJ$76,,_xlfn.XMATCH(E321,$AT$56:$BJ$56)))),"")</f>
        <v/>
      </c>
      <c r="AC321" s="208" t="str">
        <f t="shared" si="95"/>
        <v/>
      </c>
      <c r="AD321" s="397" t="str">
        <f t="shared" si="96"/>
        <v/>
      </c>
      <c r="AE321" s="610" t="str">
        <f t="shared" si="97"/>
        <v/>
      </c>
      <c r="AF321" s="610" t="str">
        <f t="shared" si="98"/>
        <v/>
      </c>
      <c r="AG321" s="610" t="str">
        <f t="shared" si="99"/>
        <v/>
      </c>
      <c r="AH321" s="608" t="str">
        <f t="shared" si="100"/>
        <v/>
      </c>
      <c r="AI321" s="610" t="str">
        <f t="shared" si="101"/>
        <v/>
      </c>
    </row>
    <row r="322" spans="2:35" x14ac:dyDescent="0.25">
      <c r="B322" s="209">
        <v>289</v>
      </c>
      <c r="C322" s="480"/>
      <c r="D322" s="480"/>
      <c r="E322" s="481"/>
      <c r="F322" s="480"/>
      <c r="G322" s="480"/>
      <c r="H322" s="607" t="str">
        <f t="shared" si="86"/>
        <v/>
      </c>
      <c r="I322" s="607" t="str">
        <f t="shared" si="87"/>
        <v/>
      </c>
      <c r="J322" s="607" t="str">
        <f t="shared" si="88"/>
        <v/>
      </c>
      <c r="K322" s="208" t="str">
        <f t="shared" si="89"/>
        <v/>
      </c>
      <c r="L322" s="208" t="str">
        <f t="shared" si="90"/>
        <v/>
      </c>
      <c r="M322" s="208" t="str">
        <f t="shared" si="102"/>
        <v/>
      </c>
      <c r="N322" s="608" t="str">
        <f>IF($D$3="", "", IFERROR(VLOOKUP(L322,'PIPE INCENTIVE'!$B$4:$E$19,2,FALSE),""))</f>
        <v/>
      </c>
      <c r="O322" s="608" t="str">
        <f t="shared" si="103"/>
        <v/>
      </c>
      <c r="P322" s="208" t="str">
        <f t="shared" si="104"/>
        <v/>
      </c>
      <c r="Q322" s="208" t="str">
        <f t="shared" si="91"/>
        <v/>
      </c>
      <c r="R322" s="609" t="str">
        <f t="shared" si="92"/>
        <v/>
      </c>
      <c r="S322" s="609" t="str">
        <f t="shared" si="93"/>
        <v/>
      </c>
      <c r="T322" s="609" t="str">
        <f t="shared" si="94"/>
        <v/>
      </c>
      <c r="U322" s="609" t="str" cm="1">
        <f t="array" ref="U322">IFERROR(IF($D$3="","",_xlfn.LET(_xlpm.Mixed,AND(COUNTIF($G$34:$G$533,"Heating_Hot_Water")&gt;0,(COUNTIF($G$34:$G$533,"Steam_Low_Pressure") + COUNTIF($G$34:$G$533,"Steam_Medium_Pressure") + COUNTIF($G$34:$G$533,"Steam_High_Pressure"))&gt;0),_xlpm.fluid, G322,_xlpm.fuel, K322,_xlpm.load,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2" s="609" t="str">
        <f t="shared" si="105"/>
        <v/>
      </c>
      <c r="W322" s="482"/>
      <c r="X322" s="397" t="str" cm="1">
        <f t="array" ref="X322">IFERROR(IF($D$3="","", _xlfn.XLOOKUP(1,($AR$36:$AR$53=F322)*($AS$36:$AS$53=G322), INDEX($AT$36:$BJ$53,,_xlfn.XMATCH(E322,$AT$35:$BJ$35)))),"")</f>
        <v/>
      </c>
      <c r="Y322" s="480"/>
      <c r="Z322" s="482"/>
      <c r="AA322" s="607" t="str" cm="1">
        <f t="array" ref="AA322">IFERROR(IF($D$3="", "", _xlfn.LET(_xlpm.dia, E322, _xlpm.thk, Z322, _xlpm.temp, I322,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2" s="397" t="str" cm="1">
        <f t="array" ref="AB322">IFERROR(IF($D$3="", "", _xlfn.XLOOKUP(1,($AR$57:$AR$76=Y322)*($AS$57:$AS$76=Z322), INDEX($AT$57:$BJ$76,,_xlfn.XMATCH(E322,$AT$56:$BJ$56)))),"")</f>
        <v/>
      </c>
      <c r="AC322" s="208" t="str">
        <f t="shared" si="95"/>
        <v/>
      </c>
      <c r="AD322" s="397" t="str">
        <f t="shared" si="96"/>
        <v/>
      </c>
      <c r="AE322" s="610" t="str">
        <f t="shared" si="97"/>
        <v/>
      </c>
      <c r="AF322" s="610" t="str">
        <f t="shared" si="98"/>
        <v/>
      </c>
      <c r="AG322" s="610" t="str">
        <f t="shared" si="99"/>
        <v/>
      </c>
      <c r="AH322" s="608" t="str">
        <f t="shared" si="100"/>
        <v/>
      </c>
      <c r="AI322" s="610" t="str">
        <f t="shared" si="101"/>
        <v/>
      </c>
    </row>
    <row r="323" spans="2:35" x14ac:dyDescent="0.25">
      <c r="B323" s="209">
        <v>290</v>
      </c>
      <c r="C323" s="480"/>
      <c r="D323" s="480"/>
      <c r="E323" s="481"/>
      <c r="F323" s="480"/>
      <c r="G323" s="480"/>
      <c r="H323" s="607" t="str">
        <f t="shared" si="86"/>
        <v/>
      </c>
      <c r="I323" s="607" t="str">
        <f t="shared" si="87"/>
        <v/>
      </c>
      <c r="J323" s="607" t="str">
        <f t="shared" si="88"/>
        <v/>
      </c>
      <c r="K323" s="208" t="str">
        <f t="shared" si="89"/>
        <v/>
      </c>
      <c r="L323" s="208" t="str">
        <f t="shared" si="90"/>
        <v/>
      </c>
      <c r="M323" s="208" t="str">
        <f t="shared" si="102"/>
        <v/>
      </c>
      <c r="N323" s="608" t="str">
        <f>IF($D$3="", "", IFERROR(VLOOKUP(L323,'PIPE INCENTIVE'!$B$4:$E$19,2,FALSE),""))</f>
        <v/>
      </c>
      <c r="O323" s="608" t="str">
        <f t="shared" si="103"/>
        <v/>
      </c>
      <c r="P323" s="208" t="str">
        <f t="shared" si="104"/>
        <v/>
      </c>
      <c r="Q323" s="208" t="str">
        <f t="shared" si="91"/>
        <v/>
      </c>
      <c r="R323" s="609" t="str">
        <f t="shared" si="92"/>
        <v/>
      </c>
      <c r="S323" s="609" t="str">
        <f t="shared" si="93"/>
        <v/>
      </c>
      <c r="T323" s="609" t="str">
        <f t="shared" si="94"/>
        <v/>
      </c>
      <c r="U323" s="609" t="str" cm="1">
        <f t="array" ref="U323">IFERROR(IF($D$3="","",_xlfn.LET(_xlpm.Mixed,AND(COUNTIF($G$34:$G$533,"Heating_Hot_Water")&gt;0,(COUNTIF($G$34:$G$533,"Steam_Low_Pressure") + COUNTIF($G$34:$G$533,"Steam_Medium_Pressure") + COUNTIF($G$34:$G$533,"Steam_High_Pressure"))&gt;0),_xlpm.fluid, G323,_xlpm.fuel, K323,_xlpm.load,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3" s="609" t="str">
        <f t="shared" si="105"/>
        <v/>
      </c>
      <c r="W323" s="482"/>
      <c r="X323" s="397" t="str" cm="1">
        <f t="array" ref="X323">IFERROR(IF($D$3="","", _xlfn.XLOOKUP(1,($AR$36:$AR$53=F323)*($AS$36:$AS$53=G323), INDEX($AT$36:$BJ$53,,_xlfn.XMATCH(E323,$AT$35:$BJ$35)))),"")</f>
        <v/>
      </c>
      <c r="Y323" s="480"/>
      <c r="Z323" s="482"/>
      <c r="AA323" s="607" t="str" cm="1">
        <f t="array" ref="AA323">IFERROR(IF($D$3="", "", _xlfn.LET(_xlpm.dia, E323, _xlpm.thk, Z323, _xlpm.temp, I323,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3" s="397" t="str" cm="1">
        <f t="array" ref="AB323">IFERROR(IF($D$3="", "", _xlfn.XLOOKUP(1,($AR$57:$AR$76=Y323)*($AS$57:$AS$76=Z323), INDEX($AT$57:$BJ$76,,_xlfn.XMATCH(E323,$AT$56:$BJ$56)))),"")</f>
        <v/>
      </c>
      <c r="AC323" s="208" t="str">
        <f t="shared" si="95"/>
        <v/>
      </c>
      <c r="AD323" s="397" t="str">
        <f t="shared" si="96"/>
        <v/>
      </c>
      <c r="AE323" s="610" t="str">
        <f t="shared" si="97"/>
        <v/>
      </c>
      <c r="AF323" s="610" t="str">
        <f t="shared" si="98"/>
        <v/>
      </c>
      <c r="AG323" s="610" t="str">
        <f t="shared" si="99"/>
        <v/>
      </c>
      <c r="AH323" s="608" t="str">
        <f t="shared" si="100"/>
        <v/>
      </c>
      <c r="AI323" s="610" t="str">
        <f t="shared" si="101"/>
        <v/>
      </c>
    </row>
    <row r="324" spans="2:35" x14ac:dyDescent="0.25">
      <c r="B324" s="209">
        <v>291</v>
      </c>
      <c r="C324" s="480"/>
      <c r="D324" s="480"/>
      <c r="E324" s="481"/>
      <c r="F324" s="480"/>
      <c r="G324" s="480"/>
      <c r="H324" s="607" t="str">
        <f t="shared" si="86"/>
        <v/>
      </c>
      <c r="I324" s="607" t="str">
        <f t="shared" si="87"/>
        <v/>
      </c>
      <c r="J324" s="607" t="str">
        <f t="shared" si="88"/>
        <v/>
      </c>
      <c r="K324" s="208" t="str">
        <f t="shared" si="89"/>
        <v/>
      </c>
      <c r="L324" s="208" t="str">
        <f t="shared" si="90"/>
        <v/>
      </c>
      <c r="M324" s="208" t="str">
        <f t="shared" si="102"/>
        <v/>
      </c>
      <c r="N324" s="608" t="str">
        <f>IF($D$3="", "", IFERROR(VLOOKUP(L324,'PIPE INCENTIVE'!$B$4:$E$19,2,FALSE),""))</f>
        <v/>
      </c>
      <c r="O324" s="608" t="str">
        <f t="shared" si="103"/>
        <v/>
      </c>
      <c r="P324" s="208" t="str">
        <f t="shared" si="104"/>
        <v/>
      </c>
      <c r="Q324" s="208" t="str">
        <f t="shared" si="91"/>
        <v/>
      </c>
      <c r="R324" s="609" t="str">
        <f t="shared" si="92"/>
        <v/>
      </c>
      <c r="S324" s="609" t="str">
        <f t="shared" si="93"/>
        <v/>
      </c>
      <c r="T324" s="609" t="str">
        <f t="shared" si="94"/>
        <v/>
      </c>
      <c r="U324" s="609" t="str" cm="1">
        <f t="array" ref="U324">IFERROR(IF($D$3="","",_xlfn.LET(_xlpm.Mixed,AND(COUNTIF($G$34:$G$533,"Heating_Hot_Water")&gt;0,(COUNTIF($G$34:$G$533,"Steam_Low_Pressure") + COUNTIF($G$34:$G$533,"Steam_Medium_Pressure") + COUNTIF($G$34:$G$533,"Steam_High_Pressure"))&gt;0),_xlpm.fluid, G324,_xlpm.fuel, K324,_xlpm.load,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4" s="609" t="str">
        <f t="shared" si="105"/>
        <v/>
      </c>
      <c r="W324" s="482"/>
      <c r="X324" s="397" t="str" cm="1">
        <f t="array" ref="X324">IFERROR(IF($D$3="","", _xlfn.XLOOKUP(1,($AR$36:$AR$53=F324)*($AS$36:$AS$53=G324), INDEX($AT$36:$BJ$53,,_xlfn.XMATCH(E324,$AT$35:$BJ$35)))),"")</f>
        <v/>
      </c>
      <c r="Y324" s="480"/>
      <c r="Z324" s="482"/>
      <c r="AA324" s="607" t="str" cm="1">
        <f t="array" ref="AA324">IFERROR(IF($D$3="", "", _xlfn.LET(_xlpm.dia, E324, _xlpm.thk, Z324, _xlpm.temp, I324,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4" s="397" t="str" cm="1">
        <f t="array" ref="AB324">IFERROR(IF($D$3="", "", _xlfn.XLOOKUP(1,($AR$57:$AR$76=Y324)*($AS$57:$AS$76=Z324), INDEX($AT$57:$BJ$76,,_xlfn.XMATCH(E324,$AT$56:$BJ$56)))),"")</f>
        <v/>
      </c>
      <c r="AC324" s="208" t="str">
        <f t="shared" si="95"/>
        <v/>
      </c>
      <c r="AD324" s="397" t="str">
        <f t="shared" si="96"/>
        <v/>
      </c>
      <c r="AE324" s="610" t="str">
        <f t="shared" si="97"/>
        <v/>
      </c>
      <c r="AF324" s="610" t="str">
        <f t="shared" si="98"/>
        <v/>
      </c>
      <c r="AG324" s="610" t="str">
        <f t="shared" si="99"/>
        <v/>
      </c>
      <c r="AH324" s="608" t="str">
        <f t="shared" si="100"/>
        <v/>
      </c>
      <c r="AI324" s="610" t="str">
        <f t="shared" si="101"/>
        <v/>
      </c>
    </row>
    <row r="325" spans="2:35" x14ac:dyDescent="0.25">
      <c r="B325" s="209">
        <v>292</v>
      </c>
      <c r="C325" s="480"/>
      <c r="D325" s="480"/>
      <c r="E325" s="481"/>
      <c r="F325" s="480"/>
      <c r="G325" s="480"/>
      <c r="H325" s="607" t="str">
        <f t="shared" si="86"/>
        <v/>
      </c>
      <c r="I325" s="607" t="str">
        <f t="shared" si="87"/>
        <v/>
      </c>
      <c r="J325" s="607" t="str">
        <f t="shared" si="88"/>
        <v/>
      </c>
      <c r="K325" s="208" t="str">
        <f t="shared" si="89"/>
        <v/>
      </c>
      <c r="L325" s="208" t="str">
        <f t="shared" si="90"/>
        <v/>
      </c>
      <c r="M325" s="208" t="str">
        <f t="shared" si="102"/>
        <v/>
      </c>
      <c r="N325" s="608" t="str">
        <f>IF($D$3="", "", IFERROR(VLOOKUP(L325,'PIPE INCENTIVE'!$B$4:$E$19,2,FALSE),""))</f>
        <v/>
      </c>
      <c r="O325" s="608" t="str">
        <f t="shared" si="103"/>
        <v/>
      </c>
      <c r="P325" s="208" t="str">
        <f t="shared" si="104"/>
        <v/>
      </c>
      <c r="Q325" s="208" t="str">
        <f t="shared" si="91"/>
        <v/>
      </c>
      <c r="R325" s="609" t="str">
        <f t="shared" si="92"/>
        <v/>
      </c>
      <c r="S325" s="609" t="str">
        <f t="shared" si="93"/>
        <v/>
      </c>
      <c r="T325" s="609" t="str">
        <f t="shared" si="94"/>
        <v/>
      </c>
      <c r="U325" s="609" t="str" cm="1">
        <f t="array" ref="U325">IFERROR(IF($D$3="","",_xlfn.LET(_xlpm.Mixed,AND(COUNTIF($G$34:$G$533,"Heating_Hot_Water")&gt;0,(COUNTIF($G$34:$G$533,"Steam_Low_Pressure") + COUNTIF($G$34:$G$533,"Steam_Medium_Pressure") + COUNTIF($G$34:$G$533,"Steam_High_Pressure"))&gt;0),_xlpm.fluid, G325,_xlpm.fuel, K325,_xlpm.load,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5" s="609" t="str">
        <f t="shared" si="105"/>
        <v/>
      </c>
      <c r="W325" s="482"/>
      <c r="X325" s="397" t="str" cm="1">
        <f t="array" ref="X325">IFERROR(IF($D$3="","", _xlfn.XLOOKUP(1,($AR$36:$AR$53=F325)*($AS$36:$AS$53=G325), INDEX($AT$36:$BJ$53,,_xlfn.XMATCH(E325,$AT$35:$BJ$35)))),"")</f>
        <v/>
      </c>
      <c r="Y325" s="480"/>
      <c r="Z325" s="482"/>
      <c r="AA325" s="607" t="str" cm="1">
        <f t="array" ref="AA325">IFERROR(IF($D$3="", "", _xlfn.LET(_xlpm.dia, E325, _xlpm.thk, Z325, _xlpm.temp, I325,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5" s="397" t="str" cm="1">
        <f t="array" ref="AB325">IFERROR(IF($D$3="", "", _xlfn.XLOOKUP(1,($AR$57:$AR$76=Y325)*($AS$57:$AS$76=Z325), INDEX($AT$57:$BJ$76,,_xlfn.XMATCH(E325,$AT$56:$BJ$56)))),"")</f>
        <v/>
      </c>
      <c r="AC325" s="208" t="str">
        <f t="shared" si="95"/>
        <v/>
      </c>
      <c r="AD325" s="397" t="str">
        <f t="shared" si="96"/>
        <v/>
      </c>
      <c r="AE325" s="610" t="str">
        <f t="shared" si="97"/>
        <v/>
      </c>
      <c r="AF325" s="610" t="str">
        <f t="shared" si="98"/>
        <v/>
      </c>
      <c r="AG325" s="610" t="str">
        <f t="shared" si="99"/>
        <v/>
      </c>
      <c r="AH325" s="608" t="str">
        <f t="shared" si="100"/>
        <v/>
      </c>
      <c r="AI325" s="610" t="str">
        <f t="shared" si="101"/>
        <v/>
      </c>
    </row>
    <row r="326" spans="2:35" x14ac:dyDescent="0.25">
      <c r="B326" s="209">
        <v>293</v>
      </c>
      <c r="C326" s="480"/>
      <c r="D326" s="480"/>
      <c r="E326" s="481"/>
      <c r="F326" s="480"/>
      <c r="G326" s="480"/>
      <c r="H326" s="607" t="str">
        <f t="shared" si="86"/>
        <v/>
      </c>
      <c r="I326" s="607" t="str">
        <f t="shared" si="87"/>
        <v/>
      </c>
      <c r="J326" s="607" t="str">
        <f t="shared" si="88"/>
        <v/>
      </c>
      <c r="K326" s="208" t="str">
        <f t="shared" si="89"/>
        <v/>
      </c>
      <c r="L326" s="208" t="str">
        <f t="shared" si="90"/>
        <v/>
      </c>
      <c r="M326" s="208" t="str">
        <f t="shared" si="102"/>
        <v/>
      </c>
      <c r="N326" s="608" t="str">
        <f>IF($D$3="", "", IFERROR(VLOOKUP(L326,'PIPE INCENTIVE'!$B$4:$E$19,2,FALSE),""))</f>
        <v/>
      </c>
      <c r="O326" s="608" t="str">
        <f t="shared" si="103"/>
        <v/>
      </c>
      <c r="P326" s="208" t="str">
        <f t="shared" si="104"/>
        <v/>
      </c>
      <c r="Q326" s="208" t="str">
        <f t="shared" si="91"/>
        <v/>
      </c>
      <c r="R326" s="609" t="str">
        <f t="shared" si="92"/>
        <v/>
      </c>
      <c r="S326" s="609" t="str">
        <f t="shared" si="93"/>
        <v/>
      </c>
      <c r="T326" s="609" t="str">
        <f t="shared" si="94"/>
        <v/>
      </c>
      <c r="U326" s="609" t="str" cm="1">
        <f t="array" ref="U326">IFERROR(IF($D$3="","",_xlfn.LET(_xlpm.Mixed,AND(COUNTIF($G$34:$G$533,"Heating_Hot_Water")&gt;0,(COUNTIF($G$34:$G$533,"Steam_Low_Pressure") + COUNTIF($G$34:$G$533,"Steam_Medium_Pressure") + COUNTIF($G$34:$G$533,"Steam_High_Pressure"))&gt;0),_xlpm.fluid, G326,_xlpm.fuel, K326,_xlpm.load,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6" s="609" t="str">
        <f t="shared" si="105"/>
        <v/>
      </c>
      <c r="W326" s="482"/>
      <c r="X326" s="397" t="str" cm="1">
        <f t="array" ref="X326">IFERROR(IF($D$3="","", _xlfn.XLOOKUP(1,($AR$36:$AR$53=F326)*($AS$36:$AS$53=G326), INDEX($AT$36:$BJ$53,,_xlfn.XMATCH(E326,$AT$35:$BJ$35)))),"")</f>
        <v/>
      </c>
      <c r="Y326" s="480"/>
      <c r="Z326" s="482"/>
      <c r="AA326" s="607" t="str" cm="1">
        <f t="array" ref="AA326">IFERROR(IF($D$3="", "", _xlfn.LET(_xlpm.dia, E326, _xlpm.thk, Z326, _xlpm.temp, I326,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6" s="397" t="str" cm="1">
        <f t="array" ref="AB326">IFERROR(IF($D$3="", "", _xlfn.XLOOKUP(1,($AR$57:$AR$76=Y326)*($AS$57:$AS$76=Z326), INDEX($AT$57:$BJ$76,,_xlfn.XMATCH(E326,$AT$56:$BJ$56)))),"")</f>
        <v/>
      </c>
      <c r="AC326" s="208" t="str">
        <f t="shared" si="95"/>
        <v/>
      </c>
      <c r="AD326" s="397" t="str">
        <f t="shared" si="96"/>
        <v/>
      </c>
      <c r="AE326" s="610" t="str">
        <f t="shared" si="97"/>
        <v/>
      </c>
      <c r="AF326" s="610" t="str">
        <f t="shared" si="98"/>
        <v/>
      </c>
      <c r="AG326" s="610" t="str">
        <f t="shared" si="99"/>
        <v/>
      </c>
      <c r="AH326" s="608" t="str">
        <f t="shared" si="100"/>
        <v/>
      </c>
      <c r="AI326" s="610" t="str">
        <f t="shared" si="101"/>
        <v/>
      </c>
    </row>
    <row r="327" spans="2:35" x14ac:dyDescent="0.25">
      <c r="B327" s="209">
        <v>294</v>
      </c>
      <c r="C327" s="480"/>
      <c r="D327" s="480"/>
      <c r="E327" s="481"/>
      <c r="F327" s="480"/>
      <c r="G327" s="480"/>
      <c r="H327" s="607" t="str">
        <f t="shared" si="86"/>
        <v/>
      </c>
      <c r="I327" s="607" t="str">
        <f t="shared" si="87"/>
        <v/>
      </c>
      <c r="J327" s="607" t="str">
        <f t="shared" si="88"/>
        <v/>
      </c>
      <c r="K327" s="208" t="str">
        <f t="shared" si="89"/>
        <v/>
      </c>
      <c r="L327" s="208" t="str">
        <f t="shared" si="90"/>
        <v/>
      </c>
      <c r="M327" s="208" t="str">
        <f t="shared" si="102"/>
        <v/>
      </c>
      <c r="N327" s="608" t="str">
        <f>IF($D$3="", "", IFERROR(VLOOKUP(L327,'PIPE INCENTIVE'!$B$4:$E$19,2,FALSE),""))</f>
        <v/>
      </c>
      <c r="O327" s="608" t="str">
        <f t="shared" si="103"/>
        <v/>
      </c>
      <c r="P327" s="208" t="str">
        <f t="shared" si="104"/>
        <v/>
      </c>
      <c r="Q327" s="208" t="str">
        <f t="shared" si="91"/>
        <v/>
      </c>
      <c r="R327" s="609" t="str">
        <f t="shared" si="92"/>
        <v/>
      </c>
      <c r="S327" s="609" t="str">
        <f t="shared" si="93"/>
        <v/>
      </c>
      <c r="T327" s="609" t="str">
        <f t="shared" si="94"/>
        <v/>
      </c>
      <c r="U327" s="609" t="str" cm="1">
        <f t="array" ref="U327">IFERROR(IF($D$3="","",_xlfn.LET(_xlpm.Mixed,AND(COUNTIF($G$34:$G$533,"Heating_Hot_Water")&gt;0,(COUNTIF($G$34:$G$533,"Steam_Low_Pressure") + COUNTIF($G$34:$G$533,"Steam_Medium_Pressure") + COUNTIF($G$34:$G$533,"Steam_High_Pressure"))&gt;0),_xlpm.fluid, G327,_xlpm.fuel, K327,_xlpm.load,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7" s="609" t="str">
        <f t="shared" si="105"/>
        <v/>
      </c>
      <c r="W327" s="482"/>
      <c r="X327" s="397" t="str" cm="1">
        <f t="array" ref="X327">IFERROR(IF($D$3="","", _xlfn.XLOOKUP(1,($AR$36:$AR$53=F327)*($AS$36:$AS$53=G327), INDEX($AT$36:$BJ$53,,_xlfn.XMATCH(E327,$AT$35:$BJ$35)))),"")</f>
        <v/>
      </c>
      <c r="Y327" s="480"/>
      <c r="Z327" s="482"/>
      <c r="AA327" s="607" t="str" cm="1">
        <f t="array" ref="AA327">IFERROR(IF($D$3="", "", _xlfn.LET(_xlpm.dia, E327, _xlpm.thk, Z327, _xlpm.temp, I327,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7" s="397" t="str" cm="1">
        <f t="array" ref="AB327">IFERROR(IF($D$3="", "", _xlfn.XLOOKUP(1,($AR$57:$AR$76=Y327)*($AS$57:$AS$76=Z327), INDEX($AT$57:$BJ$76,,_xlfn.XMATCH(E327,$AT$56:$BJ$56)))),"")</f>
        <v/>
      </c>
      <c r="AC327" s="208" t="str">
        <f t="shared" si="95"/>
        <v/>
      </c>
      <c r="AD327" s="397" t="str">
        <f t="shared" si="96"/>
        <v/>
      </c>
      <c r="AE327" s="610" t="str">
        <f t="shared" si="97"/>
        <v/>
      </c>
      <c r="AF327" s="610" t="str">
        <f t="shared" si="98"/>
        <v/>
      </c>
      <c r="AG327" s="610" t="str">
        <f t="shared" si="99"/>
        <v/>
      </c>
      <c r="AH327" s="608" t="str">
        <f t="shared" si="100"/>
        <v/>
      </c>
      <c r="AI327" s="610" t="str">
        <f t="shared" si="101"/>
        <v/>
      </c>
    </row>
    <row r="328" spans="2:35" x14ac:dyDescent="0.25">
      <c r="B328" s="209">
        <v>295</v>
      </c>
      <c r="C328" s="480"/>
      <c r="D328" s="480"/>
      <c r="E328" s="481"/>
      <c r="F328" s="480"/>
      <c r="G328" s="480"/>
      <c r="H328" s="607" t="str">
        <f t="shared" si="86"/>
        <v/>
      </c>
      <c r="I328" s="607" t="str">
        <f t="shared" si="87"/>
        <v/>
      </c>
      <c r="J328" s="607" t="str">
        <f t="shared" si="88"/>
        <v/>
      </c>
      <c r="K328" s="208" t="str">
        <f t="shared" si="89"/>
        <v/>
      </c>
      <c r="L328" s="208" t="str">
        <f t="shared" si="90"/>
        <v/>
      </c>
      <c r="M328" s="208" t="str">
        <f t="shared" si="102"/>
        <v/>
      </c>
      <c r="N328" s="608" t="str">
        <f>IF($D$3="", "", IFERROR(VLOOKUP(L328,'PIPE INCENTIVE'!$B$4:$E$19,2,FALSE),""))</f>
        <v/>
      </c>
      <c r="O328" s="608" t="str">
        <f t="shared" si="103"/>
        <v/>
      </c>
      <c r="P328" s="208" t="str">
        <f t="shared" si="104"/>
        <v/>
      </c>
      <c r="Q328" s="208" t="str">
        <f t="shared" si="91"/>
        <v/>
      </c>
      <c r="R328" s="609" t="str">
        <f t="shared" si="92"/>
        <v/>
      </c>
      <c r="S328" s="609" t="str">
        <f t="shared" si="93"/>
        <v/>
      </c>
      <c r="T328" s="609" t="str">
        <f t="shared" si="94"/>
        <v/>
      </c>
      <c r="U328" s="609" t="str" cm="1">
        <f t="array" ref="U328">IFERROR(IF($D$3="","",_xlfn.LET(_xlpm.Mixed,AND(COUNTIF($G$34:$G$533,"Heating_Hot_Water")&gt;0,(COUNTIF($G$34:$G$533,"Steam_Low_Pressure") + COUNTIF($G$34:$G$533,"Steam_Medium_Pressure") + COUNTIF($G$34:$G$533,"Steam_High_Pressure"))&gt;0),_xlpm.fluid, G328,_xlpm.fuel, K328,_xlpm.load,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8" s="609" t="str">
        <f t="shared" si="105"/>
        <v/>
      </c>
      <c r="W328" s="482"/>
      <c r="X328" s="397" t="str" cm="1">
        <f t="array" ref="X328">IFERROR(IF($D$3="","", _xlfn.XLOOKUP(1,($AR$36:$AR$53=F328)*($AS$36:$AS$53=G328), INDEX($AT$36:$BJ$53,,_xlfn.XMATCH(E328,$AT$35:$BJ$35)))),"")</f>
        <v/>
      </c>
      <c r="Y328" s="480"/>
      <c r="Z328" s="482"/>
      <c r="AA328" s="607" t="str" cm="1">
        <f t="array" ref="AA328">IFERROR(IF($D$3="", "", _xlfn.LET(_xlpm.dia, E328, _xlpm.thk, Z328, _xlpm.temp, I328,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8" s="397" t="str" cm="1">
        <f t="array" ref="AB328">IFERROR(IF($D$3="", "", _xlfn.XLOOKUP(1,($AR$57:$AR$76=Y328)*($AS$57:$AS$76=Z328), INDEX($AT$57:$BJ$76,,_xlfn.XMATCH(E328,$AT$56:$BJ$56)))),"")</f>
        <v/>
      </c>
      <c r="AC328" s="208" t="str">
        <f t="shared" si="95"/>
        <v/>
      </c>
      <c r="AD328" s="397" t="str">
        <f t="shared" si="96"/>
        <v/>
      </c>
      <c r="AE328" s="610" t="str">
        <f t="shared" si="97"/>
        <v/>
      </c>
      <c r="AF328" s="610" t="str">
        <f t="shared" si="98"/>
        <v/>
      </c>
      <c r="AG328" s="610" t="str">
        <f t="shared" si="99"/>
        <v/>
      </c>
      <c r="AH328" s="608" t="str">
        <f t="shared" si="100"/>
        <v/>
      </c>
      <c r="AI328" s="610" t="str">
        <f t="shared" si="101"/>
        <v/>
      </c>
    </row>
    <row r="329" spans="2:35" x14ac:dyDescent="0.25">
      <c r="B329" s="209">
        <v>296</v>
      </c>
      <c r="C329" s="480"/>
      <c r="D329" s="480"/>
      <c r="E329" s="481"/>
      <c r="F329" s="480"/>
      <c r="G329" s="480"/>
      <c r="H329" s="607" t="str">
        <f t="shared" si="86"/>
        <v/>
      </c>
      <c r="I329" s="607" t="str">
        <f t="shared" si="87"/>
        <v/>
      </c>
      <c r="J329" s="607" t="str">
        <f t="shared" si="88"/>
        <v/>
      </c>
      <c r="K329" s="208" t="str">
        <f t="shared" si="89"/>
        <v/>
      </c>
      <c r="L329" s="208" t="str">
        <f t="shared" si="90"/>
        <v/>
      </c>
      <c r="M329" s="208" t="str">
        <f t="shared" si="102"/>
        <v/>
      </c>
      <c r="N329" s="608" t="str">
        <f>IF($D$3="", "", IFERROR(VLOOKUP(L329,'PIPE INCENTIVE'!$B$4:$E$19,2,FALSE),""))</f>
        <v/>
      </c>
      <c r="O329" s="608" t="str">
        <f t="shared" si="103"/>
        <v/>
      </c>
      <c r="P329" s="208" t="str">
        <f t="shared" si="104"/>
        <v/>
      </c>
      <c r="Q329" s="208" t="str">
        <f t="shared" si="91"/>
        <v/>
      </c>
      <c r="R329" s="609" t="str">
        <f t="shared" si="92"/>
        <v/>
      </c>
      <c r="S329" s="609" t="str">
        <f t="shared" si="93"/>
        <v/>
      </c>
      <c r="T329" s="609" t="str">
        <f t="shared" si="94"/>
        <v/>
      </c>
      <c r="U329" s="609" t="str" cm="1">
        <f t="array" ref="U329">IFERROR(IF($D$3="","",_xlfn.LET(_xlpm.Mixed,AND(COUNTIF($G$34:$G$533,"Heating_Hot_Water")&gt;0,(COUNTIF($G$34:$G$533,"Steam_Low_Pressure") + COUNTIF($G$34:$G$533,"Steam_Medium_Pressure") + COUNTIF($G$34:$G$533,"Steam_High_Pressure"))&gt;0),_xlpm.fluid, G329,_xlpm.fuel, K329,_xlpm.load,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29" s="609" t="str">
        <f t="shared" si="105"/>
        <v/>
      </c>
      <c r="W329" s="482"/>
      <c r="X329" s="397" t="str" cm="1">
        <f t="array" ref="X329">IFERROR(IF($D$3="","", _xlfn.XLOOKUP(1,($AR$36:$AR$53=F329)*($AS$36:$AS$53=G329), INDEX($AT$36:$BJ$53,,_xlfn.XMATCH(E329,$AT$35:$BJ$35)))),"")</f>
        <v/>
      </c>
      <c r="Y329" s="480"/>
      <c r="Z329" s="482"/>
      <c r="AA329" s="607" t="str" cm="1">
        <f t="array" ref="AA329">IFERROR(IF($D$3="", "", _xlfn.LET(_xlpm.dia, E329, _xlpm.thk, Z329, _xlpm.temp, I329,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29" s="397" t="str" cm="1">
        <f t="array" ref="AB329">IFERROR(IF($D$3="", "", _xlfn.XLOOKUP(1,($AR$57:$AR$76=Y329)*($AS$57:$AS$76=Z329), INDEX($AT$57:$BJ$76,,_xlfn.XMATCH(E329,$AT$56:$BJ$56)))),"")</f>
        <v/>
      </c>
      <c r="AC329" s="208" t="str">
        <f t="shared" si="95"/>
        <v/>
      </c>
      <c r="AD329" s="397" t="str">
        <f t="shared" si="96"/>
        <v/>
      </c>
      <c r="AE329" s="610" t="str">
        <f t="shared" si="97"/>
        <v/>
      </c>
      <c r="AF329" s="610" t="str">
        <f t="shared" si="98"/>
        <v/>
      </c>
      <c r="AG329" s="610" t="str">
        <f t="shared" si="99"/>
        <v/>
      </c>
      <c r="AH329" s="608" t="str">
        <f t="shared" si="100"/>
        <v/>
      </c>
      <c r="AI329" s="610" t="str">
        <f t="shared" si="101"/>
        <v/>
      </c>
    </row>
    <row r="330" spans="2:35" x14ac:dyDescent="0.25">
      <c r="B330" s="209">
        <v>297</v>
      </c>
      <c r="C330" s="480"/>
      <c r="D330" s="480"/>
      <c r="E330" s="481"/>
      <c r="F330" s="480"/>
      <c r="G330" s="480"/>
      <c r="H330" s="607" t="str">
        <f t="shared" si="86"/>
        <v/>
      </c>
      <c r="I330" s="607" t="str">
        <f t="shared" si="87"/>
        <v/>
      </c>
      <c r="J330" s="607" t="str">
        <f t="shared" si="88"/>
        <v/>
      </c>
      <c r="K330" s="208" t="str">
        <f t="shared" si="89"/>
        <v/>
      </c>
      <c r="L330" s="208" t="str">
        <f t="shared" si="90"/>
        <v/>
      </c>
      <c r="M330" s="208" t="str">
        <f t="shared" si="102"/>
        <v/>
      </c>
      <c r="N330" s="608" t="str">
        <f>IF($D$3="", "", IFERROR(VLOOKUP(L330,'PIPE INCENTIVE'!$B$4:$E$19,2,FALSE),""))</f>
        <v/>
      </c>
      <c r="O330" s="608" t="str">
        <f t="shared" si="103"/>
        <v/>
      </c>
      <c r="P330" s="208" t="str">
        <f t="shared" si="104"/>
        <v/>
      </c>
      <c r="Q330" s="208" t="str">
        <f t="shared" si="91"/>
        <v/>
      </c>
      <c r="R330" s="609" t="str">
        <f t="shared" si="92"/>
        <v/>
      </c>
      <c r="S330" s="609" t="str">
        <f t="shared" si="93"/>
        <v/>
      </c>
      <c r="T330" s="609" t="str">
        <f t="shared" si="94"/>
        <v/>
      </c>
      <c r="U330" s="609" t="str" cm="1">
        <f t="array" ref="U330">IFERROR(IF($D$3="","",_xlfn.LET(_xlpm.Mixed,AND(COUNTIF($G$34:$G$533,"Heating_Hot_Water")&gt;0,(COUNTIF($G$34:$G$533,"Steam_Low_Pressure") + COUNTIF($G$34:$G$533,"Steam_Medium_Pressure") + COUNTIF($G$34:$G$533,"Steam_High_Pressure"))&gt;0),_xlpm.fluid, G330,_xlpm.fuel, K330,_xlpm.load,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0" s="609" t="str">
        <f t="shared" si="105"/>
        <v/>
      </c>
      <c r="W330" s="482"/>
      <c r="X330" s="397" t="str" cm="1">
        <f t="array" ref="X330">IFERROR(IF($D$3="","", _xlfn.XLOOKUP(1,($AR$36:$AR$53=F330)*($AS$36:$AS$53=G330), INDEX($AT$36:$BJ$53,,_xlfn.XMATCH(E330,$AT$35:$BJ$35)))),"")</f>
        <v/>
      </c>
      <c r="Y330" s="480"/>
      <c r="Z330" s="482"/>
      <c r="AA330" s="607" t="str" cm="1">
        <f t="array" ref="AA330">IFERROR(IF($D$3="", "", _xlfn.LET(_xlpm.dia, E330, _xlpm.thk, Z330, _xlpm.temp, I330,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0" s="397" t="str" cm="1">
        <f t="array" ref="AB330">IFERROR(IF($D$3="", "", _xlfn.XLOOKUP(1,($AR$57:$AR$76=Y330)*($AS$57:$AS$76=Z330), INDEX($AT$57:$BJ$76,,_xlfn.XMATCH(E330,$AT$56:$BJ$56)))),"")</f>
        <v/>
      </c>
      <c r="AC330" s="208" t="str">
        <f t="shared" si="95"/>
        <v/>
      </c>
      <c r="AD330" s="397" t="str">
        <f t="shared" si="96"/>
        <v/>
      </c>
      <c r="AE330" s="610" t="str">
        <f t="shared" si="97"/>
        <v/>
      </c>
      <c r="AF330" s="610" t="str">
        <f t="shared" si="98"/>
        <v/>
      </c>
      <c r="AG330" s="610" t="str">
        <f t="shared" si="99"/>
        <v/>
      </c>
      <c r="AH330" s="608" t="str">
        <f t="shared" si="100"/>
        <v/>
      </c>
      <c r="AI330" s="610" t="str">
        <f t="shared" si="101"/>
        <v/>
      </c>
    </row>
    <row r="331" spans="2:35" x14ac:dyDescent="0.25">
      <c r="B331" s="209">
        <v>298</v>
      </c>
      <c r="C331" s="480"/>
      <c r="D331" s="480"/>
      <c r="E331" s="481"/>
      <c r="F331" s="480"/>
      <c r="G331" s="480"/>
      <c r="H331" s="607" t="str">
        <f t="shared" si="86"/>
        <v/>
      </c>
      <c r="I331" s="607" t="str">
        <f t="shared" si="87"/>
        <v/>
      </c>
      <c r="J331" s="607" t="str">
        <f t="shared" si="88"/>
        <v/>
      </c>
      <c r="K331" s="208" t="str">
        <f t="shared" si="89"/>
        <v/>
      </c>
      <c r="L331" s="208" t="str">
        <f t="shared" si="90"/>
        <v/>
      </c>
      <c r="M331" s="208" t="str">
        <f t="shared" si="102"/>
        <v/>
      </c>
      <c r="N331" s="608" t="str">
        <f>IF($D$3="", "", IFERROR(VLOOKUP(L331,'PIPE INCENTIVE'!$B$4:$E$19,2,FALSE),""))</f>
        <v/>
      </c>
      <c r="O331" s="608" t="str">
        <f t="shared" si="103"/>
        <v/>
      </c>
      <c r="P331" s="208" t="str">
        <f t="shared" si="104"/>
        <v/>
      </c>
      <c r="Q331" s="208" t="str">
        <f t="shared" si="91"/>
        <v/>
      </c>
      <c r="R331" s="609" t="str">
        <f t="shared" si="92"/>
        <v/>
      </c>
      <c r="S331" s="609" t="str">
        <f t="shared" si="93"/>
        <v/>
      </c>
      <c r="T331" s="609" t="str">
        <f t="shared" si="94"/>
        <v/>
      </c>
      <c r="U331" s="609" t="str" cm="1">
        <f t="array" ref="U331">IFERROR(IF($D$3="","",_xlfn.LET(_xlpm.Mixed,AND(COUNTIF($G$34:$G$533,"Heating_Hot_Water")&gt;0,(COUNTIF($G$34:$G$533,"Steam_Low_Pressure") + COUNTIF($G$34:$G$533,"Steam_Medium_Pressure") + COUNTIF($G$34:$G$533,"Steam_High_Pressure"))&gt;0),_xlpm.fluid, G331,_xlpm.fuel, K331,_xlpm.load,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1" s="609" t="str">
        <f t="shared" si="105"/>
        <v/>
      </c>
      <c r="W331" s="482"/>
      <c r="X331" s="397" t="str" cm="1">
        <f t="array" ref="X331">IFERROR(IF($D$3="","", _xlfn.XLOOKUP(1,($AR$36:$AR$53=F331)*($AS$36:$AS$53=G331), INDEX($AT$36:$BJ$53,,_xlfn.XMATCH(E331,$AT$35:$BJ$35)))),"")</f>
        <v/>
      </c>
      <c r="Y331" s="480"/>
      <c r="Z331" s="482"/>
      <c r="AA331" s="607" t="str" cm="1">
        <f t="array" ref="AA331">IFERROR(IF($D$3="", "", _xlfn.LET(_xlpm.dia, E331, _xlpm.thk, Z331, _xlpm.temp, I331,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1" s="397" t="str" cm="1">
        <f t="array" ref="AB331">IFERROR(IF($D$3="", "", _xlfn.XLOOKUP(1,($AR$57:$AR$76=Y331)*($AS$57:$AS$76=Z331), INDEX($AT$57:$BJ$76,,_xlfn.XMATCH(E331,$AT$56:$BJ$56)))),"")</f>
        <v/>
      </c>
      <c r="AC331" s="208" t="str">
        <f t="shared" si="95"/>
        <v/>
      </c>
      <c r="AD331" s="397" t="str">
        <f t="shared" si="96"/>
        <v/>
      </c>
      <c r="AE331" s="610" t="str">
        <f t="shared" si="97"/>
        <v/>
      </c>
      <c r="AF331" s="610" t="str">
        <f t="shared" si="98"/>
        <v/>
      </c>
      <c r="AG331" s="610" t="str">
        <f t="shared" si="99"/>
        <v/>
      </c>
      <c r="AH331" s="608" t="str">
        <f t="shared" si="100"/>
        <v/>
      </c>
      <c r="AI331" s="610" t="str">
        <f t="shared" si="101"/>
        <v/>
      </c>
    </row>
    <row r="332" spans="2:35" x14ac:dyDescent="0.25">
      <c r="B332" s="209">
        <v>299</v>
      </c>
      <c r="C332" s="480"/>
      <c r="D332" s="480"/>
      <c r="E332" s="481"/>
      <c r="F332" s="480"/>
      <c r="G332" s="480"/>
      <c r="H332" s="607" t="str">
        <f t="shared" si="86"/>
        <v/>
      </c>
      <c r="I332" s="607" t="str">
        <f t="shared" si="87"/>
        <v/>
      </c>
      <c r="J332" s="607" t="str">
        <f t="shared" si="88"/>
        <v/>
      </c>
      <c r="K332" s="208" t="str">
        <f t="shared" si="89"/>
        <v/>
      </c>
      <c r="L332" s="208" t="str">
        <f t="shared" si="90"/>
        <v/>
      </c>
      <c r="M332" s="208" t="str">
        <f t="shared" si="102"/>
        <v/>
      </c>
      <c r="N332" s="608" t="str">
        <f>IF($D$3="", "", IFERROR(VLOOKUP(L332,'PIPE INCENTIVE'!$B$4:$E$19,2,FALSE),""))</f>
        <v/>
      </c>
      <c r="O332" s="608" t="str">
        <f t="shared" si="103"/>
        <v/>
      </c>
      <c r="P332" s="208" t="str">
        <f t="shared" si="104"/>
        <v/>
      </c>
      <c r="Q332" s="208" t="str">
        <f t="shared" si="91"/>
        <v/>
      </c>
      <c r="R332" s="609" t="str">
        <f t="shared" si="92"/>
        <v/>
      </c>
      <c r="S332" s="609" t="str">
        <f t="shared" si="93"/>
        <v/>
      </c>
      <c r="T332" s="609" t="str">
        <f t="shared" si="94"/>
        <v/>
      </c>
      <c r="U332" s="609" t="str" cm="1">
        <f t="array" ref="U332">IFERROR(IF($D$3="","",_xlfn.LET(_xlpm.Mixed,AND(COUNTIF($G$34:$G$533,"Heating_Hot_Water")&gt;0,(COUNTIF($G$34:$G$533,"Steam_Low_Pressure") + COUNTIF($G$34:$G$533,"Steam_Medium_Pressure") + COUNTIF($G$34:$G$533,"Steam_High_Pressure"))&gt;0),_xlpm.fluid, G332,_xlpm.fuel, K332,_xlpm.load,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2" s="609" t="str">
        <f t="shared" si="105"/>
        <v/>
      </c>
      <c r="W332" s="482"/>
      <c r="X332" s="397" t="str" cm="1">
        <f t="array" ref="X332">IFERROR(IF($D$3="","", _xlfn.XLOOKUP(1,($AR$36:$AR$53=F332)*($AS$36:$AS$53=G332), INDEX($AT$36:$BJ$53,,_xlfn.XMATCH(E332,$AT$35:$BJ$35)))),"")</f>
        <v/>
      </c>
      <c r="Y332" s="480"/>
      <c r="Z332" s="482"/>
      <c r="AA332" s="607" t="str" cm="1">
        <f t="array" ref="AA332">IFERROR(IF($D$3="", "", _xlfn.LET(_xlpm.dia, E332, _xlpm.thk, Z332, _xlpm.temp, I332,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2" s="397" t="str" cm="1">
        <f t="array" ref="AB332">IFERROR(IF($D$3="", "", _xlfn.XLOOKUP(1,($AR$57:$AR$76=Y332)*($AS$57:$AS$76=Z332), INDEX($AT$57:$BJ$76,,_xlfn.XMATCH(E332,$AT$56:$BJ$56)))),"")</f>
        <v/>
      </c>
      <c r="AC332" s="208" t="str">
        <f t="shared" si="95"/>
        <v/>
      </c>
      <c r="AD332" s="397" t="str">
        <f t="shared" si="96"/>
        <v/>
      </c>
      <c r="AE332" s="610" t="str">
        <f t="shared" si="97"/>
        <v/>
      </c>
      <c r="AF332" s="610" t="str">
        <f t="shared" si="98"/>
        <v/>
      </c>
      <c r="AG332" s="610" t="str">
        <f t="shared" si="99"/>
        <v/>
      </c>
      <c r="AH332" s="608" t="str">
        <f t="shared" si="100"/>
        <v/>
      </c>
      <c r="AI332" s="610" t="str">
        <f t="shared" si="101"/>
        <v/>
      </c>
    </row>
    <row r="333" spans="2:35" x14ac:dyDescent="0.25">
      <c r="B333" s="209">
        <v>300</v>
      </c>
      <c r="C333" s="480"/>
      <c r="D333" s="480"/>
      <c r="E333" s="481"/>
      <c r="F333" s="480"/>
      <c r="G333" s="480"/>
      <c r="H333" s="607" t="str">
        <f t="shared" si="86"/>
        <v/>
      </c>
      <c r="I333" s="607" t="str">
        <f t="shared" si="87"/>
        <v/>
      </c>
      <c r="J333" s="607" t="str">
        <f t="shared" si="88"/>
        <v/>
      </c>
      <c r="K333" s="208" t="str">
        <f t="shared" si="89"/>
        <v/>
      </c>
      <c r="L333" s="208" t="str">
        <f t="shared" si="90"/>
        <v/>
      </c>
      <c r="M333" s="208" t="str">
        <f t="shared" si="102"/>
        <v/>
      </c>
      <c r="N333" s="608" t="str">
        <f>IF($D$3="", "", IFERROR(VLOOKUP(L333,'PIPE INCENTIVE'!$B$4:$E$19,2,FALSE),""))</f>
        <v/>
      </c>
      <c r="O333" s="608" t="str">
        <f t="shared" si="103"/>
        <v/>
      </c>
      <c r="P333" s="208" t="str">
        <f t="shared" si="104"/>
        <v/>
      </c>
      <c r="Q333" s="208" t="str">
        <f t="shared" si="91"/>
        <v/>
      </c>
      <c r="R333" s="609" t="str">
        <f t="shared" si="92"/>
        <v/>
      </c>
      <c r="S333" s="609" t="str">
        <f t="shared" si="93"/>
        <v/>
      </c>
      <c r="T333" s="609" t="str">
        <f t="shared" si="94"/>
        <v/>
      </c>
      <c r="U333" s="609" t="str" cm="1">
        <f t="array" ref="U333">IFERROR(IF($D$3="","",_xlfn.LET(_xlpm.Mixed,AND(COUNTIF($G$34:$G$533,"Heating_Hot_Water")&gt;0,(COUNTIF($G$34:$G$533,"Steam_Low_Pressure") + COUNTIF($G$34:$G$533,"Steam_Medium_Pressure") + COUNTIF($G$34:$G$533,"Steam_High_Pressure"))&gt;0),_xlpm.fluid, G333,_xlpm.fuel, K333,_xlpm.load,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3" s="609" t="str">
        <f t="shared" si="105"/>
        <v/>
      </c>
      <c r="W333" s="482"/>
      <c r="X333" s="397" t="str" cm="1">
        <f t="array" ref="X333">IFERROR(IF($D$3="","", _xlfn.XLOOKUP(1,($AR$36:$AR$53=F333)*($AS$36:$AS$53=G333), INDEX($AT$36:$BJ$53,,_xlfn.XMATCH(E333,$AT$35:$BJ$35)))),"")</f>
        <v/>
      </c>
      <c r="Y333" s="480"/>
      <c r="Z333" s="482"/>
      <c r="AA333" s="607" t="str" cm="1">
        <f t="array" ref="AA333">IFERROR(IF($D$3="", "", _xlfn.LET(_xlpm.dia, E333, _xlpm.thk, Z333, _xlpm.temp, I333,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3" s="397" t="str" cm="1">
        <f t="array" ref="AB333">IFERROR(IF($D$3="", "", _xlfn.XLOOKUP(1,($AR$57:$AR$76=Y333)*($AS$57:$AS$76=Z333), INDEX($AT$57:$BJ$76,,_xlfn.XMATCH(E333,$AT$56:$BJ$56)))),"")</f>
        <v/>
      </c>
      <c r="AC333" s="208" t="str">
        <f t="shared" si="95"/>
        <v/>
      </c>
      <c r="AD333" s="397" t="str">
        <f t="shared" si="96"/>
        <v/>
      </c>
      <c r="AE333" s="610" t="str">
        <f t="shared" si="97"/>
        <v/>
      </c>
      <c r="AF333" s="610" t="str">
        <f t="shared" si="98"/>
        <v/>
      </c>
      <c r="AG333" s="610" t="str">
        <f t="shared" si="99"/>
        <v/>
      </c>
      <c r="AH333" s="608" t="str">
        <f t="shared" si="100"/>
        <v/>
      </c>
      <c r="AI333" s="610" t="str">
        <f t="shared" si="101"/>
        <v/>
      </c>
    </row>
    <row r="334" spans="2:35" x14ac:dyDescent="0.25">
      <c r="B334" s="209">
        <v>301</v>
      </c>
      <c r="C334" s="480"/>
      <c r="D334" s="480"/>
      <c r="E334" s="481"/>
      <c r="F334" s="480"/>
      <c r="G334" s="480"/>
      <c r="H334" s="607" t="str">
        <f t="shared" si="86"/>
        <v/>
      </c>
      <c r="I334" s="607" t="str">
        <f t="shared" si="87"/>
        <v/>
      </c>
      <c r="J334" s="607" t="str">
        <f t="shared" si="88"/>
        <v/>
      </c>
      <c r="K334" s="208" t="str">
        <f t="shared" si="89"/>
        <v/>
      </c>
      <c r="L334" s="208" t="str">
        <f t="shared" si="90"/>
        <v/>
      </c>
      <c r="M334" s="208" t="str">
        <f t="shared" si="102"/>
        <v/>
      </c>
      <c r="N334" s="608" t="str">
        <f>IF($D$3="", "", IFERROR(VLOOKUP(L334,'PIPE INCENTIVE'!$B$4:$E$19,2,FALSE),""))</f>
        <v/>
      </c>
      <c r="O334" s="608" t="str">
        <f t="shared" si="103"/>
        <v/>
      </c>
      <c r="P334" s="208" t="str">
        <f t="shared" si="104"/>
        <v/>
      </c>
      <c r="Q334" s="208" t="str">
        <f t="shared" si="91"/>
        <v/>
      </c>
      <c r="R334" s="609" t="str">
        <f t="shared" si="92"/>
        <v/>
      </c>
      <c r="S334" s="609" t="str">
        <f t="shared" si="93"/>
        <v/>
      </c>
      <c r="T334" s="609" t="str">
        <f t="shared" si="94"/>
        <v/>
      </c>
      <c r="U334" s="609" t="str" cm="1">
        <f t="array" ref="U334">IFERROR(IF($D$3="","",_xlfn.LET(_xlpm.Mixed,AND(COUNTIF($G$34:$G$533,"Heating_Hot_Water")&gt;0,(COUNTIF($G$34:$G$533,"Steam_Low_Pressure") + COUNTIF($G$34:$G$533,"Steam_Medium_Pressure") + COUNTIF($G$34:$G$533,"Steam_High_Pressure"))&gt;0),_xlpm.fluid, G334,_xlpm.fuel, K334,_xlpm.load,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4" s="609" t="str">
        <f t="shared" si="105"/>
        <v/>
      </c>
      <c r="W334" s="482"/>
      <c r="X334" s="397" t="str" cm="1">
        <f t="array" ref="X334">IFERROR(IF($D$3="","", _xlfn.XLOOKUP(1,($AR$36:$AR$53=F334)*($AS$36:$AS$53=G334), INDEX($AT$36:$BJ$53,,_xlfn.XMATCH(E334,$AT$35:$BJ$35)))),"")</f>
        <v/>
      </c>
      <c r="Y334" s="480"/>
      <c r="Z334" s="482"/>
      <c r="AA334" s="607" t="str" cm="1">
        <f t="array" ref="AA334">IFERROR(IF($D$3="", "", _xlfn.LET(_xlpm.dia, E334, _xlpm.thk, Z334, _xlpm.temp, I334,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4" s="397" t="str" cm="1">
        <f t="array" ref="AB334">IFERROR(IF($D$3="", "", _xlfn.XLOOKUP(1,($AR$57:$AR$76=Y334)*($AS$57:$AS$76=Z334), INDEX($AT$57:$BJ$76,,_xlfn.XMATCH(E334,$AT$56:$BJ$56)))),"")</f>
        <v/>
      </c>
      <c r="AC334" s="208" t="str">
        <f t="shared" si="95"/>
        <v/>
      </c>
      <c r="AD334" s="397" t="str">
        <f t="shared" si="96"/>
        <v/>
      </c>
      <c r="AE334" s="610" t="str">
        <f t="shared" si="97"/>
        <v/>
      </c>
      <c r="AF334" s="610" t="str">
        <f t="shared" si="98"/>
        <v/>
      </c>
      <c r="AG334" s="610" t="str">
        <f t="shared" si="99"/>
        <v/>
      </c>
      <c r="AH334" s="608" t="str">
        <f t="shared" si="100"/>
        <v/>
      </c>
      <c r="AI334" s="610" t="str">
        <f t="shared" si="101"/>
        <v/>
      </c>
    </row>
    <row r="335" spans="2:35" x14ac:dyDescent="0.25">
      <c r="B335" s="209">
        <v>302</v>
      </c>
      <c r="C335" s="480"/>
      <c r="D335" s="480"/>
      <c r="E335" s="481"/>
      <c r="F335" s="480"/>
      <c r="G335" s="480"/>
      <c r="H335" s="607" t="str">
        <f t="shared" si="86"/>
        <v/>
      </c>
      <c r="I335" s="607" t="str">
        <f t="shared" si="87"/>
        <v/>
      </c>
      <c r="J335" s="607" t="str">
        <f t="shared" si="88"/>
        <v/>
      </c>
      <c r="K335" s="208" t="str">
        <f t="shared" si="89"/>
        <v/>
      </c>
      <c r="L335" s="208" t="str">
        <f t="shared" si="90"/>
        <v/>
      </c>
      <c r="M335" s="208" t="str">
        <f t="shared" si="102"/>
        <v/>
      </c>
      <c r="N335" s="608" t="str">
        <f>IF($D$3="", "", IFERROR(VLOOKUP(L335,'PIPE INCENTIVE'!$B$4:$E$19,2,FALSE),""))</f>
        <v/>
      </c>
      <c r="O335" s="608" t="str">
        <f t="shared" si="103"/>
        <v/>
      </c>
      <c r="P335" s="208" t="str">
        <f t="shared" si="104"/>
        <v/>
      </c>
      <c r="Q335" s="208" t="str">
        <f t="shared" si="91"/>
        <v/>
      </c>
      <c r="R335" s="609" t="str">
        <f t="shared" si="92"/>
        <v/>
      </c>
      <c r="S335" s="609" t="str">
        <f t="shared" si="93"/>
        <v/>
      </c>
      <c r="T335" s="609" t="str">
        <f t="shared" si="94"/>
        <v/>
      </c>
      <c r="U335" s="609" t="str" cm="1">
        <f t="array" ref="U335">IFERROR(IF($D$3="","",_xlfn.LET(_xlpm.Mixed,AND(COUNTIF($G$34:$G$533,"Heating_Hot_Water")&gt;0,(COUNTIF($G$34:$G$533,"Steam_Low_Pressure") + COUNTIF($G$34:$G$533,"Steam_Medium_Pressure") + COUNTIF($G$34:$G$533,"Steam_High_Pressure"))&gt;0),_xlpm.fluid, G335,_xlpm.fuel, K335,_xlpm.load,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5" s="609" t="str">
        <f t="shared" si="105"/>
        <v/>
      </c>
      <c r="W335" s="482"/>
      <c r="X335" s="397" t="str" cm="1">
        <f t="array" ref="X335">IFERROR(IF($D$3="","", _xlfn.XLOOKUP(1,($AR$36:$AR$53=F335)*($AS$36:$AS$53=G335), INDEX($AT$36:$BJ$53,,_xlfn.XMATCH(E335,$AT$35:$BJ$35)))),"")</f>
        <v/>
      </c>
      <c r="Y335" s="480"/>
      <c r="Z335" s="482"/>
      <c r="AA335" s="607" t="str" cm="1">
        <f t="array" ref="AA335">IFERROR(IF($D$3="", "", _xlfn.LET(_xlpm.dia, E335, _xlpm.thk, Z335, _xlpm.temp, I335,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5" s="397" t="str" cm="1">
        <f t="array" ref="AB335">IFERROR(IF($D$3="", "", _xlfn.XLOOKUP(1,($AR$57:$AR$76=Y335)*($AS$57:$AS$76=Z335), INDEX($AT$57:$BJ$76,,_xlfn.XMATCH(E335,$AT$56:$BJ$56)))),"")</f>
        <v/>
      </c>
      <c r="AC335" s="208" t="str">
        <f t="shared" si="95"/>
        <v/>
      </c>
      <c r="AD335" s="397" t="str">
        <f t="shared" si="96"/>
        <v/>
      </c>
      <c r="AE335" s="610" t="str">
        <f t="shared" si="97"/>
        <v/>
      </c>
      <c r="AF335" s="610" t="str">
        <f t="shared" si="98"/>
        <v/>
      </c>
      <c r="AG335" s="610" t="str">
        <f t="shared" si="99"/>
        <v/>
      </c>
      <c r="AH335" s="608" t="str">
        <f t="shared" si="100"/>
        <v/>
      </c>
      <c r="AI335" s="610" t="str">
        <f t="shared" si="101"/>
        <v/>
      </c>
    </row>
    <row r="336" spans="2:35" x14ac:dyDescent="0.25">
      <c r="B336" s="209">
        <v>303</v>
      </c>
      <c r="C336" s="480"/>
      <c r="D336" s="480"/>
      <c r="E336" s="481"/>
      <c r="F336" s="480"/>
      <c r="G336" s="480"/>
      <c r="H336" s="607" t="str">
        <f t="shared" si="86"/>
        <v/>
      </c>
      <c r="I336" s="607" t="str">
        <f t="shared" si="87"/>
        <v/>
      </c>
      <c r="J336" s="607" t="str">
        <f t="shared" si="88"/>
        <v/>
      </c>
      <c r="K336" s="208" t="str">
        <f t="shared" si="89"/>
        <v/>
      </c>
      <c r="L336" s="208" t="str">
        <f t="shared" si="90"/>
        <v/>
      </c>
      <c r="M336" s="208" t="str">
        <f t="shared" si="102"/>
        <v/>
      </c>
      <c r="N336" s="608" t="str">
        <f>IF($D$3="", "", IFERROR(VLOOKUP(L336,'PIPE INCENTIVE'!$B$4:$E$19,2,FALSE),""))</f>
        <v/>
      </c>
      <c r="O336" s="608" t="str">
        <f t="shared" si="103"/>
        <v/>
      </c>
      <c r="P336" s="208" t="str">
        <f t="shared" si="104"/>
        <v/>
      </c>
      <c r="Q336" s="208" t="str">
        <f t="shared" si="91"/>
        <v/>
      </c>
      <c r="R336" s="609" t="str">
        <f t="shared" si="92"/>
        <v/>
      </c>
      <c r="S336" s="609" t="str">
        <f t="shared" si="93"/>
        <v/>
      </c>
      <c r="T336" s="609" t="str">
        <f t="shared" si="94"/>
        <v/>
      </c>
      <c r="U336" s="609" t="str" cm="1">
        <f t="array" ref="U336">IFERROR(IF($D$3="","",_xlfn.LET(_xlpm.Mixed,AND(COUNTIF($G$34:$G$533,"Heating_Hot_Water")&gt;0,(COUNTIF($G$34:$G$533,"Steam_Low_Pressure") + COUNTIF($G$34:$G$533,"Steam_Medium_Pressure") + COUNTIF($G$34:$G$533,"Steam_High_Pressure"))&gt;0),_xlpm.fluid, G336,_xlpm.fuel, K336,_xlpm.load,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6" s="609" t="str">
        <f t="shared" si="105"/>
        <v/>
      </c>
      <c r="W336" s="482"/>
      <c r="X336" s="397" t="str" cm="1">
        <f t="array" ref="X336">IFERROR(IF($D$3="","", _xlfn.XLOOKUP(1,($AR$36:$AR$53=F336)*($AS$36:$AS$53=G336), INDEX($AT$36:$BJ$53,,_xlfn.XMATCH(E336,$AT$35:$BJ$35)))),"")</f>
        <v/>
      </c>
      <c r="Y336" s="480"/>
      <c r="Z336" s="482"/>
      <c r="AA336" s="607" t="str" cm="1">
        <f t="array" ref="AA336">IFERROR(IF($D$3="", "", _xlfn.LET(_xlpm.dia, E336, _xlpm.thk, Z336, _xlpm.temp, I336,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6" s="397" t="str" cm="1">
        <f t="array" ref="AB336">IFERROR(IF($D$3="", "", _xlfn.XLOOKUP(1,($AR$57:$AR$76=Y336)*($AS$57:$AS$76=Z336), INDEX($AT$57:$BJ$76,,_xlfn.XMATCH(E336,$AT$56:$BJ$56)))),"")</f>
        <v/>
      </c>
      <c r="AC336" s="208" t="str">
        <f t="shared" si="95"/>
        <v/>
      </c>
      <c r="AD336" s="397" t="str">
        <f t="shared" si="96"/>
        <v/>
      </c>
      <c r="AE336" s="610" t="str">
        <f t="shared" si="97"/>
        <v/>
      </c>
      <c r="AF336" s="610" t="str">
        <f t="shared" si="98"/>
        <v/>
      </c>
      <c r="AG336" s="610" t="str">
        <f t="shared" si="99"/>
        <v/>
      </c>
      <c r="AH336" s="608" t="str">
        <f t="shared" si="100"/>
        <v/>
      </c>
      <c r="AI336" s="610" t="str">
        <f t="shared" si="101"/>
        <v/>
      </c>
    </row>
    <row r="337" spans="2:35" x14ac:dyDescent="0.25">
      <c r="B337" s="209">
        <v>304</v>
      </c>
      <c r="C337" s="480"/>
      <c r="D337" s="480"/>
      <c r="E337" s="481"/>
      <c r="F337" s="480"/>
      <c r="G337" s="480"/>
      <c r="H337" s="607" t="str">
        <f t="shared" si="86"/>
        <v/>
      </c>
      <c r="I337" s="607" t="str">
        <f t="shared" si="87"/>
        <v/>
      </c>
      <c r="J337" s="607" t="str">
        <f t="shared" si="88"/>
        <v/>
      </c>
      <c r="K337" s="208" t="str">
        <f t="shared" si="89"/>
        <v/>
      </c>
      <c r="L337" s="208" t="str">
        <f t="shared" si="90"/>
        <v/>
      </c>
      <c r="M337" s="208" t="str">
        <f t="shared" si="102"/>
        <v/>
      </c>
      <c r="N337" s="608" t="str">
        <f>IF($D$3="", "", IFERROR(VLOOKUP(L337,'PIPE INCENTIVE'!$B$4:$E$19,2,FALSE),""))</f>
        <v/>
      </c>
      <c r="O337" s="608" t="str">
        <f t="shared" si="103"/>
        <v/>
      </c>
      <c r="P337" s="208" t="str">
        <f t="shared" si="104"/>
        <v/>
      </c>
      <c r="Q337" s="208" t="str">
        <f t="shared" si="91"/>
        <v/>
      </c>
      <c r="R337" s="609" t="str">
        <f t="shared" si="92"/>
        <v/>
      </c>
      <c r="S337" s="609" t="str">
        <f t="shared" si="93"/>
        <v/>
      </c>
      <c r="T337" s="609" t="str">
        <f t="shared" si="94"/>
        <v/>
      </c>
      <c r="U337" s="609" t="str" cm="1">
        <f t="array" ref="U337">IFERROR(IF($D$3="","",_xlfn.LET(_xlpm.Mixed,AND(COUNTIF($G$34:$G$533,"Heating_Hot_Water")&gt;0,(COUNTIF($G$34:$G$533,"Steam_Low_Pressure") + COUNTIF($G$34:$G$533,"Steam_Medium_Pressure") + COUNTIF($G$34:$G$533,"Steam_High_Pressure"))&gt;0),_xlpm.fluid, G337,_xlpm.fuel, K337,_xlpm.load,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7" s="609" t="str">
        <f t="shared" si="105"/>
        <v/>
      </c>
      <c r="W337" s="482"/>
      <c r="X337" s="397" t="str" cm="1">
        <f t="array" ref="X337">IFERROR(IF($D$3="","", _xlfn.XLOOKUP(1,($AR$36:$AR$53=F337)*($AS$36:$AS$53=G337), INDEX($AT$36:$BJ$53,,_xlfn.XMATCH(E337,$AT$35:$BJ$35)))),"")</f>
        <v/>
      </c>
      <c r="Y337" s="480"/>
      <c r="Z337" s="482"/>
      <c r="AA337" s="607" t="str" cm="1">
        <f t="array" ref="AA337">IFERROR(IF($D$3="", "", _xlfn.LET(_xlpm.dia, E337, _xlpm.thk, Z337, _xlpm.temp, I337,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7" s="397" t="str" cm="1">
        <f t="array" ref="AB337">IFERROR(IF($D$3="", "", _xlfn.XLOOKUP(1,($AR$57:$AR$76=Y337)*($AS$57:$AS$76=Z337), INDEX($AT$57:$BJ$76,,_xlfn.XMATCH(E337,$AT$56:$BJ$56)))),"")</f>
        <v/>
      </c>
      <c r="AC337" s="208" t="str">
        <f t="shared" si="95"/>
        <v/>
      </c>
      <c r="AD337" s="397" t="str">
        <f t="shared" si="96"/>
        <v/>
      </c>
      <c r="AE337" s="610" t="str">
        <f t="shared" si="97"/>
        <v/>
      </c>
      <c r="AF337" s="610" t="str">
        <f t="shared" si="98"/>
        <v/>
      </c>
      <c r="AG337" s="610" t="str">
        <f t="shared" si="99"/>
        <v/>
      </c>
      <c r="AH337" s="608" t="str">
        <f t="shared" si="100"/>
        <v/>
      </c>
      <c r="AI337" s="610" t="str">
        <f t="shared" si="101"/>
        <v/>
      </c>
    </row>
    <row r="338" spans="2:35" x14ac:dyDescent="0.25">
      <c r="B338" s="209">
        <v>305</v>
      </c>
      <c r="C338" s="480"/>
      <c r="D338" s="480"/>
      <c r="E338" s="481"/>
      <c r="F338" s="480"/>
      <c r="G338" s="480"/>
      <c r="H338" s="607" t="str">
        <f t="shared" si="86"/>
        <v/>
      </c>
      <c r="I338" s="607" t="str">
        <f t="shared" si="87"/>
        <v/>
      </c>
      <c r="J338" s="607" t="str">
        <f t="shared" si="88"/>
        <v/>
      </c>
      <c r="K338" s="208" t="str">
        <f t="shared" si="89"/>
        <v/>
      </c>
      <c r="L338" s="208" t="str">
        <f t="shared" si="90"/>
        <v/>
      </c>
      <c r="M338" s="208" t="str">
        <f t="shared" si="102"/>
        <v/>
      </c>
      <c r="N338" s="608" t="str">
        <f>IF($D$3="", "", IFERROR(VLOOKUP(L338,'PIPE INCENTIVE'!$B$4:$E$19,2,FALSE),""))</f>
        <v/>
      </c>
      <c r="O338" s="608" t="str">
        <f t="shared" si="103"/>
        <v/>
      </c>
      <c r="P338" s="208" t="str">
        <f t="shared" si="104"/>
        <v/>
      </c>
      <c r="Q338" s="208" t="str">
        <f t="shared" si="91"/>
        <v/>
      </c>
      <c r="R338" s="609" t="str">
        <f t="shared" si="92"/>
        <v/>
      </c>
      <c r="S338" s="609" t="str">
        <f t="shared" si="93"/>
        <v/>
      </c>
      <c r="T338" s="609" t="str">
        <f t="shared" si="94"/>
        <v/>
      </c>
      <c r="U338" s="609" t="str" cm="1">
        <f t="array" ref="U338">IFERROR(IF($D$3="","",_xlfn.LET(_xlpm.Mixed,AND(COUNTIF($G$34:$G$533,"Heating_Hot_Water")&gt;0,(COUNTIF($G$34:$G$533,"Steam_Low_Pressure") + COUNTIF($G$34:$G$533,"Steam_Medium_Pressure") + COUNTIF($G$34:$G$533,"Steam_High_Pressure"))&gt;0),_xlpm.fluid, G338,_xlpm.fuel, K338,_xlpm.load,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8" s="609" t="str">
        <f t="shared" si="105"/>
        <v/>
      </c>
      <c r="W338" s="482"/>
      <c r="X338" s="397" t="str" cm="1">
        <f t="array" ref="X338">IFERROR(IF($D$3="","", _xlfn.XLOOKUP(1,($AR$36:$AR$53=F338)*($AS$36:$AS$53=G338), INDEX($AT$36:$BJ$53,,_xlfn.XMATCH(E338,$AT$35:$BJ$35)))),"")</f>
        <v/>
      </c>
      <c r="Y338" s="480"/>
      <c r="Z338" s="482"/>
      <c r="AA338" s="607" t="str" cm="1">
        <f t="array" ref="AA338">IFERROR(IF($D$3="", "", _xlfn.LET(_xlpm.dia, E338, _xlpm.thk, Z338, _xlpm.temp, I338,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8" s="397" t="str" cm="1">
        <f t="array" ref="AB338">IFERROR(IF($D$3="", "", _xlfn.XLOOKUP(1,($AR$57:$AR$76=Y338)*($AS$57:$AS$76=Z338), INDEX($AT$57:$BJ$76,,_xlfn.XMATCH(E338,$AT$56:$BJ$56)))),"")</f>
        <v/>
      </c>
      <c r="AC338" s="208" t="str">
        <f t="shared" si="95"/>
        <v/>
      </c>
      <c r="AD338" s="397" t="str">
        <f t="shared" si="96"/>
        <v/>
      </c>
      <c r="AE338" s="610" t="str">
        <f t="shared" si="97"/>
        <v/>
      </c>
      <c r="AF338" s="610" t="str">
        <f t="shared" si="98"/>
        <v/>
      </c>
      <c r="AG338" s="610" t="str">
        <f t="shared" si="99"/>
        <v/>
      </c>
      <c r="AH338" s="608" t="str">
        <f t="shared" si="100"/>
        <v/>
      </c>
      <c r="AI338" s="610" t="str">
        <f t="shared" si="101"/>
        <v/>
      </c>
    </row>
    <row r="339" spans="2:35" x14ac:dyDescent="0.25">
      <c r="B339" s="209">
        <v>306</v>
      </c>
      <c r="C339" s="480"/>
      <c r="D339" s="480"/>
      <c r="E339" s="481"/>
      <c r="F339" s="480"/>
      <c r="G339" s="480"/>
      <c r="H339" s="607" t="str">
        <f t="shared" si="86"/>
        <v/>
      </c>
      <c r="I339" s="607" t="str">
        <f t="shared" si="87"/>
        <v/>
      </c>
      <c r="J339" s="607" t="str">
        <f t="shared" si="88"/>
        <v/>
      </c>
      <c r="K339" s="208" t="str">
        <f t="shared" si="89"/>
        <v/>
      </c>
      <c r="L339" s="208" t="str">
        <f t="shared" si="90"/>
        <v/>
      </c>
      <c r="M339" s="208" t="str">
        <f t="shared" si="102"/>
        <v/>
      </c>
      <c r="N339" s="608" t="str">
        <f>IF($D$3="", "", IFERROR(VLOOKUP(L339,'PIPE INCENTIVE'!$B$4:$E$19,2,FALSE),""))</f>
        <v/>
      </c>
      <c r="O339" s="608" t="str">
        <f t="shared" si="103"/>
        <v/>
      </c>
      <c r="P339" s="208" t="str">
        <f t="shared" si="104"/>
        <v/>
      </c>
      <c r="Q339" s="208" t="str">
        <f t="shared" si="91"/>
        <v/>
      </c>
      <c r="R339" s="609" t="str">
        <f t="shared" si="92"/>
        <v/>
      </c>
      <c r="S339" s="609" t="str">
        <f t="shared" si="93"/>
        <v/>
      </c>
      <c r="T339" s="609" t="str">
        <f t="shared" si="94"/>
        <v/>
      </c>
      <c r="U339" s="609" t="str" cm="1">
        <f t="array" ref="U339">IFERROR(IF($D$3="","",_xlfn.LET(_xlpm.Mixed,AND(COUNTIF($G$34:$G$533,"Heating_Hot_Water")&gt;0,(COUNTIF($G$34:$G$533,"Steam_Low_Pressure") + COUNTIF($G$34:$G$533,"Steam_Medium_Pressure") + COUNTIF($G$34:$G$533,"Steam_High_Pressure"))&gt;0),_xlpm.fluid, G339,_xlpm.fuel, K339,_xlpm.load,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39" s="609" t="str">
        <f t="shared" si="105"/>
        <v/>
      </c>
      <c r="W339" s="482"/>
      <c r="X339" s="397" t="str" cm="1">
        <f t="array" ref="X339">IFERROR(IF($D$3="","", _xlfn.XLOOKUP(1,($AR$36:$AR$53=F339)*($AS$36:$AS$53=G339), INDEX($AT$36:$BJ$53,,_xlfn.XMATCH(E339,$AT$35:$BJ$35)))),"")</f>
        <v/>
      </c>
      <c r="Y339" s="480"/>
      <c r="Z339" s="482"/>
      <c r="AA339" s="607" t="str" cm="1">
        <f t="array" ref="AA339">IFERROR(IF($D$3="", "", _xlfn.LET(_xlpm.dia, E339, _xlpm.thk, Z339, _xlpm.temp, I339,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39" s="397" t="str" cm="1">
        <f t="array" ref="AB339">IFERROR(IF($D$3="", "", _xlfn.XLOOKUP(1,($AR$57:$AR$76=Y339)*($AS$57:$AS$76=Z339), INDEX($AT$57:$BJ$76,,_xlfn.XMATCH(E339,$AT$56:$BJ$56)))),"")</f>
        <v/>
      </c>
      <c r="AC339" s="208" t="str">
        <f t="shared" si="95"/>
        <v/>
      </c>
      <c r="AD339" s="397" t="str">
        <f t="shared" si="96"/>
        <v/>
      </c>
      <c r="AE339" s="610" t="str">
        <f t="shared" si="97"/>
        <v/>
      </c>
      <c r="AF339" s="610" t="str">
        <f t="shared" si="98"/>
        <v/>
      </c>
      <c r="AG339" s="610" t="str">
        <f t="shared" si="99"/>
        <v/>
      </c>
      <c r="AH339" s="608" t="str">
        <f t="shared" si="100"/>
        <v/>
      </c>
      <c r="AI339" s="610" t="str">
        <f t="shared" si="101"/>
        <v/>
      </c>
    </row>
    <row r="340" spans="2:35" x14ac:dyDescent="0.25">
      <c r="B340" s="209">
        <v>307</v>
      </c>
      <c r="C340" s="480"/>
      <c r="D340" s="480"/>
      <c r="E340" s="481"/>
      <c r="F340" s="480"/>
      <c r="G340" s="480"/>
      <c r="H340" s="607" t="str">
        <f t="shared" si="86"/>
        <v/>
      </c>
      <c r="I340" s="607" t="str">
        <f t="shared" si="87"/>
        <v/>
      </c>
      <c r="J340" s="607" t="str">
        <f t="shared" si="88"/>
        <v/>
      </c>
      <c r="K340" s="208" t="str">
        <f t="shared" si="89"/>
        <v/>
      </c>
      <c r="L340" s="208" t="str">
        <f t="shared" si="90"/>
        <v/>
      </c>
      <c r="M340" s="208" t="str">
        <f t="shared" si="102"/>
        <v/>
      </c>
      <c r="N340" s="608" t="str">
        <f>IF($D$3="", "", IFERROR(VLOOKUP(L340,'PIPE INCENTIVE'!$B$4:$E$19,2,FALSE),""))</f>
        <v/>
      </c>
      <c r="O340" s="608" t="str">
        <f t="shared" si="103"/>
        <v/>
      </c>
      <c r="P340" s="208" t="str">
        <f t="shared" si="104"/>
        <v/>
      </c>
      <c r="Q340" s="208" t="str">
        <f t="shared" si="91"/>
        <v/>
      </c>
      <c r="R340" s="609" t="str">
        <f t="shared" si="92"/>
        <v/>
      </c>
      <c r="S340" s="609" t="str">
        <f t="shared" si="93"/>
        <v/>
      </c>
      <c r="T340" s="609" t="str">
        <f t="shared" si="94"/>
        <v/>
      </c>
      <c r="U340" s="609" t="str" cm="1">
        <f t="array" ref="U340">IFERROR(IF($D$3="","",_xlfn.LET(_xlpm.Mixed,AND(COUNTIF($G$34:$G$533,"Heating_Hot_Water")&gt;0,(COUNTIF($G$34:$G$533,"Steam_Low_Pressure") + COUNTIF($G$34:$G$533,"Steam_Medium_Pressure") + COUNTIF($G$34:$G$533,"Steam_High_Pressure"))&gt;0),_xlpm.fluid, G340,_xlpm.fuel, K340,_xlpm.load,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0" s="609" t="str">
        <f t="shared" si="105"/>
        <v/>
      </c>
      <c r="W340" s="482"/>
      <c r="X340" s="397" t="str" cm="1">
        <f t="array" ref="X340">IFERROR(IF($D$3="","", _xlfn.XLOOKUP(1,($AR$36:$AR$53=F340)*($AS$36:$AS$53=G340), INDEX($AT$36:$BJ$53,,_xlfn.XMATCH(E340,$AT$35:$BJ$35)))),"")</f>
        <v/>
      </c>
      <c r="Y340" s="480"/>
      <c r="Z340" s="482"/>
      <c r="AA340" s="607" t="str" cm="1">
        <f t="array" ref="AA340">IFERROR(IF($D$3="", "", _xlfn.LET(_xlpm.dia, E340, _xlpm.thk, Z340, _xlpm.temp, I340,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0" s="397" t="str" cm="1">
        <f t="array" ref="AB340">IFERROR(IF($D$3="", "", _xlfn.XLOOKUP(1,($AR$57:$AR$76=Y340)*($AS$57:$AS$76=Z340), INDEX($AT$57:$BJ$76,,_xlfn.XMATCH(E340,$AT$56:$BJ$56)))),"")</f>
        <v/>
      </c>
      <c r="AC340" s="208" t="str">
        <f t="shared" si="95"/>
        <v/>
      </c>
      <c r="AD340" s="397" t="str">
        <f t="shared" si="96"/>
        <v/>
      </c>
      <c r="AE340" s="610" t="str">
        <f t="shared" si="97"/>
        <v/>
      </c>
      <c r="AF340" s="610" t="str">
        <f t="shared" si="98"/>
        <v/>
      </c>
      <c r="AG340" s="610" t="str">
        <f t="shared" si="99"/>
        <v/>
      </c>
      <c r="AH340" s="608" t="str">
        <f t="shared" si="100"/>
        <v/>
      </c>
      <c r="AI340" s="610" t="str">
        <f t="shared" si="101"/>
        <v/>
      </c>
    </row>
    <row r="341" spans="2:35" x14ac:dyDescent="0.25">
      <c r="B341" s="209">
        <v>308</v>
      </c>
      <c r="C341" s="480"/>
      <c r="D341" s="480"/>
      <c r="E341" s="481"/>
      <c r="F341" s="480"/>
      <c r="G341" s="480"/>
      <c r="H341" s="607" t="str">
        <f t="shared" si="86"/>
        <v/>
      </c>
      <c r="I341" s="607" t="str">
        <f t="shared" si="87"/>
        <v/>
      </c>
      <c r="J341" s="607" t="str">
        <f t="shared" si="88"/>
        <v/>
      </c>
      <c r="K341" s="208" t="str">
        <f t="shared" si="89"/>
        <v/>
      </c>
      <c r="L341" s="208" t="str">
        <f t="shared" si="90"/>
        <v/>
      </c>
      <c r="M341" s="208" t="str">
        <f t="shared" si="102"/>
        <v/>
      </c>
      <c r="N341" s="608" t="str">
        <f>IF($D$3="", "", IFERROR(VLOOKUP(L341,'PIPE INCENTIVE'!$B$4:$E$19,2,FALSE),""))</f>
        <v/>
      </c>
      <c r="O341" s="608" t="str">
        <f t="shared" si="103"/>
        <v/>
      </c>
      <c r="P341" s="208" t="str">
        <f t="shared" si="104"/>
        <v/>
      </c>
      <c r="Q341" s="208" t="str">
        <f t="shared" si="91"/>
        <v/>
      </c>
      <c r="R341" s="609" t="str">
        <f t="shared" si="92"/>
        <v/>
      </c>
      <c r="S341" s="609" t="str">
        <f t="shared" si="93"/>
        <v/>
      </c>
      <c r="T341" s="609" t="str">
        <f t="shared" si="94"/>
        <v/>
      </c>
      <c r="U341" s="609" t="str" cm="1">
        <f t="array" ref="U341">IFERROR(IF($D$3="","",_xlfn.LET(_xlpm.Mixed,AND(COUNTIF($G$34:$G$533,"Heating_Hot_Water")&gt;0,(COUNTIF($G$34:$G$533,"Steam_Low_Pressure") + COUNTIF($G$34:$G$533,"Steam_Medium_Pressure") + COUNTIF($G$34:$G$533,"Steam_High_Pressure"))&gt;0),_xlpm.fluid, G341,_xlpm.fuel, K341,_xlpm.load,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1" s="609" t="str">
        <f t="shared" si="105"/>
        <v/>
      </c>
      <c r="W341" s="482"/>
      <c r="X341" s="397" t="str" cm="1">
        <f t="array" ref="X341">IFERROR(IF($D$3="","", _xlfn.XLOOKUP(1,($AR$36:$AR$53=F341)*($AS$36:$AS$53=G341), INDEX($AT$36:$BJ$53,,_xlfn.XMATCH(E341,$AT$35:$BJ$35)))),"")</f>
        <v/>
      </c>
      <c r="Y341" s="480"/>
      <c r="Z341" s="482"/>
      <c r="AA341" s="607" t="str" cm="1">
        <f t="array" ref="AA341">IFERROR(IF($D$3="", "", _xlfn.LET(_xlpm.dia, E341, _xlpm.thk, Z341, _xlpm.temp, I341,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1" s="397" t="str" cm="1">
        <f t="array" ref="AB341">IFERROR(IF($D$3="", "", _xlfn.XLOOKUP(1,($AR$57:$AR$76=Y341)*($AS$57:$AS$76=Z341), INDEX($AT$57:$BJ$76,,_xlfn.XMATCH(E341,$AT$56:$BJ$56)))),"")</f>
        <v/>
      </c>
      <c r="AC341" s="208" t="str">
        <f t="shared" si="95"/>
        <v/>
      </c>
      <c r="AD341" s="397" t="str">
        <f t="shared" si="96"/>
        <v/>
      </c>
      <c r="AE341" s="610" t="str">
        <f t="shared" si="97"/>
        <v/>
      </c>
      <c r="AF341" s="610" t="str">
        <f t="shared" si="98"/>
        <v/>
      </c>
      <c r="AG341" s="610" t="str">
        <f t="shared" si="99"/>
        <v/>
      </c>
      <c r="AH341" s="608" t="str">
        <f t="shared" si="100"/>
        <v/>
      </c>
      <c r="AI341" s="610" t="str">
        <f t="shared" si="101"/>
        <v/>
      </c>
    </row>
    <row r="342" spans="2:35" x14ac:dyDescent="0.25">
      <c r="B342" s="209">
        <v>309</v>
      </c>
      <c r="C342" s="480"/>
      <c r="D342" s="480"/>
      <c r="E342" s="481"/>
      <c r="F342" s="480"/>
      <c r="G342" s="480"/>
      <c r="H342" s="607" t="str">
        <f t="shared" si="86"/>
        <v/>
      </c>
      <c r="I342" s="607" t="str">
        <f t="shared" si="87"/>
        <v/>
      </c>
      <c r="J342" s="607" t="str">
        <f t="shared" si="88"/>
        <v/>
      </c>
      <c r="K342" s="208" t="str">
        <f t="shared" si="89"/>
        <v/>
      </c>
      <c r="L342" s="208" t="str">
        <f t="shared" si="90"/>
        <v/>
      </c>
      <c r="M342" s="208" t="str">
        <f t="shared" si="102"/>
        <v/>
      </c>
      <c r="N342" s="608" t="str">
        <f>IF($D$3="", "", IFERROR(VLOOKUP(L342,'PIPE INCENTIVE'!$B$4:$E$19,2,FALSE),""))</f>
        <v/>
      </c>
      <c r="O342" s="608" t="str">
        <f t="shared" si="103"/>
        <v/>
      </c>
      <c r="P342" s="208" t="str">
        <f t="shared" si="104"/>
        <v/>
      </c>
      <c r="Q342" s="208" t="str">
        <f t="shared" si="91"/>
        <v/>
      </c>
      <c r="R342" s="609" t="str">
        <f t="shared" si="92"/>
        <v/>
      </c>
      <c r="S342" s="609" t="str">
        <f t="shared" si="93"/>
        <v/>
      </c>
      <c r="T342" s="609" t="str">
        <f t="shared" si="94"/>
        <v/>
      </c>
      <c r="U342" s="609" t="str" cm="1">
        <f t="array" ref="U342">IFERROR(IF($D$3="","",_xlfn.LET(_xlpm.Mixed,AND(COUNTIF($G$34:$G$533,"Heating_Hot_Water")&gt;0,(COUNTIF($G$34:$G$533,"Steam_Low_Pressure") + COUNTIF($G$34:$G$533,"Steam_Medium_Pressure") + COUNTIF($G$34:$G$533,"Steam_High_Pressure"))&gt;0),_xlpm.fluid, G342,_xlpm.fuel, K342,_xlpm.load,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2" s="609" t="str">
        <f t="shared" si="105"/>
        <v/>
      </c>
      <c r="W342" s="482"/>
      <c r="X342" s="397" t="str" cm="1">
        <f t="array" ref="X342">IFERROR(IF($D$3="","", _xlfn.XLOOKUP(1,($AR$36:$AR$53=F342)*($AS$36:$AS$53=G342), INDEX($AT$36:$BJ$53,,_xlfn.XMATCH(E342,$AT$35:$BJ$35)))),"")</f>
        <v/>
      </c>
      <c r="Y342" s="480"/>
      <c r="Z342" s="482"/>
      <c r="AA342" s="607" t="str" cm="1">
        <f t="array" ref="AA342">IFERROR(IF($D$3="", "", _xlfn.LET(_xlpm.dia, E342, _xlpm.thk, Z342, _xlpm.temp, I342,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2" s="397" t="str" cm="1">
        <f t="array" ref="AB342">IFERROR(IF($D$3="", "", _xlfn.XLOOKUP(1,($AR$57:$AR$76=Y342)*($AS$57:$AS$76=Z342), INDEX($AT$57:$BJ$76,,_xlfn.XMATCH(E342,$AT$56:$BJ$56)))),"")</f>
        <v/>
      </c>
      <c r="AC342" s="208" t="str">
        <f t="shared" si="95"/>
        <v/>
      </c>
      <c r="AD342" s="397" t="str">
        <f t="shared" si="96"/>
        <v/>
      </c>
      <c r="AE342" s="610" t="str">
        <f t="shared" si="97"/>
        <v/>
      </c>
      <c r="AF342" s="610" t="str">
        <f t="shared" si="98"/>
        <v/>
      </c>
      <c r="AG342" s="610" t="str">
        <f t="shared" si="99"/>
        <v/>
      </c>
      <c r="AH342" s="608" t="str">
        <f t="shared" si="100"/>
        <v/>
      </c>
      <c r="AI342" s="610" t="str">
        <f t="shared" si="101"/>
        <v/>
      </c>
    </row>
    <row r="343" spans="2:35" x14ac:dyDescent="0.25">
      <c r="B343" s="209">
        <v>310</v>
      </c>
      <c r="C343" s="480"/>
      <c r="D343" s="480"/>
      <c r="E343" s="481"/>
      <c r="F343" s="480"/>
      <c r="G343" s="480"/>
      <c r="H343" s="607" t="str">
        <f t="shared" si="86"/>
        <v/>
      </c>
      <c r="I343" s="607" t="str">
        <f t="shared" si="87"/>
        <v/>
      </c>
      <c r="J343" s="607" t="str">
        <f t="shared" si="88"/>
        <v/>
      </c>
      <c r="K343" s="208" t="str">
        <f t="shared" si="89"/>
        <v/>
      </c>
      <c r="L343" s="208" t="str">
        <f t="shared" si="90"/>
        <v/>
      </c>
      <c r="M343" s="208" t="str">
        <f t="shared" si="102"/>
        <v/>
      </c>
      <c r="N343" s="608" t="str">
        <f>IF($D$3="", "", IFERROR(VLOOKUP(L343,'PIPE INCENTIVE'!$B$4:$E$19,2,FALSE),""))</f>
        <v/>
      </c>
      <c r="O343" s="608" t="str">
        <f t="shared" si="103"/>
        <v/>
      </c>
      <c r="P343" s="208" t="str">
        <f t="shared" si="104"/>
        <v/>
      </c>
      <c r="Q343" s="208" t="str">
        <f t="shared" si="91"/>
        <v/>
      </c>
      <c r="R343" s="609" t="str">
        <f t="shared" si="92"/>
        <v/>
      </c>
      <c r="S343" s="609" t="str">
        <f t="shared" si="93"/>
        <v/>
      </c>
      <c r="T343" s="609" t="str">
        <f t="shared" si="94"/>
        <v/>
      </c>
      <c r="U343" s="609" t="str" cm="1">
        <f t="array" ref="U343">IFERROR(IF($D$3="","",_xlfn.LET(_xlpm.Mixed,AND(COUNTIF($G$34:$G$533,"Heating_Hot_Water")&gt;0,(COUNTIF($G$34:$G$533,"Steam_Low_Pressure") + COUNTIF($G$34:$G$533,"Steam_Medium_Pressure") + COUNTIF($G$34:$G$533,"Steam_High_Pressure"))&gt;0),_xlpm.fluid, G343,_xlpm.fuel, K343,_xlpm.load,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3" s="609" t="str">
        <f t="shared" si="105"/>
        <v/>
      </c>
      <c r="W343" s="482"/>
      <c r="X343" s="397" t="str" cm="1">
        <f t="array" ref="X343">IFERROR(IF($D$3="","", _xlfn.XLOOKUP(1,($AR$36:$AR$53=F343)*($AS$36:$AS$53=G343), INDEX($AT$36:$BJ$53,,_xlfn.XMATCH(E343,$AT$35:$BJ$35)))),"")</f>
        <v/>
      </c>
      <c r="Y343" s="480"/>
      <c r="Z343" s="482"/>
      <c r="AA343" s="607" t="str" cm="1">
        <f t="array" ref="AA343">IFERROR(IF($D$3="", "", _xlfn.LET(_xlpm.dia, E343, _xlpm.thk, Z343, _xlpm.temp, I343,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3" s="397" t="str" cm="1">
        <f t="array" ref="AB343">IFERROR(IF($D$3="", "", _xlfn.XLOOKUP(1,($AR$57:$AR$76=Y343)*($AS$57:$AS$76=Z343), INDEX($AT$57:$BJ$76,,_xlfn.XMATCH(E343,$AT$56:$BJ$56)))),"")</f>
        <v/>
      </c>
      <c r="AC343" s="208" t="str">
        <f t="shared" si="95"/>
        <v/>
      </c>
      <c r="AD343" s="397" t="str">
        <f t="shared" si="96"/>
        <v/>
      </c>
      <c r="AE343" s="610" t="str">
        <f t="shared" si="97"/>
        <v/>
      </c>
      <c r="AF343" s="610" t="str">
        <f t="shared" si="98"/>
        <v/>
      </c>
      <c r="AG343" s="610" t="str">
        <f t="shared" si="99"/>
        <v/>
      </c>
      <c r="AH343" s="608" t="str">
        <f t="shared" si="100"/>
        <v/>
      </c>
      <c r="AI343" s="610" t="str">
        <f t="shared" si="101"/>
        <v/>
      </c>
    </row>
    <row r="344" spans="2:35" x14ac:dyDescent="0.25">
      <c r="B344" s="209">
        <v>311</v>
      </c>
      <c r="C344" s="480"/>
      <c r="D344" s="480"/>
      <c r="E344" s="481"/>
      <c r="F344" s="480"/>
      <c r="G344" s="480"/>
      <c r="H344" s="607" t="str">
        <f t="shared" si="86"/>
        <v/>
      </c>
      <c r="I344" s="607" t="str">
        <f t="shared" si="87"/>
        <v/>
      </c>
      <c r="J344" s="607" t="str">
        <f t="shared" si="88"/>
        <v/>
      </c>
      <c r="K344" s="208" t="str">
        <f t="shared" si="89"/>
        <v/>
      </c>
      <c r="L344" s="208" t="str">
        <f t="shared" si="90"/>
        <v/>
      </c>
      <c r="M344" s="208" t="str">
        <f t="shared" si="102"/>
        <v/>
      </c>
      <c r="N344" s="608" t="str">
        <f>IF($D$3="", "", IFERROR(VLOOKUP(L344,'PIPE INCENTIVE'!$B$4:$E$19,2,FALSE),""))</f>
        <v/>
      </c>
      <c r="O344" s="608" t="str">
        <f t="shared" si="103"/>
        <v/>
      </c>
      <c r="P344" s="208" t="str">
        <f t="shared" si="104"/>
        <v/>
      </c>
      <c r="Q344" s="208" t="str">
        <f t="shared" si="91"/>
        <v/>
      </c>
      <c r="R344" s="609" t="str">
        <f t="shared" si="92"/>
        <v/>
      </c>
      <c r="S344" s="609" t="str">
        <f t="shared" si="93"/>
        <v/>
      </c>
      <c r="T344" s="609" t="str">
        <f t="shared" si="94"/>
        <v/>
      </c>
      <c r="U344" s="609" t="str" cm="1">
        <f t="array" ref="U344">IFERROR(IF($D$3="","",_xlfn.LET(_xlpm.Mixed,AND(COUNTIF($G$34:$G$533,"Heating_Hot_Water")&gt;0,(COUNTIF($G$34:$G$533,"Steam_Low_Pressure") + COUNTIF($G$34:$G$533,"Steam_Medium_Pressure") + COUNTIF($G$34:$G$533,"Steam_High_Pressure"))&gt;0),_xlpm.fluid, G344,_xlpm.fuel, K344,_xlpm.load,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4" s="609" t="str">
        <f t="shared" si="105"/>
        <v/>
      </c>
      <c r="W344" s="482"/>
      <c r="X344" s="397" t="str" cm="1">
        <f t="array" ref="X344">IFERROR(IF($D$3="","", _xlfn.XLOOKUP(1,($AR$36:$AR$53=F344)*($AS$36:$AS$53=G344), INDEX($AT$36:$BJ$53,,_xlfn.XMATCH(E344,$AT$35:$BJ$35)))),"")</f>
        <v/>
      </c>
      <c r="Y344" s="480"/>
      <c r="Z344" s="482"/>
      <c r="AA344" s="607" t="str" cm="1">
        <f t="array" ref="AA344">IFERROR(IF($D$3="", "", _xlfn.LET(_xlpm.dia, E344, _xlpm.thk, Z344, _xlpm.temp, I344,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4" s="397" t="str" cm="1">
        <f t="array" ref="AB344">IFERROR(IF($D$3="", "", _xlfn.XLOOKUP(1,($AR$57:$AR$76=Y344)*($AS$57:$AS$76=Z344), INDEX($AT$57:$BJ$76,,_xlfn.XMATCH(E344,$AT$56:$BJ$56)))),"")</f>
        <v/>
      </c>
      <c r="AC344" s="208" t="str">
        <f t="shared" si="95"/>
        <v/>
      </c>
      <c r="AD344" s="397" t="str">
        <f t="shared" si="96"/>
        <v/>
      </c>
      <c r="AE344" s="610" t="str">
        <f t="shared" si="97"/>
        <v/>
      </c>
      <c r="AF344" s="610" t="str">
        <f t="shared" si="98"/>
        <v/>
      </c>
      <c r="AG344" s="610" t="str">
        <f t="shared" si="99"/>
        <v/>
      </c>
      <c r="AH344" s="608" t="str">
        <f t="shared" si="100"/>
        <v/>
      </c>
      <c r="AI344" s="610" t="str">
        <f t="shared" si="101"/>
        <v/>
      </c>
    </row>
    <row r="345" spans="2:35" x14ac:dyDescent="0.25">
      <c r="B345" s="209">
        <v>312</v>
      </c>
      <c r="C345" s="480"/>
      <c r="D345" s="480"/>
      <c r="E345" s="481"/>
      <c r="F345" s="480"/>
      <c r="G345" s="480"/>
      <c r="H345" s="607" t="str">
        <f t="shared" si="86"/>
        <v/>
      </c>
      <c r="I345" s="607" t="str">
        <f t="shared" si="87"/>
        <v/>
      </c>
      <c r="J345" s="607" t="str">
        <f t="shared" si="88"/>
        <v/>
      </c>
      <c r="K345" s="208" t="str">
        <f t="shared" si="89"/>
        <v/>
      </c>
      <c r="L345" s="208" t="str">
        <f t="shared" si="90"/>
        <v/>
      </c>
      <c r="M345" s="208" t="str">
        <f t="shared" si="102"/>
        <v/>
      </c>
      <c r="N345" s="608" t="str">
        <f>IF($D$3="", "", IFERROR(VLOOKUP(L345,'PIPE INCENTIVE'!$B$4:$E$19,2,FALSE),""))</f>
        <v/>
      </c>
      <c r="O345" s="608" t="str">
        <f t="shared" si="103"/>
        <v/>
      </c>
      <c r="P345" s="208" t="str">
        <f t="shared" si="104"/>
        <v/>
      </c>
      <c r="Q345" s="208" t="str">
        <f t="shared" si="91"/>
        <v/>
      </c>
      <c r="R345" s="609" t="str">
        <f t="shared" si="92"/>
        <v/>
      </c>
      <c r="S345" s="609" t="str">
        <f t="shared" si="93"/>
        <v/>
      </c>
      <c r="T345" s="609" t="str">
        <f t="shared" si="94"/>
        <v/>
      </c>
      <c r="U345" s="609" t="str" cm="1">
        <f t="array" ref="U345">IFERROR(IF($D$3="","",_xlfn.LET(_xlpm.Mixed,AND(COUNTIF($G$34:$G$533,"Heating_Hot_Water")&gt;0,(COUNTIF($G$34:$G$533,"Steam_Low_Pressure") + COUNTIF($G$34:$G$533,"Steam_Medium_Pressure") + COUNTIF($G$34:$G$533,"Steam_High_Pressure"))&gt;0),_xlpm.fluid, G345,_xlpm.fuel, K345,_xlpm.load,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5" s="609" t="str">
        <f t="shared" si="105"/>
        <v/>
      </c>
      <c r="W345" s="482"/>
      <c r="X345" s="397" t="str" cm="1">
        <f t="array" ref="X345">IFERROR(IF($D$3="","", _xlfn.XLOOKUP(1,($AR$36:$AR$53=F345)*($AS$36:$AS$53=G345), INDEX($AT$36:$BJ$53,,_xlfn.XMATCH(E345,$AT$35:$BJ$35)))),"")</f>
        <v/>
      </c>
      <c r="Y345" s="480"/>
      <c r="Z345" s="482"/>
      <c r="AA345" s="607" t="str" cm="1">
        <f t="array" ref="AA345">IFERROR(IF($D$3="", "", _xlfn.LET(_xlpm.dia, E345, _xlpm.thk, Z345, _xlpm.temp, I345,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5" s="397" t="str" cm="1">
        <f t="array" ref="AB345">IFERROR(IF($D$3="", "", _xlfn.XLOOKUP(1,($AR$57:$AR$76=Y345)*($AS$57:$AS$76=Z345), INDEX($AT$57:$BJ$76,,_xlfn.XMATCH(E345,$AT$56:$BJ$56)))),"")</f>
        <v/>
      </c>
      <c r="AC345" s="208" t="str">
        <f t="shared" si="95"/>
        <v/>
      </c>
      <c r="AD345" s="397" t="str">
        <f t="shared" si="96"/>
        <v/>
      </c>
      <c r="AE345" s="610" t="str">
        <f t="shared" si="97"/>
        <v/>
      </c>
      <c r="AF345" s="610" t="str">
        <f t="shared" si="98"/>
        <v/>
      </c>
      <c r="AG345" s="610" t="str">
        <f t="shared" si="99"/>
        <v/>
      </c>
      <c r="AH345" s="608" t="str">
        <f t="shared" si="100"/>
        <v/>
      </c>
      <c r="AI345" s="610" t="str">
        <f t="shared" si="101"/>
        <v/>
      </c>
    </row>
    <row r="346" spans="2:35" x14ac:dyDescent="0.25">
      <c r="B346" s="209">
        <v>313</v>
      </c>
      <c r="C346" s="480"/>
      <c r="D346" s="480"/>
      <c r="E346" s="481"/>
      <c r="F346" s="480"/>
      <c r="G346" s="480"/>
      <c r="H346" s="607" t="str">
        <f t="shared" si="86"/>
        <v/>
      </c>
      <c r="I346" s="607" t="str">
        <f t="shared" si="87"/>
        <v/>
      </c>
      <c r="J346" s="607" t="str">
        <f t="shared" si="88"/>
        <v/>
      </c>
      <c r="K346" s="208" t="str">
        <f t="shared" si="89"/>
        <v/>
      </c>
      <c r="L346" s="208" t="str">
        <f t="shared" si="90"/>
        <v/>
      </c>
      <c r="M346" s="208" t="str">
        <f t="shared" si="102"/>
        <v/>
      </c>
      <c r="N346" s="608" t="str">
        <f>IF($D$3="", "", IFERROR(VLOOKUP(L346,'PIPE INCENTIVE'!$B$4:$E$19,2,FALSE),""))</f>
        <v/>
      </c>
      <c r="O346" s="608" t="str">
        <f t="shared" si="103"/>
        <v/>
      </c>
      <c r="P346" s="208" t="str">
        <f t="shared" si="104"/>
        <v/>
      </c>
      <c r="Q346" s="208" t="str">
        <f t="shared" si="91"/>
        <v/>
      </c>
      <c r="R346" s="609" t="str">
        <f t="shared" si="92"/>
        <v/>
      </c>
      <c r="S346" s="609" t="str">
        <f t="shared" si="93"/>
        <v/>
      </c>
      <c r="T346" s="609" t="str">
        <f t="shared" si="94"/>
        <v/>
      </c>
      <c r="U346" s="609" t="str" cm="1">
        <f t="array" ref="U346">IFERROR(IF($D$3="","",_xlfn.LET(_xlpm.Mixed,AND(COUNTIF($G$34:$G$533,"Heating_Hot_Water")&gt;0,(COUNTIF($G$34:$G$533,"Steam_Low_Pressure") + COUNTIF($G$34:$G$533,"Steam_Medium_Pressure") + COUNTIF($G$34:$G$533,"Steam_High_Pressure"))&gt;0),_xlpm.fluid, G346,_xlpm.fuel, K346,_xlpm.load,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6" s="609" t="str">
        <f t="shared" si="105"/>
        <v/>
      </c>
      <c r="W346" s="482"/>
      <c r="X346" s="397" t="str" cm="1">
        <f t="array" ref="X346">IFERROR(IF($D$3="","", _xlfn.XLOOKUP(1,($AR$36:$AR$53=F346)*($AS$36:$AS$53=G346), INDEX($AT$36:$BJ$53,,_xlfn.XMATCH(E346,$AT$35:$BJ$35)))),"")</f>
        <v/>
      </c>
      <c r="Y346" s="480"/>
      <c r="Z346" s="482"/>
      <c r="AA346" s="607" t="str" cm="1">
        <f t="array" ref="AA346">IFERROR(IF($D$3="", "", _xlfn.LET(_xlpm.dia, E346, _xlpm.thk, Z346, _xlpm.temp, I346,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6" s="397" t="str" cm="1">
        <f t="array" ref="AB346">IFERROR(IF($D$3="", "", _xlfn.XLOOKUP(1,($AR$57:$AR$76=Y346)*($AS$57:$AS$76=Z346), INDEX($AT$57:$BJ$76,,_xlfn.XMATCH(E346,$AT$56:$BJ$56)))),"")</f>
        <v/>
      </c>
      <c r="AC346" s="208" t="str">
        <f t="shared" si="95"/>
        <v/>
      </c>
      <c r="AD346" s="397" t="str">
        <f t="shared" si="96"/>
        <v/>
      </c>
      <c r="AE346" s="610" t="str">
        <f t="shared" si="97"/>
        <v/>
      </c>
      <c r="AF346" s="610" t="str">
        <f t="shared" si="98"/>
        <v/>
      </c>
      <c r="AG346" s="610" t="str">
        <f t="shared" si="99"/>
        <v/>
      </c>
      <c r="AH346" s="608" t="str">
        <f t="shared" si="100"/>
        <v/>
      </c>
      <c r="AI346" s="610" t="str">
        <f t="shared" si="101"/>
        <v/>
      </c>
    </row>
    <row r="347" spans="2:35" x14ac:dyDescent="0.25">
      <c r="B347" s="209">
        <v>314</v>
      </c>
      <c r="C347" s="480"/>
      <c r="D347" s="480"/>
      <c r="E347" s="481"/>
      <c r="F347" s="480"/>
      <c r="G347" s="480"/>
      <c r="H347" s="607" t="str">
        <f t="shared" si="86"/>
        <v/>
      </c>
      <c r="I347" s="607" t="str">
        <f t="shared" si="87"/>
        <v/>
      </c>
      <c r="J347" s="607" t="str">
        <f t="shared" si="88"/>
        <v/>
      </c>
      <c r="K347" s="208" t="str">
        <f t="shared" si="89"/>
        <v/>
      </c>
      <c r="L347" s="208" t="str">
        <f t="shared" si="90"/>
        <v/>
      </c>
      <c r="M347" s="208" t="str">
        <f t="shared" si="102"/>
        <v/>
      </c>
      <c r="N347" s="608" t="str">
        <f>IF($D$3="", "", IFERROR(VLOOKUP(L347,'PIPE INCENTIVE'!$B$4:$E$19,2,FALSE),""))</f>
        <v/>
      </c>
      <c r="O347" s="608" t="str">
        <f t="shared" si="103"/>
        <v/>
      </c>
      <c r="P347" s="208" t="str">
        <f t="shared" si="104"/>
        <v/>
      </c>
      <c r="Q347" s="208" t="str">
        <f t="shared" si="91"/>
        <v/>
      </c>
      <c r="R347" s="609" t="str">
        <f t="shared" si="92"/>
        <v/>
      </c>
      <c r="S347" s="609" t="str">
        <f t="shared" si="93"/>
        <v/>
      </c>
      <c r="T347" s="609" t="str">
        <f t="shared" si="94"/>
        <v/>
      </c>
      <c r="U347" s="609" t="str" cm="1">
        <f t="array" ref="U347">IFERROR(IF($D$3="","",_xlfn.LET(_xlpm.Mixed,AND(COUNTIF($G$34:$G$533,"Heating_Hot_Water")&gt;0,(COUNTIF($G$34:$G$533,"Steam_Low_Pressure") + COUNTIF($G$34:$G$533,"Steam_Medium_Pressure") + COUNTIF($G$34:$G$533,"Steam_High_Pressure"))&gt;0),_xlpm.fluid, G347,_xlpm.fuel, K347,_xlpm.load,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7" s="609" t="str">
        <f t="shared" si="105"/>
        <v/>
      </c>
      <c r="W347" s="482"/>
      <c r="X347" s="397" t="str" cm="1">
        <f t="array" ref="X347">IFERROR(IF($D$3="","", _xlfn.XLOOKUP(1,($AR$36:$AR$53=F347)*($AS$36:$AS$53=G347), INDEX($AT$36:$BJ$53,,_xlfn.XMATCH(E347,$AT$35:$BJ$35)))),"")</f>
        <v/>
      </c>
      <c r="Y347" s="480"/>
      <c r="Z347" s="482"/>
      <c r="AA347" s="607" t="str" cm="1">
        <f t="array" ref="AA347">IFERROR(IF($D$3="", "", _xlfn.LET(_xlpm.dia, E347, _xlpm.thk, Z347, _xlpm.temp, I347,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7" s="397" t="str" cm="1">
        <f t="array" ref="AB347">IFERROR(IF($D$3="", "", _xlfn.XLOOKUP(1,($AR$57:$AR$76=Y347)*($AS$57:$AS$76=Z347), INDEX($AT$57:$BJ$76,,_xlfn.XMATCH(E347,$AT$56:$BJ$56)))),"")</f>
        <v/>
      </c>
      <c r="AC347" s="208" t="str">
        <f t="shared" si="95"/>
        <v/>
      </c>
      <c r="AD347" s="397" t="str">
        <f t="shared" si="96"/>
        <v/>
      </c>
      <c r="AE347" s="610" t="str">
        <f t="shared" si="97"/>
        <v/>
      </c>
      <c r="AF347" s="610" t="str">
        <f t="shared" si="98"/>
        <v/>
      </c>
      <c r="AG347" s="610" t="str">
        <f t="shared" si="99"/>
        <v/>
      </c>
      <c r="AH347" s="608" t="str">
        <f t="shared" si="100"/>
        <v/>
      </c>
      <c r="AI347" s="610" t="str">
        <f t="shared" si="101"/>
        <v/>
      </c>
    </row>
    <row r="348" spans="2:35" x14ac:dyDescent="0.25">
      <c r="B348" s="209">
        <v>315</v>
      </c>
      <c r="C348" s="480"/>
      <c r="D348" s="480"/>
      <c r="E348" s="481"/>
      <c r="F348" s="480"/>
      <c r="G348" s="480"/>
      <c r="H348" s="607" t="str">
        <f t="shared" si="86"/>
        <v/>
      </c>
      <c r="I348" s="607" t="str">
        <f t="shared" si="87"/>
        <v/>
      </c>
      <c r="J348" s="607" t="str">
        <f t="shared" si="88"/>
        <v/>
      </c>
      <c r="K348" s="208" t="str">
        <f t="shared" si="89"/>
        <v/>
      </c>
      <c r="L348" s="208" t="str">
        <f t="shared" si="90"/>
        <v/>
      </c>
      <c r="M348" s="208" t="str">
        <f t="shared" si="102"/>
        <v/>
      </c>
      <c r="N348" s="608" t="str">
        <f>IF($D$3="", "", IFERROR(VLOOKUP(L348,'PIPE INCENTIVE'!$B$4:$E$19,2,FALSE),""))</f>
        <v/>
      </c>
      <c r="O348" s="608" t="str">
        <f t="shared" si="103"/>
        <v/>
      </c>
      <c r="P348" s="208" t="str">
        <f t="shared" si="104"/>
        <v/>
      </c>
      <c r="Q348" s="208" t="str">
        <f t="shared" si="91"/>
        <v/>
      </c>
      <c r="R348" s="609" t="str">
        <f t="shared" si="92"/>
        <v/>
      </c>
      <c r="S348" s="609" t="str">
        <f t="shared" si="93"/>
        <v/>
      </c>
      <c r="T348" s="609" t="str">
        <f t="shared" si="94"/>
        <v/>
      </c>
      <c r="U348" s="609" t="str" cm="1">
        <f t="array" ref="U348">IFERROR(IF($D$3="","",_xlfn.LET(_xlpm.Mixed,AND(COUNTIF($G$34:$G$533,"Heating_Hot_Water")&gt;0,(COUNTIF($G$34:$G$533,"Steam_Low_Pressure") + COUNTIF($G$34:$G$533,"Steam_Medium_Pressure") + COUNTIF($G$34:$G$533,"Steam_High_Pressure"))&gt;0),_xlpm.fluid, G348,_xlpm.fuel, K348,_xlpm.load,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8" s="609" t="str">
        <f t="shared" si="105"/>
        <v/>
      </c>
      <c r="W348" s="482"/>
      <c r="X348" s="397" t="str" cm="1">
        <f t="array" ref="X348">IFERROR(IF($D$3="","", _xlfn.XLOOKUP(1,($AR$36:$AR$53=F348)*($AS$36:$AS$53=G348), INDEX($AT$36:$BJ$53,,_xlfn.XMATCH(E348,$AT$35:$BJ$35)))),"")</f>
        <v/>
      </c>
      <c r="Y348" s="480"/>
      <c r="Z348" s="482"/>
      <c r="AA348" s="607" t="str" cm="1">
        <f t="array" ref="AA348">IFERROR(IF($D$3="", "", _xlfn.LET(_xlpm.dia, E348, _xlpm.thk, Z348, _xlpm.temp, I348,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8" s="397" t="str" cm="1">
        <f t="array" ref="AB348">IFERROR(IF($D$3="", "", _xlfn.XLOOKUP(1,($AR$57:$AR$76=Y348)*($AS$57:$AS$76=Z348), INDEX($AT$57:$BJ$76,,_xlfn.XMATCH(E348,$AT$56:$BJ$56)))),"")</f>
        <v/>
      </c>
      <c r="AC348" s="208" t="str">
        <f t="shared" si="95"/>
        <v/>
      </c>
      <c r="AD348" s="397" t="str">
        <f t="shared" si="96"/>
        <v/>
      </c>
      <c r="AE348" s="610" t="str">
        <f t="shared" si="97"/>
        <v/>
      </c>
      <c r="AF348" s="610" t="str">
        <f t="shared" si="98"/>
        <v/>
      </c>
      <c r="AG348" s="610" t="str">
        <f t="shared" si="99"/>
        <v/>
      </c>
      <c r="AH348" s="608" t="str">
        <f t="shared" si="100"/>
        <v/>
      </c>
      <c r="AI348" s="610" t="str">
        <f t="shared" si="101"/>
        <v/>
      </c>
    </row>
    <row r="349" spans="2:35" x14ac:dyDescent="0.25">
      <c r="B349" s="209">
        <v>316</v>
      </c>
      <c r="C349" s="480"/>
      <c r="D349" s="480"/>
      <c r="E349" s="481"/>
      <c r="F349" s="480"/>
      <c r="G349" s="480"/>
      <c r="H349" s="607" t="str">
        <f t="shared" si="86"/>
        <v/>
      </c>
      <c r="I349" s="607" t="str">
        <f t="shared" si="87"/>
        <v/>
      </c>
      <c r="J349" s="607" t="str">
        <f t="shared" si="88"/>
        <v/>
      </c>
      <c r="K349" s="208" t="str">
        <f t="shared" si="89"/>
        <v/>
      </c>
      <c r="L349" s="208" t="str">
        <f t="shared" si="90"/>
        <v/>
      </c>
      <c r="M349" s="208" t="str">
        <f t="shared" si="102"/>
        <v/>
      </c>
      <c r="N349" s="608" t="str">
        <f>IF($D$3="", "", IFERROR(VLOOKUP(L349,'PIPE INCENTIVE'!$B$4:$E$19,2,FALSE),""))</f>
        <v/>
      </c>
      <c r="O349" s="608" t="str">
        <f t="shared" si="103"/>
        <v/>
      </c>
      <c r="P349" s="208" t="str">
        <f t="shared" si="104"/>
        <v/>
      </c>
      <c r="Q349" s="208" t="str">
        <f t="shared" si="91"/>
        <v/>
      </c>
      <c r="R349" s="609" t="str">
        <f t="shared" si="92"/>
        <v/>
      </c>
      <c r="S349" s="609" t="str">
        <f t="shared" si="93"/>
        <v/>
      </c>
      <c r="T349" s="609" t="str">
        <f t="shared" si="94"/>
        <v/>
      </c>
      <c r="U349" s="609" t="str" cm="1">
        <f t="array" ref="U349">IFERROR(IF($D$3="","",_xlfn.LET(_xlpm.Mixed,AND(COUNTIF($G$34:$G$533,"Heating_Hot_Water")&gt;0,(COUNTIF($G$34:$G$533,"Steam_Low_Pressure") + COUNTIF($G$34:$G$533,"Steam_Medium_Pressure") + COUNTIF($G$34:$G$533,"Steam_High_Pressure"))&gt;0),_xlpm.fluid, G349,_xlpm.fuel, K349,_xlpm.load,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49" s="609" t="str">
        <f t="shared" si="105"/>
        <v/>
      </c>
      <c r="W349" s="482"/>
      <c r="X349" s="397" t="str" cm="1">
        <f t="array" ref="X349">IFERROR(IF($D$3="","", _xlfn.XLOOKUP(1,($AR$36:$AR$53=F349)*($AS$36:$AS$53=G349), INDEX($AT$36:$BJ$53,,_xlfn.XMATCH(E349,$AT$35:$BJ$35)))),"")</f>
        <v/>
      </c>
      <c r="Y349" s="480"/>
      <c r="Z349" s="482"/>
      <c r="AA349" s="607" t="str" cm="1">
        <f t="array" ref="AA349">IFERROR(IF($D$3="", "", _xlfn.LET(_xlpm.dia, E349, _xlpm.thk, Z349, _xlpm.temp, I349,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49" s="397" t="str" cm="1">
        <f t="array" ref="AB349">IFERROR(IF($D$3="", "", _xlfn.XLOOKUP(1,($AR$57:$AR$76=Y349)*($AS$57:$AS$76=Z349), INDEX($AT$57:$BJ$76,,_xlfn.XMATCH(E349,$AT$56:$BJ$56)))),"")</f>
        <v/>
      </c>
      <c r="AC349" s="208" t="str">
        <f t="shared" si="95"/>
        <v/>
      </c>
      <c r="AD349" s="397" t="str">
        <f t="shared" si="96"/>
        <v/>
      </c>
      <c r="AE349" s="610" t="str">
        <f t="shared" si="97"/>
        <v/>
      </c>
      <c r="AF349" s="610" t="str">
        <f t="shared" si="98"/>
        <v/>
      </c>
      <c r="AG349" s="610" t="str">
        <f t="shared" si="99"/>
        <v/>
      </c>
      <c r="AH349" s="608" t="str">
        <f t="shared" si="100"/>
        <v/>
      </c>
      <c r="AI349" s="610" t="str">
        <f t="shared" si="101"/>
        <v/>
      </c>
    </row>
    <row r="350" spans="2:35" x14ac:dyDescent="0.25">
      <c r="B350" s="209">
        <v>317</v>
      </c>
      <c r="C350" s="480"/>
      <c r="D350" s="480"/>
      <c r="E350" s="481"/>
      <c r="F350" s="480"/>
      <c r="G350" s="480"/>
      <c r="H350" s="607" t="str">
        <f t="shared" si="86"/>
        <v/>
      </c>
      <c r="I350" s="607" t="str">
        <f t="shared" si="87"/>
        <v/>
      </c>
      <c r="J350" s="607" t="str">
        <f t="shared" si="88"/>
        <v/>
      </c>
      <c r="K350" s="208" t="str">
        <f t="shared" si="89"/>
        <v/>
      </c>
      <c r="L350" s="208" t="str">
        <f t="shared" si="90"/>
        <v/>
      </c>
      <c r="M350" s="208" t="str">
        <f t="shared" si="102"/>
        <v/>
      </c>
      <c r="N350" s="608" t="str">
        <f>IF($D$3="", "", IFERROR(VLOOKUP(L350,'PIPE INCENTIVE'!$B$4:$E$19,2,FALSE),""))</f>
        <v/>
      </c>
      <c r="O350" s="608" t="str">
        <f t="shared" si="103"/>
        <v/>
      </c>
      <c r="P350" s="208" t="str">
        <f t="shared" si="104"/>
        <v/>
      </c>
      <c r="Q350" s="208" t="str">
        <f t="shared" si="91"/>
        <v/>
      </c>
      <c r="R350" s="609" t="str">
        <f t="shared" si="92"/>
        <v/>
      </c>
      <c r="S350" s="609" t="str">
        <f t="shared" si="93"/>
        <v/>
      </c>
      <c r="T350" s="609" t="str">
        <f t="shared" si="94"/>
        <v/>
      </c>
      <c r="U350" s="609" t="str" cm="1">
        <f t="array" ref="U350">IFERROR(IF($D$3="","",_xlfn.LET(_xlpm.Mixed,AND(COUNTIF($G$34:$G$533,"Heating_Hot_Water")&gt;0,(COUNTIF($G$34:$G$533,"Steam_Low_Pressure") + COUNTIF($G$34:$G$533,"Steam_Medium_Pressure") + COUNTIF($G$34:$G$533,"Steam_High_Pressure"))&gt;0),_xlpm.fluid, G350,_xlpm.fuel, K350,_xlpm.load,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0" s="609" t="str">
        <f t="shared" si="105"/>
        <v/>
      </c>
      <c r="W350" s="482"/>
      <c r="X350" s="397" t="str" cm="1">
        <f t="array" ref="X350">IFERROR(IF($D$3="","", _xlfn.XLOOKUP(1,($AR$36:$AR$53=F350)*($AS$36:$AS$53=G350), INDEX($AT$36:$BJ$53,,_xlfn.XMATCH(E350,$AT$35:$BJ$35)))),"")</f>
        <v/>
      </c>
      <c r="Y350" s="480"/>
      <c r="Z350" s="482"/>
      <c r="AA350" s="607" t="str" cm="1">
        <f t="array" ref="AA350">IFERROR(IF($D$3="", "", _xlfn.LET(_xlpm.dia, E350, _xlpm.thk, Z350, _xlpm.temp, I350,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0" s="397" t="str" cm="1">
        <f t="array" ref="AB350">IFERROR(IF($D$3="", "", _xlfn.XLOOKUP(1,($AR$57:$AR$76=Y350)*($AS$57:$AS$76=Z350), INDEX($AT$57:$BJ$76,,_xlfn.XMATCH(E350,$AT$56:$BJ$56)))),"")</f>
        <v/>
      </c>
      <c r="AC350" s="208" t="str">
        <f t="shared" si="95"/>
        <v/>
      </c>
      <c r="AD350" s="397" t="str">
        <f t="shared" si="96"/>
        <v/>
      </c>
      <c r="AE350" s="610" t="str">
        <f t="shared" si="97"/>
        <v/>
      </c>
      <c r="AF350" s="610" t="str">
        <f t="shared" si="98"/>
        <v/>
      </c>
      <c r="AG350" s="610" t="str">
        <f t="shared" si="99"/>
        <v/>
      </c>
      <c r="AH350" s="608" t="str">
        <f t="shared" si="100"/>
        <v/>
      </c>
      <c r="AI350" s="610" t="str">
        <f t="shared" si="101"/>
        <v/>
      </c>
    </row>
    <row r="351" spans="2:35" x14ac:dyDescent="0.25">
      <c r="B351" s="209">
        <v>318</v>
      </c>
      <c r="C351" s="480"/>
      <c r="D351" s="480"/>
      <c r="E351" s="481"/>
      <c r="F351" s="480"/>
      <c r="G351" s="480"/>
      <c r="H351" s="607" t="str">
        <f t="shared" si="86"/>
        <v/>
      </c>
      <c r="I351" s="607" t="str">
        <f t="shared" si="87"/>
        <v/>
      </c>
      <c r="J351" s="607" t="str">
        <f t="shared" si="88"/>
        <v/>
      </c>
      <c r="K351" s="208" t="str">
        <f t="shared" si="89"/>
        <v/>
      </c>
      <c r="L351" s="208" t="str">
        <f t="shared" si="90"/>
        <v/>
      </c>
      <c r="M351" s="208" t="str">
        <f t="shared" si="102"/>
        <v/>
      </c>
      <c r="N351" s="608" t="str">
        <f>IF($D$3="", "", IFERROR(VLOOKUP(L351,'PIPE INCENTIVE'!$B$4:$E$19,2,FALSE),""))</f>
        <v/>
      </c>
      <c r="O351" s="608" t="str">
        <f t="shared" si="103"/>
        <v/>
      </c>
      <c r="P351" s="208" t="str">
        <f t="shared" si="104"/>
        <v/>
      </c>
      <c r="Q351" s="208" t="str">
        <f t="shared" si="91"/>
        <v/>
      </c>
      <c r="R351" s="609" t="str">
        <f t="shared" si="92"/>
        <v/>
      </c>
      <c r="S351" s="609" t="str">
        <f t="shared" si="93"/>
        <v/>
      </c>
      <c r="T351" s="609" t="str">
        <f t="shared" si="94"/>
        <v/>
      </c>
      <c r="U351" s="609" t="str" cm="1">
        <f t="array" ref="U351">IFERROR(IF($D$3="","",_xlfn.LET(_xlpm.Mixed,AND(COUNTIF($G$34:$G$533,"Heating_Hot_Water")&gt;0,(COUNTIF($G$34:$G$533,"Steam_Low_Pressure") + COUNTIF($G$34:$G$533,"Steam_Medium_Pressure") + COUNTIF($G$34:$G$533,"Steam_High_Pressure"))&gt;0),_xlpm.fluid, G351,_xlpm.fuel, K351,_xlpm.load,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1" s="609" t="str">
        <f t="shared" si="105"/>
        <v/>
      </c>
      <c r="W351" s="482"/>
      <c r="X351" s="397" t="str" cm="1">
        <f t="array" ref="X351">IFERROR(IF($D$3="","", _xlfn.XLOOKUP(1,($AR$36:$AR$53=F351)*($AS$36:$AS$53=G351), INDEX($AT$36:$BJ$53,,_xlfn.XMATCH(E351,$AT$35:$BJ$35)))),"")</f>
        <v/>
      </c>
      <c r="Y351" s="480"/>
      <c r="Z351" s="482"/>
      <c r="AA351" s="607" t="str" cm="1">
        <f t="array" ref="AA351">IFERROR(IF($D$3="", "", _xlfn.LET(_xlpm.dia, E351, _xlpm.thk, Z351, _xlpm.temp, I351,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1" s="397" t="str" cm="1">
        <f t="array" ref="AB351">IFERROR(IF($D$3="", "", _xlfn.XLOOKUP(1,($AR$57:$AR$76=Y351)*($AS$57:$AS$76=Z351), INDEX($AT$57:$BJ$76,,_xlfn.XMATCH(E351,$AT$56:$BJ$56)))),"")</f>
        <v/>
      </c>
      <c r="AC351" s="208" t="str">
        <f t="shared" si="95"/>
        <v/>
      </c>
      <c r="AD351" s="397" t="str">
        <f t="shared" si="96"/>
        <v/>
      </c>
      <c r="AE351" s="610" t="str">
        <f t="shared" si="97"/>
        <v/>
      </c>
      <c r="AF351" s="610" t="str">
        <f t="shared" si="98"/>
        <v/>
      </c>
      <c r="AG351" s="610" t="str">
        <f t="shared" si="99"/>
        <v/>
      </c>
      <c r="AH351" s="608" t="str">
        <f t="shared" si="100"/>
        <v/>
      </c>
      <c r="AI351" s="610" t="str">
        <f t="shared" si="101"/>
        <v/>
      </c>
    </row>
    <row r="352" spans="2:35" x14ac:dyDescent="0.25">
      <c r="B352" s="209">
        <v>319</v>
      </c>
      <c r="C352" s="480"/>
      <c r="D352" s="480"/>
      <c r="E352" s="481"/>
      <c r="F352" s="480"/>
      <c r="G352" s="480"/>
      <c r="H352" s="607" t="str">
        <f t="shared" si="86"/>
        <v/>
      </c>
      <c r="I352" s="607" t="str">
        <f t="shared" si="87"/>
        <v/>
      </c>
      <c r="J352" s="607" t="str">
        <f t="shared" si="88"/>
        <v/>
      </c>
      <c r="K352" s="208" t="str">
        <f t="shared" si="89"/>
        <v/>
      </c>
      <c r="L352" s="208" t="str">
        <f t="shared" si="90"/>
        <v/>
      </c>
      <c r="M352" s="208" t="str">
        <f t="shared" si="102"/>
        <v/>
      </c>
      <c r="N352" s="608" t="str">
        <f>IF($D$3="", "", IFERROR(VLOOKUP(L352,'PIPE INCENTIVE'!$B$4:$E$19,2,FALSE),""))</f>
        <v/>
      </c>
      <c r="O352" s="608" t="str">
        <f t="shared" si="103"/>
        <v/>
      </c>
      <c r="P352" s="208" t="str">
        <f t="shared" si="104"/>
        <v/>
      </c>
      <c r="Q352" s="208" t="str">
        <f t="shared" si="91"/>
        <v/>
      </c>
      <c r="R352" s="609" t="str">
        <f t="shared" si="92"/>
        <v/>
      </c>
      <c r="S352" s="609" t="str">
        <f t="shared" si="93"/>
        <v/>
      </c>
      <c r="T352" s="609" t="str">
        <f t="shared" si="94"/>
        <v/>
      </c>
      <c r="U352" s="609" t="str" cm="1">
        <f t="array" ref="U352">IFERROR(IF($D$3="","",_xlfn.LET(_xlpm.Mixed,AND(COUNTIF($G$34:$G$533,"Heating_Hot_Water")&gt;0,(COUNTIF($G$34:$G$533,"Steam_Low_Pressure") + COUNTIF($G$34:$G$533,"Steam_Medium_Pressure") + COUNTIF($G$34:$G$533,"Steam_High_Pressure"))&gt;0),_xlpm.fluid, G352,_xlpm.fuel, K352,_xlpm.load,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2" s="609" t="str">
        <f t="shared" si="105"/>
        <v/>
      </c>
      <c r="W352" s="482"/>
      <c r="X352" s="397" t="str" cm="1">
        <f t="array" ref="X352">IFERROR(IF($D$3="","", _xlfn.XLOOKUP(1,($AR$36:$AR$53=F352)*($AS$36:$AS$53=G352), INDEX($AT$36:$BJ$53,,_xlfn.XMATCH(E352,$AT$35:$BJ$35)))),"")</f>
        <v/>
      </c>
      <c r="Y352" s="480"/>
      <c r="Z352" s="482"/>
      <c r="AA352" s="607" t="str" cm="1">
        <f t="array" ref="AA352">IFERROR(IF($D$3="", "", _xlfn.LET(_xlpm.dia, E352, _xlpm.thk, Z352, _xlpm.temp, I352,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2" s="397" t="str" cm="1">
        <f t="array" ref="AB352">IFERROR(IF($D$3="", "", _xlfn.XLOOKUP(1,($AR$57:$AR$76=Y352)*($AS$57:$AS$76=Z352), INDEX($AT$57:$BJ$76,,_xlfn.XMATCH(E352,$AT$56:$BJ$56)))),"")</f>
        <v/>
      </c>
      <c r="AC352" s="208" t="str">
        <f t="shared" si="95"/>
        <v/>
      </c>
      <c r="AD352" s="397" t="str">
        <f t="shared" si="96"/>
        <v/>
      </c>
      <c r="AE352" s="610" t="str">
        <f t="shared" si="97"/>
        <v/>
      </c>
      <c r="AF352" s="610" t="str">
        <f t="shared" si="98"/>
        <v/>
      </c>
      <c r="AG352" s="610" t="str">
        <f t="shared" si="99"/>
        <v/>
      </c>
      <c r="AH352" s="608" t="str">
        <f t="shared" si="100"/>
        <v/>
      </c>
      <c r="AI352" s="610" t="str">
        <f t="shared" si="101"/>
        <v/>
      </c>
    </row>
    <row r="353" spans="2:35" x14ac:dyDescent="0.25">
      <c r="B353" s="209">
        <v>320</v>
      </c>
      <c r="C353" s="480"/>
      <c r="D353" s="480"/>
      <c r="E353" s="481"/>
      <c r="F353" s="480"/>
      <c r="G353" s="480"/>
      <c r="H353" s="607" t="str">
        <f t="shared" si="86"/>
        <v/>
      </c>
      <c r="I353" s="607" t="str">
        <f t="shared" si="87"/>
        <v/>
      </c>
      <c r="J353" s="607" t="str">
        <f t="shared" si="88"/>
        <v/>
      </c>
      <c r="K353" s="208" t="str">
        <f t="shared" si="89"/>
        <v/>
      </c>
      <c r="L353" s="208" t="str">
        <f t="shared" si="90"/>
        <v/>
      </c>
      <c r="M353" s="208" t="str">
        <f t="shared" si="102"/>
        <v/>
      </c>
      <c r="N353" s="608" t="str">
        <f>IF($D$3="", "", IFERROR(VLOOKUP(L353,'PIPE INCENTIVE'!$B$4:$E$19,2,FALSE),""))</f>
        <v/>
      </c>
      <c r="O353" s="608" t="str">
        <f t="shared" si="103"/>
        <v/>
      </c>
      <c r="P353" s="208" t="str">
        <f t="shared" si="104"/>
        <v/>
      </c>
      <c r="Q353" s="208" t="str">
        <f t="shared" si="91"/>
        <v/>
      </c>
      <c r="R353" s="609" t="str">
        <f t="shared" si="92"/>
        <v/>
      </c>
      <c r="S353" s="609" t="str">
        <f t="shared" si="93"/>
        <v/>
      </c>
      <c r="T353" s="609" t="str">
        <f t="shared" si="94"/>
        <v/>
      </c>
      <c r="U353" s="609" t="str" cm="1">
        <f t="array" ref="U353">IFERROR(IF($D$3="","",_xlfn.LET(_xlpm.Mixed,AND(COUNTIF($G$34:$G$533,"Heating_Hot_Water")&gt;0,(COUNTIF($G$34:$G$533,"Steam_Low_Pressure") + COUNTIF($G$34:$G$533,"Steam_Medium_Pressure") + COUNTIF($G$34:$G$533,"Steam_High_Pressure"))&gt;0),_xlpm.fluid, G353,_xlpm.fuel, K353,_xlpm.load,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3" s="609" t="str">
        <f t="shared" si="105"/>
        <v/>
      </c>
      <c r="W353" s="482"/>
      <c r="X353" s="397" t="str" cm="1">
        <f t="array" ref="X353">IFERROR(IF($D$3="","", _xlfn.XLOOKUP(1,($AR$36:$AR$53=F353)*($AS$36:$AS$53=G353), INDEX($AT$36:$BJ$53,,_xlfn.XMATCH(E353,$AT$35:$BJ$35)))),"")</f>
        <v/>
      </c>
      <c r="Y353" s="480"/>
      <c r="Z353" s="482"/>
      <c r="AA353" s="607" t="str" cm="1">
        <f t="array" ref="AA353">IFERROR(IF($D$3="", "", _xlfn.LET(_xlpm.dia, E353, _xlpm.thk, Z353, _xlpm.temp, I353,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3" s="397" t="str" cm="1">
        <f t="array" ref="AB353">IFERROR(IF($D$3="", "", _xlfn.XLOOKUP(1,($AR$57:$AR$76=Y353)*($AS$57:$AS$76=Z353), INDEX($AT$57:$BJ$76,,_xlfn.XMATCH(E353,$AT$56:$BJ$56)))),"")</f>
        <v/>
      </c>
      <c r="AC353" s="208" t="str">
        <f t="shared" si="95"/>
        <v/>
      </c>
      <c r="AD353" s="397" t="str">
        <f t="shared" si="96"/>
        <v/>
      </c>
      <c r="AE353" s="610" t="str">
        <f t="shared" si="97"/>
        <v/>
      </c>
      <c r="AF353" s="610" t="str">
        <f t="shared" si="98"/>
        <v/>
      </c>
      <c r="AG353" s="610" t="str">
        <f t="shared" si="99"/>
        <v/>
      </c>
      <c r="AH353" s="608" t="str">
        <f t="shared" si="100"/>
        <v/>
      </c>
      <c r="AI353" s="610" t="str">
        <f t="shared" si="101"/>
        <v/>
      </c>
    </row>
    <row r="354" spans="2:35" x14ac:dyDescent="0.25">
      <c r="B354" s="209">
        <v>321</v>
      </c>
      <c r="C354" s="480"/>
      <c r="D354" s="480"/>
      <c r="E354" s="481"/>
      <c r="F354" s="480"/>
      <c r="G354" s="480"/>
      <c r="H354" s="607" t="str">
        <f t="shared" ref="H354:H417" si="106">IFERROR(IF($D$3="", "", VLOOKUP(G354,$AM$53:$AN$60,2,FALSE)),"")</f>
        <v/>
      </c>
      <c r="I354" s="607" t="str">
        <f t="shared" ref="I354:I417" si="107">IFERROR(IF($D$3 = "", "", VLOOKUP(G354,$AM$64:$AN$71,2,FALSE)),"")</f>
        <v/>
      </c>
      <c r="J354" s="607" t="str">
        <f t="shared" ref="J354:J417" si="108">IFERROR(IF($D$3="", "", ABS(I354-H354)),"")</f>
        <v/>
      </c>
      <c r="K354" s="208" t="str">
        <f t="shared" ref="K354:K417" si="109">IFERROR(IF($D$3="", "", IF(OR(G354="Steam_Low_Pressure", G354="Steam_Medium_Pressure",G354="Steam_High_Pressure", G354="Heating_Hot_Water", G354="Steam_Condensate"), "Heating"&amp;$AT$115, IF(G354="Domestic_Hot_Water", G354&amp;$AT$131, IF(OR(G354="CoolingSupply", G354="CoolingReturn"), G354&amp;$AT$122,"")))),"")</f>
        <v/>
      </c>
      <c r="L354" s="208" t="str">
        <f t="shared" ref="L354:L417" si="110">IF($D$3="","", IFERROR(IF($D$7="Large C &amp; I (LCI)", "LCI", "SMB")&amp;"_"&amp;IF(RIGHT(K354, 6)="Fossil", "Gas_", "Electric_")&amp;$D$8&amp;"_"&amp;IF($D$9="No", "DACNo", "DACYes"),""))</f>
        <v/>
      </c>
      <c r="M354" s="208" t="str">
        <f t="shared" si="102"/>
        <v/>
      </c>
      <c r="N354" s="608" t="str">
        <f>IF($D$3="", "", IFERROR(VLOOKUP(L354,'PIPE INCENTIVE'!$B$4:$E$19,2,FALSE),""))</f>
        <v/>
      </c>
      <c r="O354" s="608" t="str">
        <f t="shared" si="103"/>
        <v/>
      </c>
      <c r="P354" s="208" t="str">
        <f t="shared" si="104"/>
        <v/>
      </c>
      <c r="Q354" s="208" t="str">
        <f t="shared" ref="Q354:Q417" si="111">IFERROR(IF($D$3="","",IF(P354="Domestic_Hot_Water_AY",8760,IF(P354="Domestic_Hot_Water_HSO",VLOOKUP($D$5,$AM$74:$AN$81,2,FALSE),IF(P354="NOTDHW",IF($D$21="Yes",IF(OR(G354="CoolingSupply",G354="CoolingReturn"), $D$23, $D$22),IF(OR(G354="CoolingSupply",G354="CoolingReturn"), $AP$44, $AP$43)),"")))),"")</f>
        <v/>
      </c>
      <c r="R354" s="609" t="str">
        <f t="shared" ref="R354:R417" si="112">IFERROR(IF($D$3="", "", VLOOKUP(K354,$AM$86:$AN$96,2, FALSE)),"")</f>
        <v/>
      </c>
      <c r="S354" s="609" t="str">
        <f t="shared" ref="S354:S417" si="113">IFERROR(IF($D$3="", "", VLOOKUP(K354,$AM$100:$AN$110,2, FALSE)),"")</f>
        <v/>
      </c>
      <c r="T354" s="609" t="str">
        <f t="shared" ref="T354:T417" si="114">IF($D$3="","",IFERROR(IF(OR(K354="CoolingSupplyElectric",K354="CoolingReturnElectric"),IF($D$20&lt;&gt;"",$D$20, _xlfn.XLOOKUP(K354,$AR$102:$AR$107,$AS$102:$AS$107)),IF(OR(K354="HeatingElectric",K354="Domestic_Hot_WaterElectric",K354="Domestic_Hot_WaterUnknown"),0.98,0.98)),""))</f>
        <v/>
      </c>
      <c r="U354" s="609" t="str" cm="1">
        <f t="array" ref="U354">IFERROR(IF($D$3="","",_xlfn.LET(_xlpm.Mixed,AND(COUNTIF($G$34:$G$533,"Heating_Hot_Water")&gt;0,(COUNTIF($G$34:$G$533,"Steam_Low_Pressure") + COUNTIF($G$34:$G$533,"Steam_Medium_Pressure") + COUNTIF($G$34:$G$533,"Steam_High_Pressure"))&gt;0),_xlpm.fluid, G354,_xlpm.fuel, K354,_xlpm.load,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4" s="609" t="str">
        <f t="shared" si="105"/>
        <v/>
      </c>
      <c r="W354" s="482"/>
      <c r="X354" s="397" t="str" cm="1">
        <f t="array" ref="X354">IFERROR(IF($D$3="","", _xlfn.XLOOKUP(1,($AR$36:$AR$53=F354)*($AS$36:$AS$53=G354), INDEX($AT$36:$BJ$53,,_xlfn.XMATCH(E354,$AT$35:$BJ$35)))),"")</f>
        <v/>
      </c>
      <c r="Y354" s="480"/>
      <c r="Z354" s="482"/>
      <c r="AA354" s="607" t="str" cm="1">
        <f t="array" ref="AA354">IFERROR(IF($D$3="", "", _xlfn.LET(_xlpm.dia, E354, _xlpm.thk, Z354, _xlpm.temp, I354,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4" s="397" t="str" cm="1">
        <f t="array" ref="AB354">IFERROR(IF($D$3="", "", _xlfn.XLOOKUP(1,($AR$57:$AR$76=Y354)*($AS$57:$AS$76=Z354), INDEX($AT$57:$BJ$76,,_xlfn.XMATCH(E354,$AT$56:$BJ$56)))),"")</f>
        <v/>
      </c>
      <c r="AC354" s="208" t="str">
        <f t="shared" ref="AC354:AC417" si="115">IFERROR(IF($D$3="", "", IF(AND($AT$115="Fossil", $AT$122="Fossil", $AT$131="Fossil"), 0, ((X354-AB354)/(T354*3412))*W354*J354*Q354*R354)),"")</f>
        <v/>
      </c>
      <c r="AD354" s="397" t="str">
        <f t="shared" ref="AD354:AD417" si="116">IFERROR(IF($D$3="", "", AC354*V354/8760),"")</f>
        <v/>
      </c>
      <c r="AE354" s="610" t="str">
        <f t="shared" ref="AE354:AE417" si="117">IFERROR(IF(AF354="", "", AF354*10),"")</f>
        <v/>
      </c>
      <c r="AF354" s="610" t="str">
        <f t="shared" ref="AF354:AF417" si="118">IFERROR(IF($D$3="", "", IF(AND($AT$115="Electric", $AT$122="Electric", $AT$131="Electric"), 0, ((X354-AB354)/(U354*1000000))*W354*J354*Q354*S354)),"")</f>
        <v/>
      </c>
      <c r="AG354" s="610" t="str">
        <f t="shared" ref="AG354:AG417" si="119">IFERROR(IF(AC354&lt;&gt;0, AC354*3412/1000000, 0),"")</f>
        <v/>
      </c>
      <c r="AH354" s="608" t="str">
        <f t="shared" ref="AH354:AH417" si="120">IFERROR(IF($D$3="","",IF(OR(AND(ISNUMBER(SEARCH("Domestic_Hot_Water",$K354)),OR(ISNUMBER(SEARCH("Not National Grid",$D$17)),ISNUMBER(SEARCH("Oil/Propane/Wood",$D$17)))),AND(ISNUMBER(SEARCH("Cooling",$K354)),ISNUMBER(SEARCH("Not National Grid",$D$16))),AND(NOT(ISNUMBER(SEARCH("Domestic_Hot_Water",$K354))),NOT(ISNUMBER(SEARCH("Cooling",$K354))),OR(ISNUMBER(SEARCH("Not National Grid",$D$15)),ISNUMBER(SEARCH("Oil/Propane/Wood",$D$15))))),0,IF(AA354="No",0,IF(M354="PERTHERM",N354*AE354,N354*W354)))),"")</f>
        <v/>
      </c>
      <c r="AI354" s="610" t="str">
        <f t="shared" ref="AI354:AI417" si="121">IFERROR(AG354+AF354,"")</f>
        <v/>
      </c>
    </row>
    <row r="355" spans="2:35" x14ac:dyDescent="0.25">
      <c r="B355" s="209">
        <v>322</v>
      </c>
      <c r="C355" s="480"/>
      <c r="D355" s="480"/>
      <c r="E355" s="481"/>
      <c r="F355" s="480"/>
      <c r="G355" s="480"/>
      <c r="H355" s="607" t="str">
        <f t="shared" si="106"/>
        <v/>
      </c>
      <c r="I355" s="607" t="str">
        <f t="shared" si="107"/>
        <v/>
      </c>
      <c r="J355" s="607" t="str">
        <f t="shared" si="108"/>
        <v/>
      </c>
      <c r="K355" s="208" t="str">
        <f t="shared" si="109"/>
        <v/>
      </c>
      <c r="L355" s="208" t="str">
        <f t="shared" si="110"/>
        <v/>
      </c>
      <c r="M355" s="208" t="str">
        <f t="shared" ref="M355:M418" si="122">IF($D$3="","",IFERROR(IF(LEFT(L355,7)="LCI_Gas","PERTHERM","PERLF"),""))</f>
        <v/>
      </c>
      <c r="N355" s="608" t="str">
        <f>IF($D$3="", "", IFERROR(VLOOKUP(L355,'PIPE INCENTIVE'!$B$4:$E$19,2,FALSE),""))</f>
        <v/>
      </c>
      <c r="O355" s="608" t="str">
        <f t="shared" ref="O355:O418" si="123">IF($D$3="", "", IFERROR(IF(RIGHT(K355,6)="Fossil","Gas","Electric"),""))</f>
        <v/>
      </c>
      <c r="P355" s="208" t="str">
        <f t="shared" ref="P355:P418" si="124">IFERROR(IF($D$3="", "", IF(AND(G355="Domestic_Hot_Water",$D$18="All Year"),G355&amp;"_AY",IF(AND(G355="Domestic_Hot_Water",$D$18="Heating Season Only"),G355&amp;"_HSO","NOTDHW"))),"")</f>
        <v/>
      </c>
      <c r="Q355" s="208" t="str">
        <f t="shared" si="111"/>
        <v/>
      </c>
      <c r="R355" s="609" t="str">
        <f t="shared" si="112"/>
        <v/>
      </c>
      <c r="S355" s="609" t="str">
        <f t="shared" si="113"/>
        <v/>
      </c>
      <c r="T355" s="609" t="str">
        <f t="shared" si="114"/>
        <v/>
      </c>
      <c r="U355" s="609" t="str" cm="1">
        <f t="array" ref="U355">IFERROR(IF($D$3="","",_xlfn.LET(_xlpm.Mixed,AND(COUNTIF($G$34:$G$533,"Heating_Hot_Water")&gt;0,(COUNTIF($G$34:$G$533,"Steam_Low_Pressure") + COUNTIF($G$34:$G$533,"Steam_Medium_Pressure") + COUNTIF($G$34:$G$533,"Steam_High_Pressure"))&gt;0),_xlpm.fluid, G355,_xlpm.fuel, K355,_xlpm.load,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5" s="609" t="str">
        <f t="shared" ref="V355:V418" si="125">IFERROR(IF($D$3="", "", IF(K355="Domestic_Hot_WaterElectric", 1, 0)),"")</f>
        <v/>
      </c>
      <c r="W355" s="482"/>
      <c r="X355" s="397" t="str" cm="1">
        <f t="array" ref="X355">IFERROR(IF($D$3="","", _xlfn.XLOOKUP(1,($AR$36:$AR$53=F355)*($AS$36:$AS$53=G355), INDEX($AT$36:$BJ$53,,_xlfn.XMATCH(E355,$AT$35:$BJ$35)))),"")</f>
        <v/>
      </c>
      <c r="Y355" s="480"/>
      <c r="Z355" s="482"/>
      <c r="AA355" s="607" t="str" cm="1">
        <f t="array" ref="AA355">IFERROR(IF($D$3="", "", _xlfn.LET(_xlpm.dia, E355, _xlpm.thk, Z355, _xlpm.temp, I355,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5" s="397" t="str" cm="1">
        <f t="array" ref="AB355">IFERROR(IF($D$3="", "", _xlfn.XLOOKUP(1,($AR$57:$AR$76=Y355)*($AS$57:$AS$76=Z355), INDEX($AT$57:$BJ$76,,_xlfn.XMATCH(E355,$AT$56:$BJ$56)))),"")</f>
        <v/>
      </c>
      <c r="AC355" s="208" t="str">
        <f t="shared" si="115"/>
        <v/>
      </c>
      <c r="AD355" s="397" t="str">
        <f t="shared" si="116"/>
        <v/>
      </c>
      <c r="AE355" s="610" t="str">
        <f t="shared" si="117"/>
        <v/>
      </c>
      <c r="AF355" s="610" t="str">
        <f t="shared" si="118"/>
        <v/>
      </c>
      <c r="AG355" s="610" t="str">
        <f t="shared" si="119"/>
        <v/>
      </c>
      <c r="AH355" s="608" t="str">
        <f t="shared" si="120"/>
        <v/>
      </c>
      <c r="AI355" s="610" t="str">
        <f t="shared" si="121"/>
        <v/>
      </c>
    </row>
    <row r="356" spans="2:35" x14ac:dyDescent="0.25">
      <c r="B356" s="209">
        <v>323</v>
      </c>
      <c r="C356" s="480"/>
      <c r="D356" s="480"/>
      <c r="E356" s="481"/>
      <c r="F356" s="480"/>
      <c r="G356" s="480"/>
      <c r="H356" s="607" t="str">
        <f t="shared" si="106"/>
        <v/>
      </c>
      <c r="I356" s="607" t="str">
        <f t="shared" si="107"/>
        <v/>
      </c>
      <c r="J356" s="607" t="str">
        <f t="shared" si="108"/>
        <v/>
      </c>
      <c r="K356" s="208" t="str">
        <f t="shared" si="109"/>
        <v/>
      </c>
      <c r="L356" s="208" t="str">
        <f t="shared" si="110"/>
        <v/>
      </c>
      <c r="M356" s="208" t="str">
        <f t="shared" si="122"/>
        <v/>
      </c>
      <c r="N356" s="608" t="str">
        <f>IF($D$3="", "", IFERROR(VLOOKUP(L356,'PIPE INCENTIVE'!$B$4:$E$19,2,FALSE),""))</f>
        <v/>
      </c>
      <c r="O356" s="608" t="str">
        <f t="shared" si="123"/>
        <v/>
      </c>
      <c r="P356" s="208" t="str">
        <f t="shared" si="124"/>
        <v/>
      </c>
      <c r="Q356" s="208" t="str">
        <f t="shared" si="111"/>
        <v/>
      </c>
      <c r="R356" s="609" t="str">
        <f t="shared" si="112"/>
        <v/>
      </c>
      <c r="S356" s="609" t="str">
        <f t="shared" si="113"/>
        <v/>
      </c>
      <c r="T356" s="609" t="str">
        <f t="shared" si="114"/>
        <v/>
      </c>
      <c r="U356" s="609" t="str" cm="1">
        <f t="array" ref="U356">IFERROR(IF($D$3="","",_xlfn.LET(_xlpm.Mixed,AND(COUNTIF($G$34:$G$533,"Heating_Hot_Water")&gt;0,(COUNTIF($G$34:$G$533,"Steam_Low_Pressure") + COUNTIF($G$34:$G$533,"Steam_Medium_Pressure") + COUNTIF($G$34:$G$533,"Steam_High_Pressure"))&gt;0),_xlpm.fluid, G356,_xlpm.fuel, K356,_xlpm.load,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6" s="609" t="str">
        <f t="shared" si="125"/>
        <v/>
      </c>
      <c r="W356" s="482"/>
      <c r="X356" s="397" t="str" cm="1">
        <f t="array" ref="X356">IFERROR(IF($D$3="","", _xlfn.XLOOKUP(1,($AR$36:$AR$53=F356)*($AS$36:$AS$53=G356), INDEX($AT$36:$BJ$53,,_xlfn.XMATCH(E356,$AT$35:$BJ$35)))),"")</f>
        <v/>
      </c>
      <c r="Y356" s="480"/>
      <c r="Z356" s="482"/>
      <c r="AA356" s="607" t="str" cm="1">
        <f t="array" ref="AA356">IFERROR(IF($D$3="", "", _xlfn.LET(_xlpm.dia, E356, _xlpm.thk, Z356, _xlpm.temp, I356,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6" s="397" t="str" cm="1">
        <f t="array" ref="AB356">IFERROR(IF($D$3="", "", _xlfn.XLOOKUP(1,($AR$57:$AR$76=Y356)*($AS$57:$AS$76=Z356), INDEX($AT$57:$BJ$76,,_xlfn.XMATCH(E356,$AT$56:$BJ$56)))),"")</f>
        <v/>
      </c>
      <c r="AC356" s="208" t="str">
        <f t="shared" si="115"/>
        <v/>
      </c>
      <c r="AD356" s="397" t="str">
        <f t="shared" si="116"/>
        <v/>
      </c>
      <c r="AE356" s="610" t="str">
        <f t="shared" si="117"/>
        <v/>
      </c>
      <c r="AF356" s="610" t="str">
        <f t="shared" si="118"/>
        <v/>
      </c>
      <c r="AG356" s="610" t="str">
        <f t="shared" si="119"/>
        <v/>
      </c>
      <c r="AH356" s="608" t="str">
        <f t="shared" si="120"/>
        <v/>
      </c>
      <c r="AI356" s="610" t="str">
        <f t="shared" si="121"/>
        <v/>
      </c>
    </row>
    <row r="357" spans="2:35" x14ac:dyDescent="0.25">
      <c r="B357" s="209">
        <v>324</v>
      </c>
      <c r="C357" s="480"/>
      <c r="D357" s="480"/>
      <c r="E357" s="481"/>
      <c r="F357" s="480"/>
      <c r="G357" s="480"/>
      <c r="H357" s="607" t="str">
        <f t="shared" si="106"/>
        <v/>
      </c>
      <c r="I357" s="607" t="str">
        <f t="shared" si="107"/>
        <v/>
      </c>
      <c r="J357" s="607" t="str">
        <f t="shared" si="108"/>
        <v/>
      </c>
      <c r="K357" s="208" t="str">
        <f t="shared" si="109"/>
        <v/>
      </c>
      <c r="L357" s="208" t="str">
        <f t="shared" si="110"/>
        <v/>
      </c>
      <c r="M357" s="208" t="str">
        <f t="shared" si="122"/>
        <v/>
      </c>
      <c r="N357" s="608" t="str">
        <f>IF($D$3="", "", IFERROR(VLOOKUP(L357,'PIPE INCENTIVE'!$B$4:$E$19,2,FALSE),""))</f>
        <v/>
      </c>
      <c r="O357" s="608" t="str">
        <f t="shared" si="123"/>
        <v/>
      </c>
      <c r="P357" s="208" t="str">
        <f t="shared" si="124"/>
        <v/>
      </c>
      <c r="Q357" s="208" t="str">
        <f t="shared" si="111"/>
        <v/>
      </c>
      <c r="R357" s="609" t="str">
        <f t="shared" si="112"/>
        <v/>
      </c>
      <c r="S357" s="609" t="str">
        <f t="shared" si="113"/>
        <v/>
      </c>
      <c r="T357" s="609" t="str">
        <f t="shared" si="114"/>
        <v/>
      </c>
      <c r="U357" s="609" t="str" cm="1">
        <f t="array" ref="U357">IFERROR(IF($D$3="","",_xlfn.LET(_xlpm.Mixed,AND(COUNTIF($G$34:$G$533,"Heating_Hot_Water")&gt;0,(COUNTIF($G$34:$G$533,"Steam_Low_Pressure") + COUNTIF($G$34:$G$533,"Steam_Medium_Pressure") + COUNTIF($G$34:$G$533,"Steam_High_Pressure"))&gt;0),_xlpm.fluid, G357,_xlpm.fuel, K357,_xlpm.load,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7" s="609" t="str">
        <f t="shared" si="125"/>
        <v/>
      </c>
      <c r="W357" s="482"/>
      <c r="X357" s="397" t="str" cm="1">
        <f t="array" ref="X357">IFERROR(IF($D$3="","", _xlfn.XLOOKUP(1,($AR$36:$AR$53=F357)*($AS$36:$AS$53=G357), INDEX($AT$36:$BJ$53,,_xlfn.XMATCH(E357,$AT$35:$BJ$35)))),"")</f>
        <v/>
      </c>
      <c r="Y357" s="480"/>
      <c r="Z357" s="482"/>
      <c r="AA357" s="607" t="str" cm="1">
        <f t="array" ref="AA357">IFERROR(IF($D$3="", "", _xlfn.LET(_xlpm.dia, E357, _xlpm.thk, Z357, _xlpm.temp, I357,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7" s="397" t="str" cm="1">
        <f t="array" ref="AB357">IFERROR(IF($D$3="", "", _xlfn.XLOOKUP(1,($AR$57:$AR$76=Y357)*($AS$57:$AS$76=Z357), INDEX($AT$57:$BJ$76,,_xlfn.XMATCH(E357,$AT$56:$BJ$56)))),"")</f>
        <v/>
      </c>
      <c r="AC357" s="208" t="str">
        <f t="shared" si="115"/>
        <v/>
      </c>
      <c r="AD357" s="397" t="str">
        <f t="shared" si="116"/>
        <v/>
      </c>
      <c r="AE357" s="610" t="str">
        <f t="shared" si="117"/>
        <v/>
      </c>
      <c r="AF357" s="610" t="str">
        <f t="shared" si="118"/>
        <v/>
      </c>
      <c r="AG357" s="610" t="str">
        <f t="shared" si="119"/>
        <v/>
      </c>
      <c r="AH357" s="608" t="str">
        <f t="shared" si="120"/>
        <v/>
      </c>
      <c r="AI357" s="610" t="str">
        <f t="shared" si="121"/>
        <v/>
      </c>
    </row>
    <row r="358" spans="2:35" x14ac:dyDescent="0.25">
      <c r="B358" s="209">
        <v>325</v>
      </c>
      <c r="C358" s="480"/>
      <c r="D358" s="480"/>
      <c r="E358" s="481"/>
      <c r="F358" s="480"/>
      <c r="G358" s="480"/>
      <c r="H358" s="607" t="str">
        <f t="shared" si="106"/>
        <v/>
      </c>
      <c r="I358" s="607" t="str">
        <f t="shared" si="107"/>
        <v/>
      </c>
      <c r="J358" s="607" t="str">
        <f t="shared" si="108"/>
        <v/>
      </c>
      <c r="K358" s="208" t="str">
        <f t="shared" si="109"/>
        <v/>
      </c>
      <c r="L358" s="208" t="str">
        <f t="shared" si="110"/>
        <v/>
      </c>
      <c r="M358" s="208" t="str">
        <f t="shared" si="122"/>
        <v/>
      </c>
      <c r="N358" s="608" t="str">
        <f>IF($D$3="", "", IFERROR(VLOOKUP(L358,'PIPE INCENTIVE'!$B$4:$E$19,2,FALSE),""))</f>
        <v/>
      </c>
      <c r="O358" s="608" t="str">
        <f t="shared" si="123"/>
        <v/>
      </c>
      <c r="P358" s="208" t="str">
        <f t="shared" si="124"/>
        <v/>
      </c>
      <c r="Q358" s="208" t="str">
        <f t="shared" si="111"/>
        <v/>
      </c>
      <c r="R358" s="609" t="str">
        <f t="shared" si="112"/>
        <v/>
      </c>
      <c r="S358" s="609" t="str">
        <f t="shared" si="113"/>
        <v/>
      </c>
      <c r="T358" s="609" t="str">
        <f t="shared" si="114"/>
        <v/>
      </c>
      <c r="U358" s="609" t="str" cm="1">
        <f t="array" ref="U358">IFERROR(IF($D$3="","",_xlfn.LET(_xlpm.Mixed,AND(COUNTIF($G$34:$G$533,"Heating_Hot_Water")&gt;0,(COUNTIF($G$34:$G$533,"Steam_Low_Pressure") + COUNTIF($G$34:$G$533,"Steam_Medium_Pressure") + COUNTIF($G$34:$G$533,"Steam_High_Pressure"))&gt;0),_xlpm.fluid, G358,_xlpm.fuel, K358,_xlpm.load,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8" s="609" t="str">
        <f t="shared" si="125"/>
        <v/>
      </c>
      <c r="W358" s="482"/>
      <c r="X358" s="397" t="str" cm="1">
        <f t="array" ref="X358">IFERROR(IF($D$3="","", _xlfn.XLOOKUP(1,($AR$36:$AR$53=F358)*($AS$36:$AS$53=G358), INDEX($AT$36:$BJ$53,,_xlfn.XMATCH(E358,$AT$35:$BJ$35)))),"")</f>
        <v/>
      </c>
      <c r="Y358" s="480"/>
      <c r="Z358" s="482"/>
      <c r="AA358" s="607" t="str" cm="1">
        <f t="array" ref="AA358">IFERROR(IF($D$3="", "", _xlfn.LET(_xlpm.dia, E358, _xlpm.thk, Z358, _xlpm.temp, I358,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8" s="397" t="str" cm="1">
        <f t="array" ref="AB358">IFERROR(IF($D$3="", "", _xlfn.XLOOKUP(1,($AR$57:$AR$76=Y358)*($AS$57:$AS$76=Z358), INDEX($AT$57:$BJ$76,,_xlfn.XMATCH(E358,$AT$56:$BJ$56)))),"")</f>
        <v/>
      </c>
      <c r="AC358" s="208" t="str">
        <f t="shared" si="115"/>
        <v/>
      </c>
      <c r="AD358" s="397" t="str">
        <f t="shared" si="116"/>
        <v/>
      </c>
      <c r="AE358" s="610" t="str">
        <f t="shared" si="117"/>
        <v/>
      </c>
      <c r="AF358" s="610" t="str">
        <f t="shared" si="118"/>
        <v/>
      </c>
      <c r="AG358" s="610" t="str">
        <f t="shared" si="119"/>
        <v/>
      </c>
      <c r="AH358" s="608" t="str">
        <f t="shared" si="120"/>
        <v/>
      </c>
      <c r="AI358" s="610" t="str">
        <f t="shared" si="121"/>
        <v/>
      </c>
    </row>
    <row r="359" spans="2:35" x14ac:dyDescent="0.25">
      <c r="B359" s="209">
        <v>326</v>
      </c>
      <c r="C359" s="480"/>
      <c r="D359" s="480"/>
      <c r="E359" s="481"/>
      <c r="F359" s="480"/>
      <c r="G359" s="480"/>
      <c r="H359" s="607" t="str">
        <f t="shared" si="106"/>
        <v/>
      </c>
      <c r="I359" s="607" t="str">
        <f t="shared" si="107"/>
        <v/>
      </c>
      <c r="J359" s="607" t="str">
        <f t="shared" si="108"/>
        <v/>
      </c>
      <c r="K359" s="208" t="str">
        <f t="shared" si="109"/>
        <v/>
      </c>
      <c r="L359" s="208" t="str">
        <f t="shared" si="110"/>
        <v/>
      </c>
      <c r="M359" s="208" t="str">
        <f t="shared" si="122"/>
        <v/>
      </c>
      <c r="N359" s="608" t="str">
        <f>IF($D$3="", "", IFERROR(VLOOKUP(L359,'PIPE INCENTIVE'!$B$4:$E$19,2,FALSE),""))</f>
        <v/>
      </c>
      <c r="O359" s="608" t="str">
        <f t="shared" si="123"/>
        <v/>
      </c>
      <c r="P359" s="208" t="str">
        <f t="shared" si="124"/>
        <v/>
      </c>
      <c r="Q359" s="208" t="str">
        <f t="shared" si="111"/>
        <v/>
      </c>
      <c r="R359" s="609" t="str">
        <f t="shared" si="112"/>
        <v/>
      </c>
      <c r="S359" s="609" t="str">
        <f t="shared" si="113"/>
        <v/>
      </c>
      <c r="T359" s="609" t="str">
        <f t="shared" si="114"/>
        <v/>
      </c>
      <c r="U359" s="609" t="str" cm="1">
        <f t="array" ref="U359">IFERROR(IF($D$3="","",_xlfn.LET(_xlpm.Mixed,AND(COUNTIF($G$34:$G$533,"Heating_Hot_Water")&gt;0,(COUNTIF($G$34:$G$533,"Steam_Low_Pressure") + COUNTIF($G$34:$G$533,"Steam_Medium_Pressure") + COUNTIF($G$34:$G$533,"Steam_High_Pressure"))&gt;0),_xlpm.fluid, G359,_xlpm.fuel, K359,_xlpm.load,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59" s="609" t="str">
        <f t="shared" si="125"/>
        <v/>
      </c>
      <c r="W359" s="482"/>
      <c r="X359" s="397" t="str" cm="1">
        <f t="array" ref="X359">IFERROR(IF($D$3="","", _xlfn.XLOOKUP(1,($AR$36:$AR$53=F359)*($AS$36:$AS$53=G359), INDEX($AT$36:$BJ$53,,_xlfn.XMATCH(E359,$AT$35:$BJ$35)))),"")</f>
        <v/>
      </c>
      <c r="Y359" s="480"/>
      <c r="Z359" s="482"/>
      <c r="AA359" s="607" t="str" cm="1">
        <f t="array" ref="AA359">IFERROR(IF($D$3="", "", _xlfn.LET(_xlpm.dia, E359, _xlpm.thk, Z359, _xlpm.temp, I359,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59" s="397" t="str" cm="1">
        <f t="array" ref="AB359">IFERROR(IF($D$3="", "", _xlfn.XLOOKUP(1,($AR$57:$AR$76=Y359)*($AS$57:$AS$76=Z359), INDEX($AT$57:$BJ$76,,_xlfn.XMATCH(E359,$AT$56:$BJ$56)))),"")</f>
        <v/>
      </c>
      <c r="AC359" s="208" t="str">
        <f t="shared" si="115"/>
        <v/>
      </c>
      <c r="AD359" s="397" t="str">
        <f t="shared" si="116"/>
        <v/>
      </c>
      <c r="AE359" s="610" t="str">
        <f t="shared" si="117"/>
        <v/>
      </c>
      <c r="AF359" s="610" t="str">
        <f t="shared" si="118"/>
        <v/>
      </c>
      <c r="AG359" s="610" t="str">
        <f t="shared" si="119"/>
        <v/>
      </c>
      <c r="AH359" s="608" t="str">
        <f t="shared" si="120"/>
        <v/>
      </c>
      <c r="AI359" s="610" t="str">
        <f t="shared" si="121"/>
        <v/>
      </c>
    </row>
    <row r="360" spans="2:35" x14ac:dyDescent="0.25">
      <c r="B360" s="209">
        <v>327</v>
      </c>
      <c r="C360" s="480"/>
      <c r="D360" s="480"/>
      <c r="E360" s="481"/>
      <c r="F360" s="480"/>
      <c r="G360" s="480"/>
      <c r="H360" s="607" t="str">
        <f t="shared" si="106"/>
        <v/>
      </c>
      <c r="I360" s="607" t="str">
        <f t="shared" si="107"/>
        <v/>
      </c>
      <c r="J360" s="607" t="str">
        <f t="shared" si="108"/>
        <v/>
      </c>
      <c r="K360" s="208" t="str">
        <f t="shared" si="109"/>
        <v/>
      </c>
      <c r="L360" s="208" t="str">
        <f t="shared" si="110"/>
        <v/>
      </c>
      <c r="M360" s="208" t="str">
        <f t="shared" si="122"/>
        <v/>
      </c>
      <c r="N360" s="608" t="str">
        <f>IF($D$3="", "", IFERROR(VLOOKUP(L360,'PIPE INCENTIVE'!$B$4:$E$19,2,FALSE),""))</f>
        <v/>
      </c>
      <c r="O360" s="608" t="str">
        <f t="shared" si="123"/>
        <v/>
      </c>
      <c r="P360" s="208" t="str">
        <f t="shared" si="124"/>
        <v/>
      </c>
      <c r="Q360" s="208" t="str">
        <f t="shared" si="111"/>
        <v/>
      </c>
      <c r="R360" s="609" t="str">
        <f t="shared" si="112"/>
        <v/>
      </c>
      <c r="S360" s="609" t="str">
        <f t="shared" si="113"/>
        <v/>
      </c>
      <c r="T360" s="609" t="str">
        <f t="shared" si="114"/>
        <v/>
      </c>
      <c r="U360" s="609" t="str" cm="1">
        <f t="array" ref="U360">IFERROR(IF($D$3="","",_xlfn.LET(_xlpm.Mixed,AND(COUNTIF($G$34:$G$533,"Heating_Hot_Water")&gt;0,(COUNTIF($G$34:$G$533,"Steam_Low_Pressure") + COUNTIF($G$34:$G$533,"Steam_Medium_Pressure") + COUNTIF($G$34:$G$533,"Steam_High_Pressure"))&gt;0),_xlpm.fluid, G360,_xlpm.fuel, K360,_xlpm.load,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0" s="609" t="str">
        <f t="shared" si="125"/>
        <v/>
      </c>
      <c r="W360" s="482"/>
      <c r="X360" s="397" t="str" cm="1">
        <f t="array" ref="X360">IFERROR(IF($D$3="","", _xlfn.XLOOKUP(1,($AR$36:$AR$53=F360)*($AS$36:$AS$53=G360), INDEX($AT$36:$BJ$53,,_xlfn.XMATCH(E360,$AT$35:$BJ$35)))),"")</f>
        <v/>
      </c>
      <c r="Y360" s="480"/>
      <c r="Z360" s="482"/>
      <c r="AA360" s="607" t="str" cm="1">
        <f t="array" ref="AA360">IFERROR(IF($D$3="", "", _xlfn.LET(_xlpm.dia, E360, _xlpm.thk, Z360, _xlpm.temp, I360,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0" s="397" t="str" cm="1">
        <f t="array" ref="AB360">IFERROR(IF($D$3="", "", _xlfn.XLOOKUP(1,($AR$57:$AR$76=Y360)*($AS$57:$AS$76=Z360), INDEX($AT$57:$BJ$76,,_xlfn.XMATCH(E360,$AT$56:$BJ$56)))),"")</f>
        <v/>
      </c>
      <c r="AC360" s="208" t="str">
        <f t="shared" si="115"/>
        <v/>
      </c>
      <c r="AD360" s="397" t="str">
        <f t="shared" si="116"/>
        <v/>
      </c>
      <c r="AE360" s="610" t="str">
        <f t="shared" si="117"/>
        <v/>
      </c>
      <c r="AF360" s="610" t="str">
        <f t="shared" si="118"/>
        <v/>
      </c>
      <c r="AG360" s="610" t="str">
        <f t="shared" si="119"/>
        <v/>
      </c>
      <c r="AH360" s="608" t="str">
        <f t="shared" si="120"/>
        <v/>
      </c>
      <c r="AI360" s="610" t="str">
        <f t="shared" si="121"/>
        <v/>
      </c>
    </row>
    <row r="361" spans="2:35" x14ac:dyDescent="0.25">
      <c r="B361" s="209">
        <v>328</v>
      </c>
      <c r="C361" s="480"/>
      <c r="D361" s="480"/>
      <c r="E361" s="481"/>
      <c r="F361" s="480"/>
      <c r="G361" s="480"/>
      <c r="H361" s="607" t="str">
        <f t="shared" si="106"/>
        <v/>
      </c>
      <c r="I361" s="607" t="str">
        <f t="shared" si="107"/>
        <v/>
      </c>
      <c r="J361" s="607" t="str">
        <f t="shared" si="108"/>
        <v/>
      </c>
      <c r="K361" s="208" t="str">
        <f t="shared" si="109"/>
        <v/>
      </c>
      <c r="L361" s="208" t="str">
        <f t="shared" si="110"/>
        <v/>
      </c>
      <c r="M361" s="208" t="str">
        <f t="shared" si="122"/>
        <v/>
      </c>
      <c r="N361" s="608" t="str">
        <f>IF($D$3="", "", IFERROR(VLOOKUP(L361,'PIPE INCENTIVE'!$B$4:$E$19,2,FALSE),""))</f>
        <v/>
      </c>
      <c r="O361" s="608" t="str">
        <f t="shared" si="123"/>
        <v/>
      </c>
      <c r="P361" s="208" t="str">
        <f t="shared" si="124"/>
        <v/>
      </c>
      <c r="Q361" s="208" t="str">
        <f t="shared" si="111"/>
        <v/>
      </c>
      <c r="R361" s="609" t="str">
        <f t="shared" si="112"/>
        <v/>
      </c>
      <c r="S361" s="609" t="str">
        <f t="shared" si="113"/>
        <v/>
      </c>
      <c r="T361" s="609" t="str">
        <f t="shared" si="114"/>
        <v/>
      </c>
      <c r="U361" s="609" t="str" cm="1">
        <f t="array" ref="U361">IFERROR(IF($D$3="","",_xlfn.LET(_xlpm.Mixed,AND(COUNTIF($G$34:$G$533,"Heating_Hot_Water")&gt;0,(COUNTIF($G$34:$G$533,"Steam_Low_Pressure") + COUNTIF($G$34:$G$533,"Steam_Medium_Pressure") + COUNTIF($G$34:$G$533,"Steam_High_Pressure"))&gt;0),_xlpm.fluid, G361,_xlpm.fuel, K361,_xlpm.load,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1" s="609" t="str">
        <f t="shared" si="125"/>
        <v/>
      </c>
      <c r="W361" s="482"/>
      <c r="X361" s="397" t="str" cm="1">
        <f t="array" ref="X361">IFERROR(IF($D$3="","", _xlfn.XLOOKUP(1,($AR$36:$AR$53=F361)*($AS$36:$AS$53=G361), INDEX($AT$36:$BJ$53,,_xlfn.XMATCH(E361,$AT$35:$BJ$35)))),"")</f>
        <v/>
      </c>
      <c r="Y361" s="480"/>
      <c r="Z361" s="482"/>
      <c r="AA361" s="607" t="str" cm="1">
        <f t="array" ref="AA361">IFERROR(IF($D$3="", "", _xlfn.LET(_xlpm.dia, E361, _xlpm.thk, Z361, _xlpm.temp, I361,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1" s="397" t="str" cm="1">
        <f t="array" ref="AB361">IFERROR(IF($D$3="", "", _xlfn.XLOOKUP(1,($AR$57:$AR$76=Y361)*($AS$57:$AS$76=Z361), INDEX($AT$57:$BJ$76,,_xlfn.XMATCH(E361,$AT$56:$BJ$56)))),"")</f>
        <v/>
      </c>
      <c r="AC361" s="208" t="str">
        <f t="shared" si="115"/>
        <v/>
      </c>
      <c r="AD361" s="397" t="str">
        <f t="shared" si="116"/>
        <v/>
      </c>
      <c r="AE361" s="610" t="str">
        <f t="shared" si="117"/>
        <v/>
      </c>
      <c r="AF361" s="610" t="str">
        <f t="shared" si="118"/>
        <v/>
      </c>
      <c r="AG361" s="610" t="str">
        <f t="shared" si="119"/>
        <v/>
      </c>
      <c r="AH361" s="608" t="str">
        <f t="shared" si="120"/>
        <v/>
      </c>
      <c r="AI361" s="610" t="str">
        <f t="shared" si="121"/>
        <v/>
      </c>
    </row>
    <row r="362" spans="2:35" x14ac:dyDescent="0.25">
      <c r="B362" s="209">
        <v>329</v>
      </c>
      <c r="C362" s="480"/>
      <c r="D362" s="480"/>
      <c r="E362" s="481"/>
      <c r="F362" s="480"/>
      <c r="G362" s="480"/>
      <c r="H362" s="607" t="str">
        <f t="shared" si="106"/>
        <v/>
      </c>
      <c r="I362" s="607" t="str">
        <f t="shared" si="107"/>
        <v/>
      </c>
      <c r="J362" s="607" t="str">
        <f t="shared" si="108"/>
        <v/>
      </c>
      <c r="K362" s="208" t="str">
        <f t="shared" si="109"/>
        <v/>
      </c>
      <c r="L362" s="208" t="str">
        <f t="shared" si="110"/>
        <v/>
      </c>
      <c r="M362" s="208" t="str">
        <f t="shared" si="122"/>
        <v/>
      </c>
      <c r="N362" s="608" t="str">
        <f>IF($D$3="", "", IFERROR(VLOOKUP(L362,'PIPE INCENTIVE'!$B$4:$E$19,2,FALSE),""))</f>
        <v/>
      </c>
      <c r="O362" s="608" t="str">
        <f t="shared" si="123"/>
        <v/>
      </c>
      <c r="P362" s="208" t="str">
        <f t="shared" si="124"/>
        <v/>
      </c>
      <c r="Q362" s="208" t="str">
        <f t="shared" si="111"/>
        <v/>
      </c>
      <c r="R362" s="609" t="str">
        <f t="shared" si="112"/>
        <v/>
      </c>
      <c r="S362" s="609" t="str">
        <f t="shared" si="113"/>
        <v/>
      </c>
      <c r="T362" s="609" t="str">
        <f t="shared" si="114"/>
        <v/>
      </c>
      <c r="U362" s="609" t="str" cm="1">
        <f t="array" ref="U362">IFERROR(IF($D$3="","",_xlfn.LET(_xlpm.Mixed,AND(COUNTIF($G$34:$G$533,"Heating_Hot_Water")&gt;0,(COUNTIF($G$34:$G$533,"Steam_Low_Pressure") + COUNTIF($G$34:$G$533,"Steam_Medium_Pressure") + COUNTIF($G$34:$G$533,"Steam_High_Pressure"))&gt;0),_xlpm.fluid, G362,_xlpm.fuel, K362,_xlpm.load,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2" s="609" t="str">
        <f t="shared" si="125"/>
        <v/>
      </c>
      <c r="W362" s="482"/>
      <c r="X362" s="397" t="str" cm="1">
        <f t="array" ref="X362">IFERROR(IF($D$3="","", _xlfn.XLOOKUP(1,($AR$36:$AR$53=F362)*($AS$36:$AS$53=G362), INDEX($AT$36:$BJ$53,,_xlfn.XMATCH(E362,$AT$35:$BJ$35)))),"")</f>
        <v/>
      </c>
      <c r="Y362" s="480"/>
      <c r="Z362" s="482"/>
      <c r="AA362" s="607" t="str" cm="1">
        <f t="array" ref="AA362">IFERROR(IF($D$3="", "", _xlfn.LET(_xlpm.dia, E362, _xlpm.thk, Z362, _xlpm.temp, I362,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2" s="397" t="str" cm="1">
        <f t="array" ref="AB362">IFERROR(IF($D$3="", "", _xlfn.XLOOKUP(1,($AR$57:$AR$76=Y362)*($AS$57:$AS$76=Z362), INDEX($AT$57:$BJ$76,,_xlfn.XMATCH(E362,$AT$56:$BJ$56)))),"")</f>
        <v/>
      </c>
      <c r="AC362" s="208" t="str">
        <f t="shared" si="115"/>
        <v/>
      </c>
      <c r="AD362" s="397" t="str">
        <f t="shared" si="116"/>
        <v/>
      </c>
      <c r="AE362" s="610" t="str">
        <f t="shared" si="117"/>
        <v/>
      </c>
      <c r="AF362" s="610" t="str">
        <f t="shared" si="118"/>
        <v/>
      </c>
      <c r="AG362" s="610" t="str">
        <f t="shared" si="119"/>
        <v/>
      </c>
      <c r="AH362" s="608" t="str">
        <f t="shared" si="120"/>
        <v/>
      </c>
      <c r="AI362" s="610" t="str">
        <f t="shared" si="121"/>
        <v/>
      </c>
    </row>
    <row r="363" spans="2:35" x14ac:dyDescent="0.25">
      <c r="B363" s="209">
        <v>330</v>
      </c>
      <c r="C363" s="480"/>
      <c r="D363" s="480"/>
      <c r="E363" s="481"/>
      <c r="F363" s="480"/>
      <c r="G363" s="480"/>
      <c r="H363" s="607" t="str">
        <f t="shared" si="106"/>
        <v/>
      </c>
      <c r="I363" s="607" t="str">
        <f t="shared" si="107"/>
        <v/>
      </c>
      <c r="J363" s="607" t="str">
        <f t="shared" si="108"/>
        <v/>
      </c>
      <c r="K363" s="208" t="str">
        <f t="shared" si="109"/>
        <v/>
      </c>
      <c r="L363" s="208" t="str">
        <f t="shared" si="110"/>
        <v/>
      </c>
      <c r="M363" s="208" t="str">
        <f t="shared" si="122"/>
        <v/>
      </c>
      <c r="N363" s="608" t="str">
        <f>IF($D$3="", "", IFERROR(VLOOKUP(L363,'PIPE INCENTIVE'!$B$4:$E$19,2,FALSE),""))</f>
        <v/>
      </c>
      <c r="O363" s="608" t="str">
        <f t="shared" si="123"/>
        <v/>
      </c>
      <c r="P363" s="208" t="str">
        <f t="shared" si="124"/>
        <v/>
      </c>
      <c r="Q363" s="208" t="str">
        <f t="shared" si="111"/>
        <v/>
      </c>
      <c r="R363" s="609" t="str">
        <f t="shared" si="112"/>
        <v/>
      </c>
      <c r="S363" s="609" t="str">
        <f t="shared" si="113"/>
        <v/>
      </c>
      <c r="T363" s="609" t="str">
        <f t="shared" si="114"/>
        <v/>
      </c>
      <c r="U363" s="609" t="str" cm="1">
        <f t="array" ref="U363">IFERROR(IF($D$3="","",_xlfn.LET(_xlpm.Mixed,AND(COUNTIF($G$34:$G$533,"Heating_Hot_Water")&gt;0,(COUNTIF($G$34:$G$533,"Steam_Low_Pressure") + COUNTIF($G$34:$G$533,"Steam_Medium_Pressure") + COUNTIF($G$34:$G$533,"Steam_High_Pressure"))&gt;0),_xlpm.fluid, G363,_xlpm.fuel, K363,_xlpm.load,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3" s="609" t="str">
        <f t="shared" si="125"/>
        <v/>
      </c>
      <c r="W363" s="482"/>
      <c r="X363" s="397" t="str" cm="1">
        <f t="array" ref="X363">IFERROR(IF($D$3="","", _xlfn.XLOOKUP(1,($AR$36:$AR$53=F363)*($AS$36:$AS$53=G363), INDEX($AT$36:$BJ$53,,_xlfn.XMATCH(E363,$AT$35:$BJ$35)))),"")</f>
        <v/>
      </c>
      <c r="Y363" s="480"/>
      <c r="Z363" s="482"/>
      <c r="AA363" s="607" t="str" cm="1">
        <f t="array" ref="AA363">IFERROR(IF($D$3="", "", _xlfn.LET(_xlpm.dia, E363, _xlpm.thk, Z363, _xlpm.temp, I363,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3" s="397" t="str" cm="1">
        <f t="array" ref="AB363">IFERROR(IF($D$3="", "", _xlfn.XLOOKUP(1,($AR$57:$AR$76=Y363)*($AS$57:$AS$76=Z363), INDEX($AT$57:$BJ$76,,_xlfn.XMATCH(E363,$AT$56:$BJ$56)))),"")</f>
        <v/>
      </c>
      <c r="AC363" s="208" t="str">
        <f t="shared" si="115"/>
        <v/>
      </c>
      <c r="AD363" s="397" t="str">
        <f t="shared" si="116"/>
        <v/>
      </c>
      <c r="AE363" s="610" t="str">
        <f t="shared" si="117"/>
        <v/>
      </c>
      <c r="AF363" s="610" t="str">
        <f t="shared" si="118"/>
        <v/>
      </c>
      <c r="AG363" s="610" t="str">
        <f t="shared" si="119"/>
        <v/>
      </c>
      <c r="AH363" s="608" t="str">
        <f t="shared" si="120"/>
        <v/>
      </c>
      <c r="AI363" s="610" t="str">
        <f t="shared" si="121"/>
        <v/>
      </c>
    </row>
    <row r="364" spans="2:35" x14ac:dyDescent="0.25">
      <c r="B364" s="209">
        <v>331</v>
      </c>
      <c r="C364" s="480"/>
      <c r="D364" s="480"/>
      <c r="E364" s="481"/>
      <c r="F364" s="480"/>
      <c r="G364" s="480"/>
      <c r="H364" s="607" t="str">
        <f t="shared" si="106"/>
        <v/>
      </c>
      <c r="I364" s="607" t="str">
        <f t="shared" si="107"/>
        <v/>
      </c>
      <c r="J364" s="607" t="str">
        <f t="shared" si="108"/>
        <v/>
      </c>
      <c r="K364" s="208" t="str">
        <f t="shared" si="109"/>
        <v/>
      </c>
      <c r="L364" s="208" t="str">
        <f t="shared" si="110"/>
        <v/>
      </c>
      <c r="M364" s="208" t="str">
        <f t="shared" si="122"/>
        <v/>
      </c>
      <c r="N364" s="608" t="str">
        <f>IF($D$3="", "", IFERROR(VLOOKUP(L364,'PIPE INCENTIVE'!$B$4:$E$19,2,FALSE),""))</f>
        <v/>
      </c>
      <c r="O364" s="608" t="str">
        <f t="shared" si="123"/>
        <v/>
      </c>
      <c r="P364" s="208" t="str">
        <f t="shared" si="124"/>
        <v/>
      </c>
      <c r="Q364" s="208" t="str">
        <f t="shared" si="111"/>
        <v/>
      </c>
      <c r="R364" s="609" t="str">
        <f t="shared" si="112"/>
        <v/>
      </c>
      <c r="S364" s="609" t="str">
        <f t="shared" si="113"/>
        <v/>
      </c>
      <c r="T364" s="609" t="str">
        <f t="shared" si="114"/>
        <v/>
      </c>
      <c r="U364" s="609" t="str" cm="1">
        <f t="array" ref="U364">IFERROR(IF($D$3="","",_xlfn.LET(_xlpm.Mixed,AND(COUNTIF($G$34:$G$533,"Heating_Hot_Water")&gt;0,(COUNTIF($G$34:$G$533,"Steam_Low_Pressure") + COUNTIF($G$34:$G$533,"Steam_Medium_Pressure") + COUNTIF($G$34:$G$533,"Steam_High_Pressure"))&gt;0),_xlpm.fluid, G364,_xlpm.fuel, K364,_xlpm.load,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4" s="609" t="str">
        <f t="shared" si="125"/>
        <v/>
      </c>
      <c r="W364" s="482"/>
      <c r="X364" s="397" t="str" cm="1">
        <f t="array" ref="X364">IFERROR(IF($D$3="","", _xlfn.XLOOKUP(1,($AR$36:$AR$53=F364)*($AS$36:$AS$53=G364), INDEX($AT$36:$BJ$53,,_xlfn.XMATCH(E364,$AT$35:$BJ$35)))),"")</f>
        <v/>
      </c>
      <c r="Y364" s="480"/>
      <c r="Z364" s="482"/>
      <c r="AA364" s="607" t="str" cm="1">
        <f t="array" ref="AA364">IFERROR(IF($D$3="", "", _xlfn.LET(_xlpm.dia, E364, _xlpm.thk, Z364, _xlpm.temp, I364,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4" s="397" t="str" cm="1">
        <f t="array" ref="AB364">IFERROR(IF($D$3="", "", _xlfn.XLOOKUP(1,($AR$57:$AR$76=Y364)*($AS$57:$AS$76=Z364), INDEX($AT$57:$BJ$76,,_xlfn.XMATCH(E364,$AT$56:$BJ$56)))),"")</f>
        <v/>
      </c>
      <c r="AC364" s="208" t="str">
        <f t="shared" si="115"/>
        <v/>
      </c>
      <c r="AD364" s="397" t="str">
        <f t="shared" si="116"/>
        <v/>
      </c>
      <c r="AE364" s="610" t="str">
        <f t="shared" si="117"/>
        <v/>
      </c>
      <c r="AF364" s="610" t="str">
        <f t="shared" si="118"/>
        <v/>
      </c>
      <c r="AG364" s="610" t="str">
        <f t="shared" si="119"/>
        <v/>
      </c>
      <c r="AH364" s="608" t="str">
        <f t="shared" si="120"/>
        <v/>
      </c>
      <c r="AI364" s="610" t="str">
        <f t="shared" si="121"/>
        <v/>
      </c>
    </row>
    <row r="365" spans="2:35" x14ac:dyDescent="0.25">
      <c r="B365" s="209">
        <v>332</v>
      </c>
      <c r="C365" s="480"/>
      <c r="D365" s="480"/>
      <c r="E365" s="481"/>
      <c r="F365" s="480"/>
      <c r="G365" s="480"/>
      <c r="H365" s="607" t="str">
        <f t="shared" si="106"/>
        <v/>
      </c>
      <c r="I365" s="607" t="str">
        <f t="shared" si="107"/>
        <v/>
      </c>
      <c r="J365" s="607" t="str">
        <f t="shared" si="108"/>
        <v/>
      </c>
      <c r="K365" s="208" t="str">
        <f t="shared" si="109"/>
        <v/>
      </c>
      <c r="L365" s="208" t="str">
        <f t="shared" si="110"/>
        <v/>
      </c>
      <c r="M365" s="208" t="str">
        <f t="shared" si="122"/>
        <v/>
      </c>
      <c r="N365" s="608" t="str">
        <f>IF($D$3="", "", IFERROR(VLOOKUP(L365,'PIPE INCENTIVE'!$B$4:$E$19,2,FALSE),""))</f>
        <v/>
      </c>
      <c r="O365" s="608" t="str">
        <f t="shared" si="123"/>
        <v/>
      </c>
      <c r="P365" s="208" t="str">
        <f t="shared" si="124"/>
        <v/>
      </c>
      <c r="Q365" s="208" t="str">
        <f t="shared" si="111"/>
        <v/>
      </c>
      <c r="R365" s="609" t="str">
        <f t="shared" si="112"/>
        <v/>
      </c>
      <c r="S365" s="609" t="str">
        <f t="shared" si="113"/>
        <v/>
      </c>
      <c r="T365" s="609" t="str">
        <f t="shared" si="114"/>
        <v/>
      </c>
      <c r="U365" s="609" t="str" cm="1">
        <f t="array" ref="U365">IFERROR(IF($D$3="","",_xlfn.LET(_xlpm.Mixed,AND(COUNTIF($G$34:$G$533,"Heating_Hot_Water")&gt;0,(COUNTIF($G$34:$G$533,"Steam_Low_Pressure") + COUNTIF($G$34:$G$533,"Steam_Medium_Pressure") + COUNTIF($G$34:$G$533,"Steam_High_Pressure"))&gt;0),_xlpm.fluid, G365,_xlpm.fuel, K365,_xlpm.load,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5" s="609" t="str">
        <f t="shared" si="125"/>
        <v/>
      </c>
      <c r="W365" s="482"/>
      <c r="X365" s="397" t="str" cm="1">
        <f t="array" ref="X365">IFERROR(IF($D$3="","", _xlfn.XLOOKUP(1,($AR$36:$AR$53=F365)*($AS$36:$AS$53=G365), INDEX($AT$36:$BJ$53,,_xlfn.XMATCH(E365,$AT$35:$BJ$35)))),"")</f>
        <v/>
      </c>
      <c r="Y365" s="480"/>
      <c r="Z365" s="482"/>
      <c r="AA365" s="607" t="str" cm="1">
        <f t="array" ref="AA365">IFERROR(IF($D$3="", "", _xlfn.LET(_xlpm.dia, E365, _xlpm.thk, Z365, _xlpm.temp, I365,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5" s="397" t="str" cm="1">
        <f t="array" ref="AB365">IFERROR(IF($D$3="", "", _xlfn.XLOOKUP(1,($AR$57:$AR$76=Y365)*($AS$57:$AS$76=Z365), INDEX($AT$57:$BJ$76,,_xlfn.XMATCH(E365,$AT$56:$BJ$56)))),"")</f>
        <v/>
      </c>
      <c r="AC365" s="208" t="str">
        <f t="shared" si="115"/>
        <v/>
      </c>
      <c r="AD365" s="397" t="str">
        <f t="shared" si="116"/>
        <v/>
      </c>
      <c r="AE365" s="610" t="str">
        <f t="shared" si="117"/>
        <v/>
      </c>
      <c r="AF365" s="610" t="str">
        <f t="shared" si="118"/>
        <v/>
      </c>
      <c r="AG365" s="610" t="str">
        <f t="shared" si="119"/>
        <v/>
      </c>
      <c r="AH365" s="608" t="str">
        <f t="shared" si="120"/>
        <v/>
      </c>
      <c r="AI365" s="610" t="str">
        <f t="shared" si="121"/>
        <v/>
      </c>
    </row>
    <row r="366" spans="2:35" x14ac:dyDescent="0.25">
      <c r="B366" s="209">
        <v>333</v>
      </c>
      <c r="C366" s="480"/>
      <c r="D366" s="480"/>
      <c r="E366" s="481"/>
      <c r="F366" s="480"/>
      <c r="G366" s="480"/>
      <c r="H366" s="607" t="str">
        <f t="shared" si="106"/>
        <v/>
      </c>
      <c r="I366" s="607" t="str">
        <f t="shared" si="107"/>
        <v/>
      </c>
      <c r="J366" s="607" t="str">
        <f t="shared" si="108"/>
        <v/>
      </c>
      <c r="K366" s="208" t="str">
        <f t="shared" si="109"/>
        <v/>
      </c>
      <c r="L366" s="208" t="str">
        <f t="shared" si="110"/>
        <v/>
      </c>
      <c r="M366" s="208" t="str">
        <f t="shared" si="122"/>
        <v/>
      </c>
      <c r="N366" s="608" t="str">
        <f>IF($D$3="", "", IFERROR(VLOOKUP(L366,'PIPE INCENTIVE'!$B$4:$E$19,2,FALSE),""))</f>
        <v/>
      </c>
      <c r="O366" s="608" t="str">
        <f t="shared" si="123"/>
        <v/>
      </c>
      <c r="P366" s="208" t="str">
        <f t="shared" si="124"/>
        <v/>
      </c>
      <c r="Q366" s="208" t="str">
        <f t="shared" si="111"/>
        <v/>
      </c>
      <c r="R366" s="609" t="str">
        <f t="shared" si="112"/>
        <v/>
      </c>
      <c r="S366" s="609" t="str">
        <f t="shared" si="113"/>
        <v/>
      </c>
      <c r="T366" s="609" t="str">
        <f t="shared" si="114"/>
        <v/>
      </c>
      <c r="U366" s="609" t="str" cm="1">
        <f t="array" ref="U366">IFERROR(IF($D$3="","",_xlfn.LET(_xlpm.Mixed,AND(COUNTIF($G$34:$G$533,"Heating_Hot_Water")&gt;0,(COUNTIF($G$34:$G$533,"Steam_Low_Pressure") + COUNTIF($G$34:$G$533,"Steam_Medium_Pressure") + COUNTIF($G$34:$G$533,"Steam_High_Pressure"))&gt;0),_xlpm.fluid, G366,_xlpm.fuel, K366,_xlpm.load,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6" s="609" t="str">
        <f t="shared" si="125"/>
        <v/>
      </c>
      <c r="W366" s="482"/>
      <c r="X366" s="397" t="str" cm="1">
        <f t="array" ref="X366">IFERROR(IF($D$3="","", _xlfn.XLOOKUP(1,($AR$36:$AR$53=F366)*($AS$36:$AS$53=G366), INDEX($AT$36:$BJ$53,,_xlfn.XMATCH(E366,$AT$35:$BJ$35)))),"")</f>
        <v/>
      </c>
      <c r="Y366" s="480"/>
      <c r="Z366" s="482"/>
      <c r="AA366" s="607" t="str" cm="1">
        <f t="array" ref="AA366">IFERROR(IF($D$3="", "", _xlfn.LET(_xlpm.dia, E366, _xlpm.thk, Z366, _xlpm.temp, I366,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6" s="397" t="str" cm="1">
        <f t="array" ref="AB366">IFERROR(IF($D$3="", "", _xlfn.XLOOKUP(1,($AR$57:$AR$76=Y366)*($AS$57:$AS$76=Z366), INDEX($AT$57:$BJ$76,,_xlfn.XMATCH(E366,$AT$56:$BJ$56)))),"")</f>
        <v/>
      </c>
      <c r="AC366" s="208" t="str">
        <f t="shared" si="115"/>
        <v/>
      </c>
      <c r="AD366" s="397" t="str">
        <f t="shared" si="116"/>
        <v/>
      </c>
      <c r="AE366" s="610" t="str">
        <f t="shared" si="117"/>
        <v/>
      </c>
      <c r="AF366" s="610" t="str">
        <f t="shared" si="118"/>
        <v/>
      </c>
      <c r="AG366" s="610" t="str">
        <f t="shared" si="119"/>
        <v/>
      </c>
      <c r="AH366" s="608" t="str">
        <f t="shared" si="120"/>
        <v/>
      </c>
      <c r="AI366" s="610" t="str">
        <f t="shared" si="121"/>
        <v/>
      </c>
    </row>
    <row r="367" spans="2:35" x14ac:dyDescent="0.25">
      <c r="B367" s="209">
        <v>334</v>
      </c>
      <c r="C367" s="480"/>
      <c r="D367" s="480"/>
      <c r="E367" s="481"/>
      <c r="F367" s="480"/>
      <c r="G367" s="480"/>
      <c r="H367" s="607" t="str">
        <f t="shared" si="106"/>
        <v/>
      </c>
      <c r="I367" s="607" t="str">
        <f t="shared" si="107"/>
        <v/>
      </c>
      <c r="J367" s="607" t="str">
        <f t="shared" si="108"/>
        <v/>
      </c>
      <c r="K367" s="208" t="str">
        <f t="shared" si="109"/>
        <v/>
      </c>
      <c r="L367" s="208" t="str">
        <f t="shared" si="110"/>
        <v/>
      </c>
      <c r="M367" s="208" t="str">
        <f t="shared" si="122"/>
        <v/>
      </c>
      <c r="N367" s="608" t="str">
        <f>IF($D$3="", "", IFERROR(VLOOKUP(L367,'PIPE INCENTIVE'!$B$4:$E$19,2,FALSE),""))</f>
        <v/>
      </c>
      <c r="O367" s="608" t="str">
        <f t="shared" si="123"/>
        <v/>
      </c>
      <c r="P367" s="208" t="str">
        <f t="shared" si="124"/>
        <v/>
      </c>
      <c r="Q367" s="208" t="str">
        <f t="shared" si="111"/>
        <v/>
      </c>
      <c r="R367" s="609" t="str">
        <f t="shared" si="112"/>
        <v/>
      </c>
      <c r="S367" s="609" t="str">
        <f t="shared" si="113"/>
        <v/>
      </c>
      <c r="T367" s="609" t="str">
        <f t="shared" si="114"/>
        <v/>
      </c>
      <c r="U367" s="609" t="str" cm="1">
        <f t="array" ref="U367">IFERROR(IF($D$3="","",_xlfn.LET(_xlpm.Mixed,AND(COUNTIF($G$34:$G$533,"Heating_Hot_Water")&gt;0,(COUNTIF($G$34:$G$533,"Steam_Low_Pressure") + COUNTIF($G$34:$G$533,"Steam_Medium_Pressure") + COUNTIF($G$34:$G$533,"Steam_High_Pressure"))&gt;0),_xlpm.fluid, G367,_xlpm.fuel, K367,_xlpm.load,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7" s="609" t="str">
        <f t="shared" si="125"/>
        <v/>
      </c>
      <c r="W367" s="482"/>
      <c r="X367" s="397" t="str" cm="1">
        <f t="array" ref="X367">IFERROR(IF($D$3="","", _xlfn.XLOOKUP(1,($AR$36:$AR$53=F367)*($AS$36:$AS$53=G367), INDEX($AT$36:$BJ$53,,_xlfn.XMATCH(E367,$AT$35:$BJ$35)))),"")</f>
        <v/>
      </c>
      <c r="Y367" s="480"/>
      <c r="Z367" s="482"/>
      <c r="AA367" s="607" t="str" cm="1">
        <f t="array" ref="AA367">IFERROR(IF($D$3="", "", _xlfn.LET(_xlpm.dia, E367, _xlpm.thk, Z367, _xlpm.temp, I367,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7" s="397" t="str" cm="1">
        <f t="array" ref="AB367">IFERROR(IF($D$3="", "", _xlfn.XLOOKUP(1,($AR$57:$AR$76=Y367)*($AS$57:$AS$76=Z367), INDEX($AT$57:$BJ$76,,_xlfn.XMATCH(E367,$AT$56:$BJ$56)))),"")</f>
        <v/>
      </c>
      <c r="AC367" s="208" t="str">
        <f t="shared" si="115"/>
        <v/>
      </c>
      <c r="AD367" s="397" t="str">
        <f t="shared" si="116"/>
        <v/>
      </c>
      <c r="AE367" s="610" t="str">
        <f t="shared" si="117"/>
        <v/>
      </c>
      <c r="AF367" s="610" t="str">
        <f t="shared" si="118"/>
        <v/>
      </c>
      <c r="AG367" s="610" t="str">
        <f t="shared" si="119"/>
        <v/>
      </c>
      <c r="AH367" s="608" t="str">
        <f t="shared" si="120"/>
        <v/>
      </c>
      <c r="AI367" s="610" t="str">
        <f t="shared" si="121"/>
        <v/>
      </c>
    </row>
    <row r="368" spans="2:35" x14ac:dyDescent="0.25">
      <c r="B368" s="209">
        <v>335</v>
      </c>
      <c r="C368" s="480"/>
      <c r="D368" s="480"/>
      <c r="E368" s="481"/>
      <c r="F368" s="480"/>
      <c r="G368" s="480"/>
      <c r="H368" s="607" t="str">
        <f t="shared" si="106"/>
        <v/>
      </c>
      <c r="I368" s="607" t="str">
        <f t="shared" si="107"/>
        <v/>
      </c>
      <c r="J368" s="607" t="str">
        <f t="shared" si="108"/>
        <v/>
      </c>
      <c r="K368" s="208" t="str">
        <f t="shared" si="109"/>
        <v/>
      </c>
      <c r="L368" s="208" t="str">
        <f t="shared" si="110"/>
        <v/>
      </c>
      <c r="M368" s="208" t="str">
        <f t="shared" si="122"/>
        <v/>
      </c>
      <c r="N368" s="608" t="str">
        <f>IF($D$3="", "", IFERROR(VLOOKUP(L368,'PIPE INCENTIVE'!$B$4:$E$19,2,FALSE),""))</f>
        <v/>
      </c>
      <c r="O368" s="608" t="str">
        <f t="shared" si="123"/>
        <v/>
      </c>
      <c r="P368" s="208" t="str">
        <f t="shared" si="124"/>
        <v/>
      </c>
      <c r="Q368" s="208" t="str">
        <f t="shared" si="111"/>
        <v/>
      </c>
      <c r="R368" s="609" t="str">
        <f t="shared" si="112"/>
        <v/>
      </c>
      <c r="S368" s="609" t="str">
        <f t="shared" si="113"/>
        <v/>
      </c>
      <c r="T368" s="609" t="str">
        <f t="shared" si="114"/>
        <v/>
      </c>
      <c r="U368" s="609" t="str" cm="1">
        <f t="array" ref="U368">IFERROR(IF($D$3="","",_xlfn.LET(_xlpm.Mixed,AND(COUNTIF($G$34:$G$533,"Heating_Hot_Water")&gt;0,(COUNTIF($G$34:$G$533,"Steam_Low_Pressure") + COUNTIF($G$34:$G$533,"Steam_Medium_Pressure") + COUNTIF($G$34:$G$533,"Steam_High_Pressure"))&gt;0),_xlpm.fluid, G368,_xlpm.fuel, K368,_xlpm.load,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8" s="609" t="str">
        <f t="shared" si="125"/>
        <v/>
      </c>
      <c r="W368" s="482"/>
      <c r="X368" s="397" t="str" cm="1">
        <f t="array" ref="X368">IFERROR(IF($D$3="","", _xlfn.XLOOKUP(1,($AR$36:$AR$53=F368)*($AS$36:$AS$53=G368), INDEX($AT$36:$BJ$53,,_xlfn.XMATCH(E368,$AT$35:$BJ$35)))),"")</f>
        <v/>
      </c>
      <c r="Y368" s="480"/>
      <c r="Z368" s="482"/>
      <c r="AA368" s="607" t="str" cm="1">
        <f t="array" ref="AA368">IFERROR(IF($D$3="", "", _xlfn.LET(_xlpm.dia, E368, _xlpm.thk, Z368, _xlpm.temp, I368,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8" s="397" t="str" cm="1">
        <f t="array" ref="AB368">IFERROR(IF($D$3="", "", _xlfn.XLOOKUP(1,($AR$57:$AR$76=Y368)*($AS$57:$AS$76=Z368), INDEX($AT$57:$BJ$76,,_xlfn.XMATCH(E368,$AT$56:$BJ$56)))),"")</f>
        <v/>
      </c>
      <c r="AC368" s="208" t="str">
        <f t="shared" si="115"/>
        <v/>
      </c>
      <c r="AD368" s="397" t="str">
        <f t="shared" si="116"/>
        <v/>
      </c>
      <c r="AE368" s="610" t="str">
        <f t="shared" si="117"/>
        <v/>
      </c>
      <c r="AF368" s="610" t="str">
        <f t="shared" si="118"/>
        <v/>
      </c>
      <c r="AG368" s="610" t="str">
        <f t="shared" si="119"/>
        <v/>
      </c>
      <c r="AH368" s="608" t="str">
        <f t="shared" si="120"/>
        <v/>
      </c>
      <c r="AI368" s="610" t="str">
        <f t="shared" si="121"/>
        <v/>
      </c>
    </row>
    <row r="369" spans="2:35" x14ac:dyDescent="0.25">
      <c r="B369" s="209">
        <v>336</v>
      </c>
      <c r="C369" s="480"/>
      <c r="D369" s="480"/>
      <c r="E369" s="481"/>
      <c r="F369" s="480"/>
      <c r="G369" s="480"/>
      <c r="H369" s="607" t="str">
        <f t="shared" si="106"/>
        <v/>
      </c>
      <c r="I369" s="607" t="str">
        <f t="shared" si="107"/>
        <v/>
      </c>
      <c r="J369" s="607" t="str">
        <f t="shared" si="108"/>
        <v/>
      </c>
      <c r="K369" s="208" t="str">
        <f t="shared" si="109"/>
        <v/>
      </c>
      <c r="L369" s="208" t="str">
        <f t="shared" si="110"/>
        <v/>
      </c>
      <c r="M369" s="208" t="str">
        <f t="shared" si="122"/>
        <v/>
      </c>
      <c r="N369" s="608" t="str">
        <f>IF($D$3="", "", IFERROR(VLOOKUP(L369,'PIPE INCENTIVE'!$B$4:$E$19,2,FALSE),""))</f>
        <v/>
      </c>
      <c r="O369" s="608" t="str">
        <f t="shared" si="123"/>
        <v/>
      </c>
      <c r="P369" s="208" t="str">
        <f t="shared" si="124"/>
        <v/>
      </c>
      <c r="Q369" s="208" t="str">
        <f t="shared" si="111"/>
        <v/>
      </c>
      <c r="R369" s="609" t="str">
        <f t="shared" si="112"/>
        <v/>
      </c>
      <c r="S369" s="609" t="str">
        <f t="shared" si="113"/>
        <v/>
      </c>
      <c r="T369" s="609" t="str">
        <f t="shared" si="114"/>
        <v/>
      </c>
      <c r="U369" s="609" t="str" cm="1">
        <f t="array" ref="U369">IFERROR(IF($D$3="","",_xlfn.LET(_xlpm.Mixed,AND(COUNTIF($G$34:$G$533,"Heating_Hot_Water")&gt;0,(COUNTIF($G$34:$G$533,"Steam_Low_Pressure") + COUNTIF($G$34:$G$533,"Steam_Medium_Pressure") + COUNTIF($G$34:$G$533,"Steam_High_Pressure"))&gt;0),_xlpm.fluid, G369,_xlpm.fuel, K369,_xlpm.load,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69" s="609" t="str">
        <f t="shared" si="125"/>
        <v/>
      </c>
      <c r="W369" s="482"/>
      <c r="X369" s="397" t="str" cm="1">
        <f t="array" ref="X369">IFERROR(IF($D$3="","", _xlfn.XLOOKUP(1,($AR$36:$AR$53=F369)*($AS$36:$AS$53=G369), INDEX($AT$36:$BJ$53,,_xlfn.XMATCH(E369,$AT$35:$BJ$35)))),"")</f>
        <v/>
      </c>
      <c r="Y369" s="480"/>
      <c r="Z369" s="482"/>
      <c r="AA369" s="607" t="str" cm="1">
        <f t="array" ref="AA369">IFERROR(IF($D$3="", "", _xlfn.LET(_xlpm.dia, E369, _xlpm.thk, Z369, _xlpm.temp, I369,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69" s="397" t="str" cm="1">
        <f t="array" ref="AB369">IFERROR(IF($D$3="", "", _xlfn.XLOOKUP(1,($AR$57:$AR$76=Y369)*($AS$57:$AS$76=Z369), INDEX($AT$57:$BJ$76,,_xlfn.XMATCH(E369,$AT$56:$BJ$56)))),"")</f>
        <v/>
      </c>
      <c r="AC369" s="208" t="str">
        <f t="shared" si="115"/>
        <v/>
      </c>
      <c r="AD369" s="397" t="str">
        <f t="shared" si="116"/>
        <v/>
      </c>
      <c r="AE369" s="610" t="str">
        <f t="shared" si="117"/>
        <v/>
      </c>
      <c r="AF369" s="610" t="str">
        <f t="shared" si="118"/>
        <v/>
      </c>
      <c r="AG369" s="610" t="str">
        <f t="shared" si="119"/>
        <v/>
      </c>
      <c r="AH369" s="608" t="str">
        <f t="shared" si="120"/>
        <v/>
      </c>
      <c r="AI369" s="610" t="str">
        <f t="shared" si="121"/>
        <v/>
      </c>
    </row>
    <row r="370" spans="2:35" x14ac:dyDescent="0.25">
      <c r="B370" s="209">
        <v>337</v>
      </c>
      <c r="C370" s="480"/>
      <c r="D370" s="480"/>
      <c r="E370" s="481"/>
      <c r="F370" s="480"/>
      <c r="G370" s="480"/>
      <c r="H370" s="607" t="str">
        <f t="shared" si="106"/>
        <v/>
      </c>
      <c r="I370" s="607" t="str">
        <f t="shared" si="107"/>
        <v/>
      </c>
      <c r="J370" s="607" t="str">
        <f t="shared" si="108"/>
        <v/>
      </c>
      <c r="K370" s="208" t="str">
        <f t="shared" si="109"/>
        <v/>
      </c>
      <c r="L370" s="208" t="str">
        <f t="shared" si="110"/>
        <v/>
      </c>
      <c r="M370" s="208" t="str">
        <f t="shared" si="122"/>
        <v/>
      </c>
      <c r="N370" s="608" t="str">
        <f>IF($D$3="", "", IFERROR(VLOOKUP(L370,'PIPE INCENTIVE'!$B$4:$E$19,2,FALSE),""))</f>
        <v/>
      </c>
      <c r="O370" s="608" t="str">
        <f t="shared" si="123"/>
        <v/>
      </c>
      <c r="P370" s="208" t="str">
        <f t="shared" si="124"/>
        <v/>
      </c>
      <c r="Q370" s="208" t="str">
        <f t="shared" si="111"/>
        <v/>
      </c>
      <c r="R370" s="609" t="str">
        <f t="shared" si="112"/>
        <v/>
      </c>
      <c r="S370" s="609" t="str">
        <f t="shared" si="113"/>
        <v/>
      </c>
      <c r="T370" s="609" t="str">
        <f t="shared" si="114"/>
        <v/>
      </c>
      <c r="U370" s="609" t="str" cm="1">
        <f t="array" ref="U370">IFERROR(IF($D$3="","",_xlfn.LET(_xlpm.Mixed,AND(COUNTIF($G$34:$G$533,"Heating_Hot_Water")&gt;0,(COUNTIF($G$34:$G$533,"Steam_Low_Pressure") + COUNTIF($G$34:$G$533,"Steam_Medium_Pressure") + COUNTIF($G$34:$G$533,"Steam_High_Pressure"))&gt;0),_xlpm.fluid, G370,_xlpm.fuel, K370,_xlpm.load,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0" s="609" t="str">
        <f t="shared" si="125"/>
        <v/>
      </c>
      <c r="W370" s="482"/>
      <c r="X370" s="397" t="str" cm="1">
        <f t="array" ref="X370">IFERROR(IF($D$3="","", _xlfn.XLOOKUP(1,($AR$36:$AR$53=F370)*($AS$36:$AS$53=G370), INDEX($AT$36:$BJ$53,,_xlfn.XMATCH(E370,$AT$35:$BJ$35)))),"")</f>
        <v/>
      </c>
      <c r="Y370" s="480"/>
      <c r="Z370" s="482"/>
      <c r="AA370" s="607" t="str" cm="1">
        <f t="array" ref="AA370">IFERROR(IF($D$3="", "", _xlfn.LET(_xlpm.dia, E370, _xlpm.thk, Z370, _xlpm.temp, I370,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0" s="397" t="str" cm="1">
        <f t="array" ref="AB370">IFERROR(IF($D$3="", "", _xlfn.XLOOKUP(1,($AR$57:$AR$76=Y370)*($AS$57:$AS$76=Z370), INDEX($AT$57:$BJ$76,,_xlfn.XMATCH(E370,$AT$56:$BJ$56)))),"")</f>
        <v/>
      </c>
      <c r="AC370" s="208" t="str">
        <f t="shared" si="115"/>
        <v/>
      </c>
      <c r="AD370" s="397" t="str">
        <f t="shared" si="116"/>
        <v/>
      </c>
      <c r="AE370" s="610" t="str">
        <f t="shared" si="117"/>
        <v/>
      </c>
      <c r="AF370" s="610" t="str">
        <f t="shared" si="118"/>
        <v/>
      </c>
      <c r="AG370" s="610" t="str">
        <f t="shared" si="119"/>
        <v/>
      </c>
      <c r="AH370" s="608" t="str">
        <f t="shared" si="120"/>
        <v/>
      </c>
      <c r="AI370" s="610" t="str">
        <f t="shared" si="121"/>
        <v/>
      </c>
    </row>
    <row r="371" spans="2:35" x14ac:dyDescent="0.25">
      <c r="B371" s="209">
        <v>338</v>
      </c>
      <c r="C371" s="480"/>
      <c r="D371" s="480"/>
      <c r="E371" s="481"/>
      <c r="F371" s="480"/>
      <c r="G371" s="480"/>
      <c r="H371" s="607" t="str">
        <f t="shared" si="106"/>
        <v/>
      </c>
      <c r="I371" s="607" t="str">
        <f t="shared" si="107"/>
        <v/>
      </c>
      <c r="J371" s="607" t="str">
        <f t="shared" si="108"/>
        <v/>
      </c>
      <c r="K371" s="208" t="str">
        <f t="shared" si="109"/>
        <v/>
      </c>
      <c r="L371" s="208" t="str">
        <f t="shared" si="110"/>
        <v/>
      </c>
      <c r="M371" s="208" t="str">
        <f t="shared" si="122"/>
        <v/>
      </c>
      <c r="N371" s="608" t="str">
        <f>IF($D$3="", "", IFERROR(VLOOKUP(L371,'PIPE INCENTIVE'!$B$4:$E$19,2,FALSE),""))</f>
        <v/>
      </c>
      <c r="O371" s="608" t="str">
        <f t="shared" si="123"/>
        <v/>
      </c>
      <c r="P371" s="208" t="str">
        <f t="shared" si="124"/>
        <v/>
      </c>
      <c r="Q371" s="208" t="str">
        <f t="shared" si="111"/>
        <v/>
      </c>
      <c r="R371" s="609" t="str">
        <f t="shared" si="112"/>
        <v/>
      </c>
      <c r="S371" s="609" t="str">
        <f t="shared" si="113"/>
        <v/>
      </c>
      <c r="T371" s="609" t="str">
        <f t="shared" si="114"/>
        <v/>
      </c>
      <c r="U371" s="609" t="str" cm="1">
        <f t="array" ref="U371">IFERROR(IF($D$3="","",_xlfn.LET(_xlpm.Mixed,AND(COUNTIF($G$34:$G$533,"Heating_Hot_Water")&gt;0,(COUNTIF($G$34:$G$533,"Steam_Low_Pressure") + COUNTIF($G$34:$G$533,"Steam_Medium_Pressure") + COUNTIF($G$34:$G$533,"Steam_High_Pressure"))&gt;0),_xlpm.fluid, G371,_xlpm.fuel, K371,_xlpm.load,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1" s="609" t="str">
        <f t="shared" si="125"/>
        <v/>
      </c>
      <c r="W371" s="482"/>
      <c r="X371" s="397" t="str" cm="1">
        <f t="array" ref="X371">IFERROR(IF($D$3="","", _xlfn.XLOOKUP(1,($AR$36:$AR$53=F371)*($AS$36:$AS$53=G371), INDEX($AT$36:$BJ$53,,_xlfn.XMATCH(E371,$AT$35:$BJ$35)))),"")</f>
        <v/>
      </c>
      <c r="Y371" s="480"/>
      <c r="Z371" s="482"/>
      <c r="AA371" s="607" t="str" cm="1">
        <f t="array" ref="AA371">IFERROR(IF($D$3="", "", _xlfn.LET(_xlpm.dia, E371, _xlpm.thk, Z371, _xlpm.temp, I371,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1" s="397" t="str" cm="1">
        <f t="array" ref="AB371">IFERROR(IF($D$3="", "", _xlfn.XLOOKUP(1,($AR$57:$AR$76=Y371)*($AS$57:$AS$76=Z371), INDEX($AT$57:$BJ$76,,_xlfn.XMATCH(E371,$AT$56:$BJ$56)))),"")</f>
        <v/>
      </c>
      <c r="AC371" s="208" t="str">
        <f t="shared" si="115"/>
        <v/>
      </c>
      <c r="AD371" s="397" t="str">
        <f t="shared" si="116"/>
        <v/>
      </c>
      <c r="AE371" s="610" t="str">
        <f t="shared" si="117"/>
        <v/>
      </c>
      <c r="AF371" s="610" t="str">
        <f t="shared" si="118"/>
        <v/>
      </c>
      <c r="AG371" s="610" t="str">
        <f t="shared" si="119"/>
        <v/>
      </c>
      <c r="AH371" s="608" t="str">
        <f t="shared" si="120"/>
        <v/>
      </c>
      <c r="AI371" s="610" t="str">
        <f t="shared" si="121"/>
        <v/>
      </c>
    </row>
    <row r="372" spans="2:35" x14ac:dyDescent="0.25">
      <c r="B372" s="209">
        <v>339</v>
      </c>
      <c r="C372" s="480"/>
      <c r="D372" s="480"/>
      <c r="E372" s="481"/>
      <c r="F372" s="480"/>
      <c r="G372" s="480"/>
      <c r="H372" s="607" t="str">
        <f t="shared" si="106"/>
        <v/>
      </c>
      <c r="I372" s="607" t="str">
        <f t="shared" si="107"/>
        <v/>
      </c>
      <c r="J372" s="607" t="str">
        <f t="shared" si="108"/>
        <v/>
      </c>
      <c r="K372" s="208" t="str">
        <f t="shared" si="109"/>
        <v/>
      </c>
      <c r="L372" s="208" t="str">
        <f t="shared" si="110"/>
        <v/>
      </c>
      <c r="M372" s="208" t="str">
        <f t="shared" si="122"/>
        <v/>
      </c>
      <c r="N372" s="608" t="str">
        <f>IF($D$3="", "", IFERROR(VLOOKUP(L372,'PIPE INCENTIVE'!$B$4:$E$19,2,FALSE),""))</f>
        <v/>
      </c>
      <c r="O372" s="608" t="str">
        <f t="shared" si="123"/>
        <v/>
      </c>
      <c r="P372" s="208" t="str">
        <f t="shared" si="124"/>
        <v/>
      </c>
      <c r="Q372" s="208" t="str">
        <f t="shared" si="111"/>
        <v/>
      </c>
      <c r="R372" s="609" t="str">
        <f t="shared" si="112"/>
        <v/>
      </c>
      <c r="S372" s="609" t="str">
        <f t="shared" si="113"/>
        <v/>
      </c>
      <c r="T372" s="609" t="str">
        <f t="shared" si="114"/>
        <v/>
      </c>
      <c r="U372" s="609" t="str" cm="1">
        <f t="array" ref="U372">IFERROR(IF($D$3="","",_xlfn.LET(_xlpm.Mixed,AND(COUNTIF($G$34:$G$533,"Heating_Hot_Water")&gt;0,(COUNTIF($G$34:$G$533,"Steam_Low_Pressure") + COUNTIF($G$34:$G$533,"Steam_Medium_Pressure") + COUNTIF($G$34:$G$533,"Steam_High_Pressure"))&gt;0),_xlpm.fluid, G372,_xlpm.fuel, K372,_xlpm.load,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2" s="609" t="str">
        <f t="shared" si="125"/>
        <v/>
      </c>
      <c r="W372" s="482"/>
      <c r="X372" s="397" t="str" cm="1">
        <f t="array" ref="X372">IFERROR(IF($D$3="","", _xlfn.XLOOKUP(1,($AR$36:$AR$53=F372)*($AS$36:$AS$53=G372), INDEX($AT$36:$BJ$53,,_xlfn.XMATCH(E372,$AT$35:$BJ$35)))),"")</f>
        <v/>
      </c>
      <c r="Y372" s="480"/>
      <c r="Z372" s="482"/>
      <c r="AA372" s="607" t="str" cm="1">
        <f t="array" ref="AA372">IFERROR(IF($D$3="", "", _xlfn.LET(_xlpm.dia, E372, _xlpm.thk, Z372, _xlpm.temp, I372,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2" s="397" t="str" cm="1">
        <f t="array" ref="AB372">IFERROR(IF($D$3="", "", _xlfn.XLOOKUP(1,($AR$57:$AR$76=Y372)*($AS$57:$AS$76=Z372), INDEX($AT$57:$BJ$76,,_xlfn.XMATCH(E372,$AT$56:$BJ$56)))),"")</f>
        <v/>
      </c>
      <c r="AC372" s="208" t="str">
        <f t="shared" si="115"/>
        <v/>
      </c>
      <c r="AD372" s="397" t="str">
        <f t="shared" si="116"/>
        <v/>
      </c>
      <c r="AE372" s="610" t="str">
        <f t="shared" si="117"/>
        <v/>
      </c>
      <c r="AF372" s="610" t="str">
        <f t="shared" si="118"/>
        <v/>
      </c>
      <c r="AG372" s="610" t="str">
        <f t="shared" si="119"/>
        <v/>
      </c>
      <c r="AH372" s="608" t="str">
        <f t="shared" si="120"/>
        <v/>
      </c>
      <c r="AI372" s="610" t="str">
        <f t="shared" si="121"/>
        <v/>
      </c>
    </row>
    <row r="373" spans="2:35" x14ac:dyDescent="0.25">
      <c r="B373" s="209">
        <v>340</v>
      </c>
      <c r="C373" s="480"/>
      <c r="D373" s="480"/>
      <c r="E373" s="481"/>
      <c r="F373" s="480"/>
      <c r="G373" s="480"/>
      <c r="H373" s="607" t="str">
        <f t="shared" si="106"/>
        <v/>
      </c>
      <c r="I373" s="607" t="str">
        <f t="shared" si="107"/>
        <v/>
      </c>
      <c r="J373" s="607" t="str">
        <f t="shared" si="108"/>
        <v/>
      </c>
      <c r="K373" s="208" t="str">
        <f t="shared" si="109"/>
        <v/>
      </c>
      <c r="L373" s="208" t="str">
        <f t="shared" si="110"/>
        <v/>
      </c>
      <c r="M373" s="208" t="str">
        <f t="shared" si="122"/>
        <v/>
      </c>
      <c r="N373" s="608" t="str">
        <f>IF($D$3="", "", IFERROR(VLOOKUP(L373,'PIPE INCENTIVE'!$B$4:$E$19,2,FALSE),""))</f>
        <v/>
      </c>
      <c r="O373" s="608" t="str">
        <f t="shared" si="123"/>
        <v/>
      </c>
      <c r="P373" s="208" t="str">
        <f t="shared" si="124"/>
        <v/>
      </c>
      <c r="Q373" s="208" t="str">
        <f t="shared" si="111"/>
        <v/>
      </c>
      <c r="R373" s="609" t="str">
        <f t="shared" si="112"/>
        <v/>
      </c>
      <c r="S373" s="609" t="str">
        <f t="shared" si="113"/>
        <v/>
      </c>
      <c r="T373" s="609" t="str">
        <f t="shared" si="114"/>
        <v/>
      </c>
      <c r="U373" s="609" t="str" cm="1">
        <f t="array" ref="U373">IFERROR(IF($D$3="","",_xlfn.LET(_xlpm.Mixed,AND(COUNTIF($G$34:$G$533,"Heating_Hot_Water")&gt;0,(COUNTIF($G$34:$G$533,"Steam_Low_Pressure") + COUNTIF($G$34:$G$533,"Steam_Medium_Pressure") + COUNTIF($G$34:$G$533,"Steam_High_Pressure"))&gt;0),_xlpm.fluid, G373,_xlpm.fuel, K373,_xlpm.load,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3" s="609" t="str">
        <f t="shared" si="125"/>
        <v/>
      </c>
      <c r="W373" s="482"/>
      <c r="X373" s="397" t="str" cm="1">
        <f t="array" ref="X373">IFERROR(IF($D$3="","", _xlfn.XLOOKUP(1,($AR$36:$AR$53=F373)*($AS$36:$AS$53=G373), INDEX($AT$36:$BJ$53,,_xlfn.XMATCH(E373,$AT$35:$BJ$35)))),"")</f>
        <v/>
      </c>
      <c r="Y373" s="480"/>
      <c r="Z373" s="482"/>
      <c r="AA373" s="607" t="str" cm="1">
        <f t="array" ref="AA373">IFERROR(IF($D$3="", "", _xlfn.LET(_xlpm.dia, E373, _xlpm.thk, Z373, _xlpm.temp, I373,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3" s="397" t="str" cm="1">
        <f t="array" ref="AB373">IFERROR(IF($D$3="", "", _xlfn.XLOOKUP(1,($AR$57:$AR$76=Y373)*($AS$57:$AS$76=Z373), INDEX($AT$57:$BJ$76,,_xlfn.XMATCH(E373,$AT$56:$BJ$56)))),"")</f>
        <v/>
      </c>
      <c r="AC373" s="208" t="str">
        <f t="shared" si="115"/>
        <v/>
      </c>
      <c r="AD373" s="397" t="str">
        <f t="shared" si="116"/>
        <v/>
      </c>
      <c r="AE373" s="610" t="str">
        <f t="shared" si="117"/>
        <v/>
      </c>
      <c r="AF373" s="610" t="str">
        <f t="shared" si="118"/>
        <v/>
      </c>
      <c r="AG373" s="610" t="str">
        <f t="shared" si="119"/>
        <v/>
      </c>
      <c r="AH373" s="608" t="str">
        <f t="shared" si="120"/>
        <v/>
      </c>
      <c r="AI373" s="610" t="str">
        <f t="shared" si="121"/>
        <v/>
      </c>
    </row>
    <row r="374" spans="2:35" x14ac:dyDescent="0.25">
      <c r="B374" s="209">
        <v>341</v>
      </c>
      <c r="C374" s="480"/>
      <c r="D374" s="480"/>
      <c r="E374" s="481"/>
      <c r="F374" s="480"/>
      <c r="G374" s="480"/>
      <c r="H374" s="607" t="str">
        <f t="shared" si="106"/>
        <v/>
      </c>
      <c r="I374" s="607" t="str">
        <f t="shared" si="107"/>
        <v/>
      </c>
      <c r="J374" s="607" t="str">
        <f t="shared" si="108"/>
        <v/>
      </c>
      <c r="K374" s="208" t="str">
        <f t="shared" si="109"/>
        <v/>
      </c>
      <c r="L374" s="208" t="str">
        <f t="shared" si="110"/>
        <v/>
      </c>
      <c r="M374" s="208" t="str">
        <f t="shared" si="122"/>
        <v/>
      </c>
      <c r="N374" s="608" t="str">
        <f>IF($D$3="", "", IFERROR(VLOOKUP(L374,'PIPE INCENTIVE'!$B$4:$E$19,2,FALSE),""))</f>
        <v/>
      </c>
      <c r="O374" s="608" t="str">
        <f t="shared" si="123"/>
        <v/>
      </c>
      <c r="P374" s="208" t="str">
        <f t="shared" si="124"/>
        <v/>
      </c>
      <c r="Q374" s="208" t="str">
        <f t="shared" si="111"/>
        <v/>
      </c>
      <c r="R374" s="609" t="str">
        <f t="shared" si="112"/>
        <v/>
      </c>
      <c r="S374" s="609" t="str">
        <f t="shared" si="113"/>
        <v/>
      </c>
      <c r="T374" s="609" t="str">
        <f t="shared" si="114"/>
        <v/>
      </c>
      <c r="U374" s="609" t="str" cm="1">
        <f t="array" ref="U374">IFERROR(IF($D$3="","",_xlfn.LET(_xlpm.Mixed,AND(COUNTIF($G$34:$G$533,"Heating_Hot_Water")&gt;0,(COUNTIF($G$34:$G$533,"Steam_Low_Pressure") + COUNTIF($G$34:$G$533,"Steam_Medium_Pressure") + COUNTIF($G$34:$G$533,"Steam_High_Pressure"))&gt;0),_xlpm.fluid, G374,_xlpm.fuel, K374,_xlpm.load,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4" s="609" t="str">
        <f t="shared" si="125"/>
        <v/>
      </c>
      <c r="W374" s="482"/>
      <c r="X374" s="397" t="str" cm="1">
        <f t="array" ref="X374">IFERROR(IF($D$3="","", _xlfn.XLOOKUP(1,($AR$36:$AR$53=F374)*($AS$36:$AS$53=G374), INDEX($AT$36:$BJ$53,,_xlfn.XMATCH(E374,$AT$35:$BJ$35)))),"")</f>
        <v/>
      </c>
      <c r="Y374" s="480"/>
      <c r="Z374" s="482"/>
      <c r="AA374" s="607" t="str" cm="1">
        <f t="array" ref="AA374">IFERROR(IF($D$3="", "", _xlfn.LET(_xlpm.dia, E374, _xlpm.thk, Z374, _xlpm.temp, I374,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4" s="397" t="str" cm="1">
        <f t="array" ref="AB374">IFERROR(IF($D$3="", "", _xlfn.XLOOKUP(1,($AR$57:$AR$76=Y374)*($AS$57:$AS$76=Z374), INDEX($AT$57:$BJ$76,,_xlfn.XMATCH(E374,$AT$56:$BJ$56)))),"")</f>
        <v/>
      </c>
      <c r="AC374" s="208" t="str">
        <f t="shared" si="115"/>
        <v/>
      </c>
      <c r="AD374" s="397" t="str">
        <f t="shared" si="116"/>
        <v/>
      </c>
      <c r="AE374" s="610" t="str">
        <f t="shared" si="117"/>
        <v/>
      </c>
      <c r="AF374" s="610" t="str">
        <f t="shared" si="118"/>
        <v/>
      </c>
      <c r="AG374" s="610" t="str">
        <f t="shared" si="119"/>
        <v/>
      </c>
      <c r="AH374" s="608" t="str">
        <f t="shared" si="120"/>
        <v/>
      </c>
      <c r="AI374" s="610" t="str">
        <f t="shared" si="121"/>
        <v/>
      </c>
    </row>
    <row r="375" spans="2:35" x14ac:dyDescent="0.25">
      <c r="B375" s="209">
        <v>342</v>
      </c>
      <c r="C375" s="480"/>
      <c r="D375" s="480"/>
      <c r="E375" s="481"/>
      <c r="F375" s="480"/>
      <c r="G375" s="480"/>
      <c r="H375" s="607" t="str">
        <f t="shared" si="106"/>
        <v/>
      </c>
      <c r="I375" s="607" t="str">
        <f t="shared" si="107"/>
        <v/>
      </c>
      <c r="J375" s="607" t="str">
        <f t="shared" si="108"/>
        <v/>
      </c>
      <c r="K375" s="208" t="str">
        <f t="shared" si="109"/>
        <v/>
      </c>
      <c r="L375" s="208" t="str">
        <f t="shared" si="110"/>
        <v/>
      </c>
      <c r="M375" s="208" t="str">
        <f t="shared" si="122"/>
        <v/>
      </c>
      <c r="N375" s="608" t="str">
        <f>IF($D$3="", "", IFERROR(VLOOKUP(L375,'PIPE INCENTIVE'!$B$4:$E$19,2,FALSE),""))</f>
        <v/>
      </c>
      <c r="O375" s="608" t="str">
        <f t="shared" si="123"/>
        <v/>
      </c>
      <c r="P375" s="208" t="str">
        <f t="shared" si="124"/>
        <v/>
      </c>
      <c r="Q375" s="208" t="str">
        <f t="shared" si="111"/>
        <v/>
      </c>
      <c r="R375" s="609" t="str">
        <f t="shared" si="112"/>
        <v/>
      </c>
      <c r="S375" s="609" t="str">
        <f t="shared" si="113"/>
        <v/>
      </c>
      <c r="T375" s="609" t="str">
        <f t="shared" si="114"/>
        <v/>
      </c>
      <c r="U375" s="609" t="str" cm="1">
        <f t="array" ref="U375">IFERROR(IF($D$3="","",_xlfn.LET(_xlpm.Mixed,AND(COUNTIF($G$34:$G$533,"Heating_Hot_Water")&gt;0,(COUNTIF($G$34:$G$533,"Steam_Low_Pressure") + COUNTIF($G$34:$G$533,"Steam_Medium_Pressure") + COUNTIF($G$34:$G$533,"Steam_High_Pressure"))&gt;0),_xlpm.fluid, G375,_xlpm.fuel, K375,_xlpm.load,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5" s="609" t="str">
        <f t="shared" si="125"/>
        <v/>
      </c>
      <c r="W375" s="482"/>
      <c r="X375" s="397" t="str" cm="1">
        <f t="array" ref="X375">IFERROR(IF($D$3="","", _xlfn.XLOOKUP(1,($AR$36:$AR$53=F375)*($AS$36:$AS$53=G375), INDEX($AT$36:$BJ$53,,_xlfn.XMATCH(E375,$AT$35:$BJ$35)))),"")</f>
        <v/>
      </c>
      <c r="Y375" s="480"/>
      <c r="Z375" s="482"/>
      <c r="AA375" s="607" t="str" cm="1">
        <f t="array" ref="AA375">IFERROR(IF($D$3="", "", _xlfn.LET(_xlpm.dia, E375, _xlpm.thk, Z375, _xlpm.temp, I375,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5" s="397" t="str" cm="1">
        <f t="array" ref="AB375">IFERROR(IF($D$3="", "", _xlfn.XLOOKUP(1,($AR$57:$AR$76=Y375)*($AS$57:$AS$76=Z375), INDEX($AT$57:$BJ$76,,_xlfn.XMATCH(E375,$AT$56:$BJ$56)))),"")</f>
        <v/>
      </c>
      <c r="AC375" s="208" t="str">
        <f t="shared" si="115"/>
        <v/>
      </c>
      <c r="AD375" s="397" t="str">
        <f t="shared" si="116"/>
        <v/>
      </c>
      <c r="AE375" s="610" t="str">
        <f t="shared" si="117"/>
        <v/>
      </c>
      <c r="AF375" s="610" t="str">
        <f t="shared" si="118"/>
        <v/>
      </c>
      <c r="AG375" s="610" t="str">
        <f t="shared" si="119"/>
        <v/>
      </c>
      <c r="AH375" s="608" t="str">
        <f t="shared" si="120"/>
        <v/>
      </c>
      <c r="AI375" s="610" t="str">
        <f t="shared" si="121"/>
        <v/>
      </c>
    </row>
    <row r="376" spans="2:35" x14ac:dyDescent="0.25">
      <c r="B376" s="209">
        <v>343</v>
      </c>
      <c r="C376" s="480"/>
      <c r="D376" s="480"/>
      <c r="E376" s="481"/>
      <c r="F376" s="480"/>
      <c r="G376" s="480"/>
      <c r="H376" s="607" t="str">
        <f t="shared" si="106"/>
        <v/>
      </c>
      <c r="I376" s="607" t="str">
        <f t="shared" si="107"/>
        <v/>
      </c>
      <c r="J376" s="607" t="str">
        <f t="shared" si="108"/>
        <v/>
      </c>
      <c r="K376" s="208" t="str">
        <f t="shared" si="109"/>
        <v/>
      </c>
      <c r="L376" s="208" t="str">
        <f t="shared" si="110"/>
        <v/>
      </c>
      <c r="M376" s="208" t="str">
        <f t="shared" si="122"/>
        <v/>
      </c>
      <c r="N376" s="608" t="str">
        <f>IF($D$3="", "", IFERROR(VLOOKUP(L376,'PIPE INCENTIVE'!$B$4:$E$19,2,FALSE),""))</f>
        <v/>
      </c>
      <c r="O376" s="608" t="str">
        <f t="shared" si="123"/>
        <v/>
      </c>
      <c r="P376" s="208" t="str">
        <f t="shared" si="124"/>
        <v/>
      </c>
      <c r="Q376" s="208" t="str">
        <f t="shared" si="111"/>
        <v/>
      </c>
      <c r="R376" s="609" t="str">
        <f t="shared" si="112"/>
        <v/>
      </c>
      <c r="S376" s="609" t="str">
        <f t="shared" si="113"/>
        <v/>
      </c>
      <c r="T376" s="609" t="str">
        <f t="shared" si="114"/>
        <v/>
      </c>
      <c r="U376" s="609" t="str" cm="1">
        <f t="array" ref="U376">IFERROR(IF($D$3="","",_xlfn.LET(_xlpm.Mixed,AND(COUNTIF($G$34:$G$533,"Heating_Hot_Water")&gt;0,(COUNTIF($G$34:$G$533,"Steam_Low_Pressure") + COUNTIF($G$34:$G$533,"Steam_Medium_Pressure") + COUNTIF($G$34:$G$533,"Steam_High_Pressure"))&gt;0),_xlpm.fluid, G376,_xlpm.fuel, K376,_xlpm.load,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6" s="609" t="str">
        <f t="shared" si="125"/>
        <v/>
      </c>
      <c r="W376" s="482"/>
      <c r="X376" s="397" t="str" cm="1">
        <f t="array" ref="X376">IFERROR(IF($D$3="","", _xlfn.XLOOKUP(1,($AR$36:$AR$53=F376)*($AS$36:$AS$53=G376), INDEX($AT$36:$BJ$53,,_xlfn.XMATCH(E376,$AT$35:$BJ$35)))),"")</f>
        <v/>
      </c>
      <c r="Y376" s="480"/>
      <c r="Z376" s="482"/>
      <c r="AA376" s="607" t="str" cm="1">
        <f t="array" ref="AA376">IFERROR(IF($D$3="", "", _xlfn.LET(_xlpm.dia, E376, _xlpm.thk, Z376, _xlpm.temp, I376,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6" s="397" t="str" cm="1">
        <f t="array" ref="AB376">IFERROR(IF($D$3="", "", _xlfn.XLOOKUP(1,($AR$57:$AR$76=Y376)*($AS$57:$AS$76=Z376), INDEX($AT$57:$BJ$76,,_xlfn.XMATCH(E376,$AT$56:$BJ$56)))),"")</f>
        <v/>
      </c>
      <c r="AC376" s="208" t="str">
        <f t="shared" si="115"/>
        <v/>
      </c>
      <c r="AD376" s="397" t="str">
        <f t="shared" si="116"/>
        <v/>
      </c>
      <c r="AE376" s="610" t="str">
        <f t="shared" si="117"/>
        <v/>
      </c>
      <c r="AF376" s="610" t="str">
        <f t="shared" si="118"/>
        <v/>
      </c>
      <c r="AG376" s="610" t="str">
        <f t="shared" si="119"/>
        <v/>
      </c>
      <c r="AH376" s="608" t="str">
        <f t="shared" si="120"/>
        <v/>
      </c>
      <c r="AI376" s="610" t="str">
        <f t="shared" si="121"/>
        <v/>
      </c>
    </row>
    <row r="377" spans="2:35" x14ac:dyDescent="0.25">
      <c r="B377" s="209">
        <v>344</v>
      </c>
      <c r="C377" s="480"/>
      <c r="D377" s="480"/>
      <c r="E377" s="481"/>
      <c r="F377" s="480"/>
      <c r="G377" s="480"/>
      <c r="H377" s="607" t="str">
        <f t="shared" si="106"/>
        <v/>
      </c>
      <c r="I377" s="607" t="str">
        <f t="shared" si="107"/>
        <v/>
      </c>
      <c r="J377" s="607" t="str">
        <f t="shared" si="108"/>
        <v/>
      </c>
      <c r="K377" s="208" t="str">
        <f t="shared" si="109"/>
        <v/>
      </c>
      <c r="L377" s="208" t="str">
        <f t="shared" si="110"/>
        <v/>
      </c>
      <c r="M377" s="208" t="str">
        <f t="shared" si="122"/>
        <v/>
      </c>
      <c r="N377" s="608" t="str">
        <f>IF($D$3="", "", IFERROR(VLOOKUP(L377,'PIPE INCENTIVE'!$B$4:$E$19,2,FALSE),""))</f>
        <v/>
      </c>
      <c r="O377" s="608" t="str">
        <f t="shared" si="123"/>
        <v/>
      </c>
      <c r="P377" s="208" t="str">
        <f t="shared" si="124"/>
        <v/>
      </c>
      <c r="Q377" s="208" t="str">
        <f t="shared" si="111"/>
        <v/>
      </c>
      <c r="R377" s="609" t="str">
        <f t="shared" si="112"/>
        <v/>
      </c>
      <c r="S377" s="609" t="str">
        <f t="shared" si="113"/>
        <v/>
      </c>
      <c r="T377" s="609" t="str">
        <f t="shared" si="114"/>
        <v/>
      </c>
      <c r="U377" s="609" t="str" cm="1">
        <f t="array" ref="U377">IFERROR(IF($D$3="","",_xlfn.LET(_xlpm.Mixed,AND(COUNTIF($G$34:$G$533,"Heating_Hot_Water")&gt;0,(COUNTIF($G$34:$G$533,"Steam_Low_Pressure") + COUNTIF($G$34:$G$533,"Steam_Medium_Pressure") + COUNTIF($G$34:$G$533,"Steam_High_Pressure"))&gt;0),_xlpm.fluid, G377,_xlpm.fuel, K377,_xlpm.load,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7" s="609" t="str">
        <f t="shared" si="125"/>
        <v/>
      </c>
      <c r="W377" s="482"/>
      <c r="X377" s="397" t="str" cm="1">
        <f t="array" ref="X377">IFERROR(IF($D$3="","", _xlfn.XLOOKUP(1,($AR$36:$AR$53=F377)*($AS$36:$AS$53=G377), INDEX($AT$36:$BJ$53,,_xlfn.XMATCH(E377,$AT$35:$BJ$35)))),"")</f>
        <v/>
      </c>
      <c r="Y377" s="480"/>
      <c r="Z377" s="482"/>
      <c r="AA377" s="607" t="str" cm="1">
        <f t="array" ref="AA377">IFERROR(IF($D$3="", "", _xlfn.LET(_xlpm.dia, E377, _xlpm.thk, Z377, _xlpm.temp, I377,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7" s="397" t="str" cm="1">
        <f t="array" ref="AB377">IFERROR(IF($D$3="", "", _xlfn.XLOOKUP(1,($AR$57:$AR$76=Y377)*($AS$57:$AS$76=Z377), INDEX($AT$57:$BJ$76,,_xlfn.XMATCH(E377,$AT$56:$BJ$56)))),"")</f>
        <v/>
      </c>
      <c r="AC377" s="208" t="str">
        <f t="shared" si="115"/>
        <v/>
      </c>
      <c r="AD377" s="397" t="str">
        <f t="shared" si="116"/>
        <v/>
      </c>
      <c r="AE377" s="610" t="str">
        <f t="shared" si="117"/>
        <v/>
      </c>
      <c r="AF377" s="610" t="str">
        <f t="shared" si="118"/>
        <v/>
      </c>
      <c r="AG377" s="610" t="str">
        <f t="shared" si="119"/>
        <v/>
      </c>
      <c r="AH377" s="608" t="str">
        <f t="shared" si="120"/>
        <v/>
      </c>
      <c r="AI377" s="610" t="str">
        <f t="shared" si="121"/>
        <v/>
      </c>
    </row>
    <row r="378" spans="2:35" x14ac:dyDescent="0.25">
      <c r="B378" s="209">
        <v>345</v>
      </c>
      <c r="C378" s="480"/>
      <c r="D378" s="480"/>
      <c r="E378" s="481"/>
      <c r="F378" s="480"/>
      <c r="G378" s="480"/>
      <c r="H378" s="607" t="str">
        <f t="shared" si="106"/>
        <v/>
      </c>
      <c r="I378" s="607" t="str">
        <f t="shared" si="107"/>
        <v/>
      </c>
      <c r="J378" s="607" t="str">
        <f t="shared" si="108"/>
        <v/>
      </c>
      <c r="K378" s="208" t="str">
        <f t="shared" si="109"/>
        <v/>
      </c>
      <c r="L378" s="208" t="str">
        <f t="shared" si="110"/>
        <v/>
      </c>
      <c r="M378" s="208" t="str">
        <f t="shared" si="122"/>
        <v/>
      </c>
      <c r="N378" s="608" t="str">
        <f>IF($D$3="", "", IFERROR(VLOOKUP(L378,'PIPE INCENTIVE'!$B$4:$E$19,2,FALSE),""))</f>
        <v/>
      </c>
      <c r="O378" s="608" t="str">
        <f t="shared" si="123"/>
        <v/>
      </c>
      <c r="P378" s="208" t="str">
        <f t="shared" si="124"/>
        <v/>
      </c>
      <c r="Q378" s="208" t="str">
        <f t="shared" si="111"/>
        <v/>
      </c>
      <c r="R378" s="609" t="str">
        <f t="shared" si="112"/>
        <v/>
      </c>
      <c r="S378" s="609" t="str">
        <f t="shared" si="113"/>
        <v/>
      </c>
      <c r="T378" s="609" t="str">
        <f t="shared" si="114"/>
        <v/>
      </c>
      <c r="U378" s="609" t="str" cm="1">
        <f t="array" ref="U378">IFERROR(IF($D$3="","",_xlfn.LET(_xlpm.Mixed,AND(COUNTIF($G$34:$G$533,"Heating_Hot_Water")&gt;0,(COUNTIF($G$34:$G$533,"Steam_Low_Pressure") + COUNTIF($G$34:$G$533,"Steam_Medium_Pressure") + COUNTIF($G$34:$G$533,"Steam_High_Pressure"))&gt;0),_xlpm.fluid, G378,_xlpm.fuel, K378,_xlpm.load,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8" s="609" t="str">
        <f t="shared" si="125"/>
        <v/>
      </c>
      <c r="W378" s="482"/>
      <c r="X378" s="397" t="str" cm="1">
        <f t="array" ref="X378">IFERROR(IF($D$3="","", _xlfn.XLOOKUP(1,($AR$36:$AR$53=F378)*($AS$36:$AS$53=G378), INDEX($AT$36:$BJ$53,,_xlfn.XMATCH(E378,$AT$35:$BJ$35)))),"")</f>
        <v/>
      </c>
      <c r="Y378" s="480"/>
      <c r="Z378" s="482"/>
      <c r="AA378" s="607" t="str" cm="1">
        <f t="array" ref="AA378">IFERROR(IF($D$3="", "", _xlfn.LET(_xlpm.dia, E378, _xlpm.thk, Z378, _xlpm.temp, I378,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8" s="397" t="str" cm="1">
        <f t="array" ref="AB378">IFERROR(IF($D$3="", "", _xlfn.XLOOKUP(1,($AR$57:$AR$76=Y378)*($AS$57:$AS$76=Z378), INDEX($AT$57:$BJ$76,,_xlfn.XMATCH(E378,$AT$56:$BJ$56)))),"")</f>
        <v/>
      </c>
      <c r="AC378" s="208" t="str">
        <f t="shared" si="115"/>
        <v/>
      </c>
      <c r="AD378" s="397" t="str">
        <f t="shared" si="116"/>
        <v/>
      </c>
      <c r="AE378" s="610" t="str">
        <f t="shared" si="117"/>
        <v/>
      </c>
      <c r="AF378" s="610" t="str">
        <f t="shared" si="118"/>
        <v/>
      </c>
      <c r="AG378" s="610" t="str">
        <f t="shared" si="119"/>
        <v/>
      </c>
      <c r="AH378" s="608" t="str">
        <f t="shared" si="120"/>
        <v/>
      </c>
      <c r="AI378" s="610" t="str">
        <f t="shared" si="121"/>
        <v/>
      </c>
    </row>
    <row r="379" spans="2:35" x14ac:dyDescent="0.25">
      <c r="B379" s="209">
        <v>346</v>
      </c>
      <c r="C379" s="480"/>
      <c r="D379" s="480"/>
      <c r="E379" s="481"/>
      <c r="F379" s="480"/>
      <c r="G379" s="480"/>
      <c r="H379" s="607" t="str">
        <f t="shared" si="106"/>
        <v/>
      </c>
      <c r="I379" s="607" t="str">
        <f t="shared" si="107"/>
        <v/>
      </c>
      <c r="J379" s="607" t="str">
        <f t="shared" si="108"/>
        <v/>
      </c>
      <c r="K379" s="208" t="str">
        <f t="shared" si="109"/>
        <v/>
      </c>
      <c r="L379" s="208" t="str">
        <f t="shared" si="110"/>
        <v/>
      </c>
      <c r="M379" s="208" t="str">
        <f t="shared" si="122"/>
        <v/>
      </c>
      <c r="N379" s="608" t="str">
        <f>IF($D$3="", "", IFERROR(VLOOKUP(L379,'PIPE INCENTIVE'!$B$4:$E$19,2,FALSE),""))</f>
        <v/>
      </c>
      <c r="O379" s="608" t="str">
        <f t="shared" si="123"/>
        <v/>
      </c>
      <c r="P379" s="208" t="str">
        <f t="shared" si="124"/>
        <v/>
      </c>
      <c r="Q379" s="208" t="str">
        <f t="shared" si="111"/>
        <v/>
      </c>
      <c r="R379" s="609" t="str">
        <f t="shared" si="112"/>
        <v/>
      </c>
      <c r="S379" s="609" t="str">
        <f t="shared" si="113"/>
        <v/>
      </c>
      <c r="T379" s="609" t="str">
        <f t="shared" si="114"/>
        <v/>
      </c>
      <c r="U379" s="609" t="str" cm="1">
        <f t="array" ref="U379">IFERROR(IF($D$3="","",_xlfn.LET(_xlpm.Mixed,AND(COUNTIF($G$34:$G$533,"Heating_Hot_Water")&gt;0,(COUNTIF($G$34:$G$533,"Steam_Low_Pressure") + COUNTIF($G$34:$G$533,"Steam_Medium_Pressure") + COUNTIF($G$34:$G$533,"Steam_High_Pressure"))&gt;0),_xlpm.fluid, G379,_xlpm.fuel, K379,_xlpm.load,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79" s="609" t="str">
        <f t="shared" si="125"/>
        <v/>
      </c>
      <c r="W379" s="482"/>
      <c r="X379" s="397" t="str" cm="1">
        <f t="array" ref="X379">IFERROR(IF($D$3="","", _xlfn.XLOOKUP(1,($AR$36:$AR$53=F379)*($AS$36:$AS$53=G379), INDEX($AT$36:$BJ$53,,_xlfn.XMATCH(E379,$AT$35:$BJ$35)))),"")</f>
        <v/>
      </c>
      <c r="Y379" s="480"/>
      <c r="Z379" s="482"/>
      <c r="AA379" s="607" t="str" cm="1">
        <f t="array" ref="AA379">IFERROR(IF($D$3="", "", _xlfn.LET(_xlpm.dia, E379, _xlpm.thk, Z379, _xlpm.temp, I379,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79" s="397" t="str" cm="1">
        <f t="array" ref="AB379">IFERROR(IF($D$3="", "", _xlfn.XLOOKUP(1,($AR$57:$AR$76=Y379)*($AS$57:$AS$76=Z379), INDEX($AT$57:$BJ$76,,_xlfn.XMATCH(E379,$AT$56:$BJ$56)))),"")</f>
        <v/>
      </c>
      <c r="AC379" s="208" t="str">
        <f t="shared" si="115"/>
        <v/>
      </c>
      <c r="AD379" s="397" t="str">
        <f t="shared" si="116"/>
        <v/>
      </c>
      <c r="AE379" s="610" t="str">
        <f t="shared" si="117"/>
        <v/>
      </c>
      <c r="AF379" s="610" t="str">
        <f t="shared" si="118"/>
        <v/>
      </c>
      <c r="AG379" s="610" t="str">
        <f t="shared" si="119"/>
        <v/>
      </c>
      <c r="AH379" s="608" t="str">
        <f t="shared" si="120"/>
        <v/>
      </c>
      <c r="AI379" s="610" t="str">
        <f t="shared" si="121"/>
        <v/>
      </c>
    </row>
    <row r="380" spans="2:35" x14ac:dyDescent="0.25">
      <c r="B380" s="209">
        <v>347</v>
      </c>
      <c r="C380" s="480"/>
      <c r="D380" s="480"/>
      <c r="E380" s="481"/>
      <c r="F380" s="480"/>
      <c r="G380" s="480"/>
      <c r="H380" s="607" t="str">
        <f t="shared" si="106"/>
        <v/>
      </c>
      <c r="I380" s="607" t="str">
        <f t="shared" si="107"/>
        <v/>
      </c>
      <c r="J380" s="607" t="str">
        <f t="shared" si="108"/>
        <v/>
      </c>
      <c r="K380" s="208" t="str">
        <f t="shared" si="109"/>
        <v/>
      </c>
      <c r="L380" s="208" t="str">
        <f t="shared" si="110"/>
        <v/>
      </c>
      <c r="M380" s="208" t="str">
        <f t="shared" si="122"/>
        <v/>
      </c>
      <c r="N380" s="608" t="str">
        <f>IF($D$3="", "", IFERROR(VLOOKUP(L380,'PIPE INCENTIVE'!$B$4:$E$19,2,FALSE),""))</f>
        <v/>
      </c>
      <c r="O380" s="608" t="str">
        <f t="shared" si="123"/>
        <v/>
      </c>
      <c r="P380" s="208" t="str">
        <f t="shared" si="124"/>
        <v/>
      </c>
      <c r="Q380" s="208" t="str">
        <f t="shared" si="111"/>
        <v/>
      </c>
      <c r="R380" s="609" t="str">
        <f t="shared" si="112"/>
        <v/>
      </c>
      <c r="S380" s="609" t="str">
        <f t="shared" si="113"/>
        <v/>
      </c>
      <c r="T380" s="609" t="str">
        <f t="shared" si="114"/>
        <v/>
      </c>
      <c r="U380" s="609" t="str" cm="1">
        <f t="array" ref="U380">IFERROR(IF($D$3="","",_xlfn.LET(_xlpm.Mixed,AND(COUNTIF($G$34:$G$533,"Heating_Hot_Water")&gt;0,(COUNTIF($G$34:$G$533,"Steam_Low_Pressure") + COUNTIF($G$34:$G$533,"Steam_Medium_Pressure") + COUNTIF($G$34:$G$533,"Steam_High_Pressure"))&gt;0),_xlpm.fluid, G380,_xlpm.fuel, K380,_xlpm.load,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0" s="609" t="str">
        <f t="shared" si="125"/>
        <v/>
      </c>
      <c r="W380" s="482"/>
      <c r="X380" s="397" t="str" cm="1">
        <f t="array" ref="X380">IFERROR(IF($D$3="","", _xlfn.XLOOKUP(1,($AR$36:$AR$53=F380)*($AS$36:$AS$53=G380), INDEX($AT$36:$BJ$53,,_xlfn.XMATCH(E380,$AT$35:$BJ$35)))),"")</f>
        <v/>
      </c>
      <c r="Y380" s="480"/>
      <c r="Z380" s="482"/>
      <c r="AA380" s="607" t="str" cm="1">
        <f t="array" ref="AA380">IFERROR(IF($D$3="", "", _xlfn.LET(_xlpm.dia, E380, _xlpm.thk, Z380, _xlpm.temp, I380,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0" s="397" t="str" cm="1">
        <f t="array" ref="AB380">IFERROR(IF($D$3="", "", _xlfn.XLOOKUP(1,($AR$57:$AR$76=Y380)*($AS$57:$AS$76=Z380), INDEX($AT$57:$BJ$76,,_xlfn.XMATCH(E380,$AT$56:$BJ$56)))),"")</f>
        <v/>
      </c>
      <c r="AC380" s="208" t="str">
        <f t="shared" si="115"/>
        <v/>
      </c>
      <c r="AD380" s="397" t="str">
        <f t="shared" si="116"/>
        <v/>
      </c>
      <c r="AE380" s="610" t="str">
        <f t="shared" si="117"/>
        <v/>
      </c>
      <c r="AF380" s="610" t="str">
        <f t="shared" si="118"/>
        <v/>
      </c>
      <c r="AG380" s="610" t="str">
        <f t="shared" si="119"/>
        <v/>
      </c>
      <c r="AH380" s="608" t="str">
        <f t="shared" si="120"/>
        <v/>
      </c>
      <c r="AI380" s="610" t="str">
        <f t="shared" si="121"/>
        <v/>
      </c>
    </row>
    <row r="381" spans="2:35" x14ac:dyDescent="0.25">
      <c r="B381" s="209">
        <v>348</v>
      </c>
      <c r="C381" s="480"/>
      <c r="D381" s="480"/>
      <c r="E381" s="481"/>
      <c r="F381" s="480"/>
      <c r="G381" s="480"/>
      <c r="H381" s="607" t="str">
        <f t="shared" si="106"/>
        <v/>
      </c>
      <c r="I381" s="607" t="str">
        <f t="shared" si="107"/>
        <v/>
      </c>
      <c r="J381" s="607" t="str">
        <f t="shared" si="108"/>
        <v/>
      </c>
      <c r="K381" s="208" t="str">
        <f t="shared" si="109"/>
        <v/>
      </c>
      <c r="L381" s="208" t="str">
        <f t="shared" si="110"/>
        <v/>
      </c>
      <c r="M381" s="208" t="str">
        <f t="shared" si="122"/>
        <v/>
      </c>
      <c r="N381" s="608" t="str">
        <f>IF($D$3="", "", IFERROR(VLOOKUP(L381,'PIPE INCENTIVE'!$B$4:$E$19,2,FALSE),""))</f>
        <v/>
      </c>
      <c r="O381" s="608" t="str">
        <f t="shared" si="123"/>
        <v/>
      </c>
      <c r="P381" s="208" t="str">
        <f t="shared" si="124"/>
        <v/>
      </c>
      <c r="Q381" s="208" t="str">
        <f t="shared" si="111"/>
        <v/>
      </c>
      <c r="R381" s="609" t="str">
        <f t="shared" si="112"/>
        <v/>
      </c>
      <c r="S381" s="609" t="str">
        <f t="shared" si="113"/>
        <v/>
      </c>
      <c r="T381" s="609" t="str">
        <f t="shared" si="114"/>
        <v/>
      </c>
      <c r="U381" s="609" t="str" cm="1">
        <f t="array" ref="U381">IFERROR(IF($D$3="","",_xlfn.LET(_xlpm.Mixed,AND(COUNTIF($G$34:$G$533,"Heating_Hot_Water")&gt;0,(COUNTIF($G$34:$G$533,"Steam_Low_Pressure") + COUNTIF($G$34:$G$533,"Steam_Medium_Pressure") + COUNTIF($G$34:$G$533,"Steam_High_Pressure"))&gt;0),_xlpm.fluid, G381,_xlpm.fuel, K381,_xlpm.load,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1" s="609" t="str">
        <f t="shared" si="125"/>
        <v/>
      </c>
      <c r="W381" s="482"/>
      <c r="X381" s="397" t="str" cm="1">
        <f t="array" ref="X381">IFERROR(IF($D$3="","", _xlfn.XLOOKUP(1,($AR$36:$AR$53=F381)*($AS$36:$AS$53=G381), INDEX($AT$36:$BJ$53,,_xlfn.XMATCH(E381,$AT$35:$BJ$35)))),"")</f>
        <v/>
      </c>
      <c r="Y381" s="480"/>
      <c r="Z381" s="482"/>
      <c r="AA381" s="607" t="str" cm="1">
        <f t="array" ref="AA381">IFERROR(IF($D$3="", "", _xlfn.LET(_xlpm.dia, E381, _xlpm.thk, Z381, _xlpm.temp, I381,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1" s="397" t="str" cm="1">
        <f t="array" ref="AB381">IFERROR(IF($D$3="", "", _xlfn.XLOOKUP(1,($AR$57:$AR$76=Y381)*($AS$57:$AS$76=Z381), INDEX($AT$57:$BJ$76,,_xlfn.XMATCH(E381,$AT$56:$BJ$56)))),"")</f>
        <v/>
      </c>
      <c r="AC381" s="208" t="str">
        <f t="shared" si="115"/>
        <v/>
      </c>
      <c r="AD381" s="397" t="str">
        <f t="shared" si="116"/>
        <v/>
      </c>
      <c r="AE381" s="610" t="str">
        <f t="shared" si="117"/>
        <v/>
      </c>
      <c r="AF381" s="610" t="str">
        <f t="shared" si="118"/>
        <v/>
      </c>
      <c r="AG381" s="610" t="str">
        <f t="shared" si="119"/>
        <v/>
      </c>
      <c r="AH381" s="608" t="str">
        <f t="shared" si="120"/>
        <v/>
      </c>
      <c r="AI381" s="610" t="str">
        <f t="shared" si="121"/>
        <v/>
      </c>
    </row>
    <row r="382" spans="2:35" x14ac:dyDescent="0.25">
      <c r="B382" s="209">
        <v>349</v>
      </c>
      <c r="C382" s="480"/>
      <c r="D382" s="480"/>
      <c r="E382" s="481"/>
      <c r="F382" s="480"/>
      <c r="G382" s="480"/>
      <c r="H382" s="607" t="str">
        <f t="shared" si="106"/>
        <v/>
      </c>
      <c r="I382" s="607" t="str">
        <f t="shared" si="107"/>
        <v/>
      </c>
      <c r="J382" s="607" t="str">
        <f t="shared" si="108"/>
        <v/>
      </c>
      <c r="K382" s="208" t="str">
        <f t="shared" si="109"/>
        <v/>
      </c>
      <c r="L382" s="208" t="str">
        <f t="shared" si="110"/>
        <v/>
      </c>
      <c r="M382" s="208" t="str">
        <f t="shared" si="122"/>
        <v/>
      </c>
      <c r="N382" s="608" t="str">
        <f>IF($D$3="", "", IFERROR(VLOOKUP(L382,'PIPE INCENTIVE'!$B$4:$E$19,2,FALSE),""))</f>
        <v/>
      </c>
      <c r="O382" s="608" t="str">
        <f t="shared" si="123"/>
        <v/>
      </c>
      <c r="P382" s="208" t="str">
        <f t="shared" si="124"/>
        <v/>
      </c>
      <c r="Q382" s="208" t="str">
        <f t="shared" si="111"/>
        <v/>
      </c>
      <c r="R382" s="609" t="str">
        <f t="shared" si="112"/>
        <v/>
      </c>
      <c r="S382" s="609" t="str">
        <f t="shared" si="113"/>
        <v/>
      </c>
      <c r="T382" s="609" t="str">
        <f t="shared" si="114"/>
        <v/>
      </c>
      <c r="U382" s="609" t="str" cm="1">
        <f t="array" ref="U382">IFERROR(IF($D$3="","",_xlfn.LET(_xlpm.Mixed,AND(COUNTIF($G$34:$G$533,"Heating_Hot_Water")&gt;0,(COUNTIF($G$34:$G$533,"Steam_Low_Pressure") + COUNTIF($G$34:$G$533,"Steam_Medium_Pressure") + COUNTIF($G$34:$G$533,"Steam_High_Pressure"))&gt;0),_xlpm.fluid, G382,_xlpm.fuel, K382,_xlpm.load,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2" s="609" t="str">
        <f t="shared" si="125"/>
        <v/>
      </c>
      <c r="W382" s="482"/>
      <c r="X382" s="397" t="str" cm="1">
        <f t="array" ref="X382">IFERROR(IF($D$3="","", _xlfn.XLOOKUP(1,($AR$36:$AR$53=F382)*($AS$36:$AS$53=G382), INDEX($AT$36:$BJ$53,,_xlfn.XMATCH(E382,$AT$35:$BJ$35)))),"")</f>
        <v/>
      </c>
      <c r="Y382" s="480"/>
      <c r="Z382" s="482"/>
      <c r="AA382" s="607" t="str" cm="1">
        <f t="array" ref="AA382">IFERROR(IF($D$3="", "", _xlfn.LET(_xlpm.dia, E382, _xlpm.thk, Z382, _xlpm.temp, I382,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2" s="397" t="str" cm="1">
        <f t="array" ref="AB382">IFERROR(IF($D$3="", "", _xlfn.XLOOKUP(1,($AR$57:$AR$76=Y382)*($AS$57:$AS$76=Z382), INDEX($AT$57:$BJ$76,,_xlfn.XMATCH(E382,$AT$56:$BJ$56)))),"")</f>
        <v/>
      </c>
      <c r="AC382" s="208" t="str">
        <f t="shared" si="115"/>
        <v/>
      </c>
      <c r="AD382" s="397" t="str">
        <f t="shared" si="116"/>
        <v/>
      </c>
      <c r="AE382" s="610" t="str">
        <f t="shared" si="117"/>
        <v/>
      </c>
      <c r="AF382" s="610" t="str">
        <f t="shared" si="118"/>
        <v/>
      </c>
      <c r="AG382" s="610" t="str">
        <f t="shared" si="119"/>
        <v/>
      </c>
      <c r="AH382" s="608" t="str">
        <f t="shared" si="120"/>
        <v/>
      </c>
      <c r="AI382" s="610" t="str">
        <f t="shared" si="121"/>
        <v/>
      </c>
    </row>
    <row r="383" spans="2:35" x14ac:dyDescent="0.25">
      <c r="B383" s="209">
        <v>350</v>
      </c>
      <c r="C383" s="480"/>
      <c r="D383" s="480"/>
      <c r="E383" s="481"/>
      <c r="F383" s="480"/>
      <c r="G383" s="480"/>
      <c r="H383" s="607" t="str">
        <f t="shared" si="106"/>
        <v/>
      </c>
      <c r="I383" s="607" t="str">
        <f t="shared" si="107"/>
        <v/>
      </c>
      <c r="J383" s="607" t="str">
        <f t="shared" si="108"/>
        <v/>
      </c>
      <c r="K383" s="208" t="str">
        <f t="shared" si="109"/>
        <v/>
      </c>
      <c r="L383" s="208" t="str">
        <f t="shared" si="110"/>
        <v/>
      </c>
      <c r="M383" s="208" t="str">
        <f t="shared" si="122"/>
        <v/>
      </c>
      <c r="N383" s="608" t="str">
        <f>IF($D$3="", "", IFERROR(VLOOKUP(L383,'PIPE INCENTIVE'!$B$4:$E$19,2,FALSE),""))</f>
        <v/>
      </c>
      <c r="O383" s="608" t="str">
        <f t="shared" si="123"/>
        <v/>
      </c>
      <c r="P383" s="208" t="str">
        <f t="shared" si="124"/>
        <v/>
      </c>
      <c r="Q383" s="208" t="str">
        <f t="shared" si="111"/>
        <v/>
      </c>
      <c r="R383" s="609" t="str">
        <f t="shared" si="112"/>
        <v/>
      </c>
      <c r="S383" s="609" t="str">
        <f t="shared" si="113"/>
        <v/>
      </c>
      <c r="T383" s="609" t="str">
        <f t="shared" si="114"/>
        <v/>
      </c>
      <c r="U383" s="609" t="str" cm="1">
        <f t="array" ref="U383">IFERROR(IF($D$3="","",_xlfn.LET(_xlpm.Mixed,AND(COUNTIF($G$34:$G$533,"Heating_Hot_Water")&gt;0,(COUNTIF($G$34:$G$533,"Steam_Low_Pressure") + COUNTIF($G$34:$G$533,"Steam_Medium_Pressure") + COUNTIF($G$34:$G$533,"Steam_High_Pressure"))&gt;0),_xlpm.fluid, G383,_xlpm.fuel, K383,_xlpm.load,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3" s="609" t="str">
        <f t="shared" si="125"/>
        <v/>
      </c>
      <c r="W383" s="482"/>
      <c r="X383" s="397" t="str" cm="1">
        <f t="array" ref="X383">IFERROR(IF($D$3="","", _xlfn.XLOOKUP(1,($AR$36:$AR$53=F383)*($AS$36:$AS$53=G383), INDEX($AT$36:$BJ$53,,_xlfn.XMATCH(E383,$AT$35:$BJ$35)))),"")</f>
        <v/>
      </c>
      <c r="Y383" s="480"/>
      <c r="Z383" s="482"/>
      <c r="AA383" s="607" t="str" cm="1">
        <f t="array" ref="AA383">IFERROR(IF($D$3="", "", _xlfn.LET(_xlpm.dia, E383, _xlpm.thk, Z383, _xlpm.temp, I383,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3" s="397" t="str" cm="1">
        <f t="array" ref="AB383">IFERROR(IF($D$3="", "", _xlfn.XLOOKUP(1,($AR$57:$AR$76=Y383)*($AS$57:$AS$76=Z383), INDEX($AT$57:$BJ$76,,_xlfn.XMATCH(E383,$AT$56:$BJ$56)))),"")</f>
        <v/>
      </c>
      <c r="AC383" s="208" t="str">
        <f t="shared" si="115"/>
        <v/>
      </c>
      <c r="AD383" s="397" t="str">
        <f t="shared" si="116"/>
        <v/>
      </c>
      <c r="AE383" s="610" t="str">
        <f t="shared" si="117"/>
        <v/>
      </c>
      <c r="AF383" s="610" t="str">
        <f t="shared" si="118"/>
        <v/>
      </c>
      <c r="AG383" s="610" t="str">
        <f t="shared" si="119"/>
        <v/>
      </c>
      <c r="AH383" s="608" t="str">
        <f t="shared" si="120"/>
        <v/>
      </c>
      <c r="AI383" s="610" t="str">
        <f t="shared" si="121"/>
        <v/>
      </c>
    </row>
    <row r="384" spans="2:35" x14ac:dyDescent="0.25">
      <c r="B384" s="209">
        <v>351</v>
      </c>
      <c r="C384" s="480"/>
      <c r="D384" s="480"/>
      <c r="E384" s="481"/>
      <c r="F384" s="480"/>
      <c r="G384" s="480"/>
      <c r="H384" s="607" t="str">
        <f t="shared" si="106"/>
        <v/>
      </c>
      <c r="I384" s="607" t="str">
        <f t="shared" si="107"/>
        <v/>
      </c>
      <c r="J384" s="607" t="str">
        <f t="shared" si="108"/>
        <v/>
      </c>
      <c r="K384" s="208" t="str">
        <f t="shared" si="109"/>
        <v/>
      </c>
      <c r="L384" s="208" t="str">
        <f t="shared" si="110"/>
        <v/>
      </c>
      <c r="M384" s="208" t="str">
        <f t="shared" si="122"/>
        <v/>
      </c>
      <c r="N384" s="608" t="str">
        <f>IF($D$3="", "", IFERROR(VLOOKUP(L384,'PIPE INCENTIVE'!$B$4:$E$19,2,FALSE),""))</f>
        <v/>
      </c>
      <c r="O384" s="608" t="str">
        <f t="shared" si="123"/>
        <v/>
      </c>
      <c r="P384" s="208" t="str">
        <f t="shared" si="124"/>
        <v/>
      </c>
      <c r="Q384" s="208" t="str">
        <f t="shared" si="111"/>
        <v/>
      </c>
      <c r="R384" s="609" t="str">
        <f t="shared" si="112"/>
        <v/>
      </c>
      <c r="S384" s="609" t="str">
        <f t="shared" si="113"/>
        <v/>
      </c>
      <c r="T384" s="609" t="str">
        <f t="shared" si="114"/>
        <v/>
      </c>
      <c r="U384" s="609" t="str" cm="1">
        <f t="array" ref="U384">IFERROR(IF($D$3="","",_xlfn.LET(_xlpm.Mixed,AND(COUNTIF($G$34:$G$533,"Heating_Hot_Water")&gt;0,(COUNTIF($G$34:$G$533,"Steam_Low_Pressure") + COUNTIF($G$34:$G$533,"Steam_Medium_Pressure") + COUNTIF($G$34:$G$533,"Steam_High_Pressure"))&gt;0),_xlpm.fluid, G384,_xlpm.fuel, K384,_xlpm.load,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4" s="609" t="str">
        <f t="shared" si="125"/>
        <v/>
      </c>
      <c r="W384" s="482"/>
      <c r="X384" s="397" t="str" cm="1">
        <f t="array" ref="X384">IFERROR(IF($D$3="","", _xlfn.XLOOKUP(1,($AR$36:$AR$53=F384)*($AS$36:$AS$53=G384), INDEX($AT$36:$BJ$53,,_xlfn.XMATCH(E384,$AT$35:$BJ$35)))),"")</f>
        <v/>
      </c>
      <c r="Y384" s="480"/>
      <c r="Z384" s="482"/>
      <c r="AA384" s="607" t="str" cm="1">
        <f t="array" ref="AA384">IFERROR(IF($D$3="", "", _xlfn.LET(_xlpm.dia, E384, _xlpm.thk, Z384, _xlpm.temp, I384,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4" s="397" t="str" cm="1">
        <f t="array" ref="AB384">IFERROR(IF($D$3="", "", _xlfn.XLOOKUP(1,($AR$57:$AR$76=Y384)*($AS$57:$AS$76=Z384), INDEX($AT$57:$BJ$76,,_xlfn.XMATCH(E384,$AT$56:$BJ$56)))),"")</f>
        <v/>
      </c>
      <c r="AC384" s="208" t="str">
        <f t="shared" si="115"/>
        <v/>
      </c>
      <c r="AD384" s="397" t="str">
        <f t="shared" si="116"/>
        <v/>
      </c>
      <c r="AE384" s="610" t="str">
        <f t="shared" si="117"/>
        <v/>
      </c>
      <c r="AF384" s="610" t="str">
        <f t="shared" si="118"/>
        <v/>
      </c>
      <c r="AG384" s="610" t="str">
        <f t="shared" si="119"/>
        <v/>
      </c>
      <c r="AH384" s="608" t="str">
        <f t="shared" si="120"/>
        <v/>
      </c>
      <c r="AI384" s="610" t="str">
        <f t="shared" si="121"/>
        <v/>
      </c>
    </row>
    <row r="385" spans="2:35" x14ac:dyDescent="0.25">
      <c r="B385" s="209">
        <v>352</v>
      </c>
      <c r="C385" s="480"/>
      <c r="D385" s="480"/>
      <c r="E385" s="481"/>
      <c r="F385" s="480"/>
      <c r="G385" s="480"/>
      <c r="H385" s="607" t="str">
        <f t="shared" si="106"/>
        <v/>
      </c>
      <c r="I385" s="607" t="str">
        <f t="shared" si="107"/>
        <v/>
      </c>
      <c r="J385" s="607" t="str">
        <f t="shared" si="108"/>
        <v/>
      </c>
      <c r="K385" s="208" t="str">
        <f t="shared" si="109"/>
        <v/>
      </c>
      <c r="L385" s="208" t="str">
        <f t="shared" si="110"/>
        <v/>
      </c>
      <c r="M385" s="208" t="str">
        <f t="shared" si="122"/>
        <v/>
      </c>
      <c r="N385" s="608" t="str">
        <f>IF($D$3="", "", IFERROR(VLOOKUP(L385,'PIPE INCENTIVE'!$B$4:$E$19,2,FALSE),""))</f>
        <v/>
      </c>
      <c r="O385" s="608" t="str">
        <f t="shared" si="123"/>
        <v/>
      </c>
      <c r="P385" s="208" t="str">
        <f t="shared" si="124"/>
        <v/>
      </c>
      <c r="Q385" s="208" t="str">
        <f t="shared" si="111"/>
        <v/>
      </c>
      <c r="R385" s="609" t="str">
        <f t="shared" si="112"/>
        <v/>
      </c>
      <c r="S385" s="609" t="str">
        <f t="shared" si="113"/>
        <v/>
      </c>
      <c r="T385" s="609" t="str">
        <f t="shared" si="114"/>
        <v/>
      </c>
      <c r="U385" s="609" t="str" cm="1">
        <f t="array" ref="U385">IFERROR(IF($D$3="","",_xlfn.LET(_xlpm.Mixed,AND(COUNTIF($G$34:$G$533,"Heating_Hot_Water")&gt;0,(COUNTIF($G$34:$G$533,"Steam_Low_Pressure") + COUNTIF($G$34:$G$533,"Steam_Medium_Pressure") + COUNTIF($G$34:$G$533,"Steam_High_Pressure"))&gt;0),_xlpm.fluid, G385,_xlpm.fuel, K385,_xlpm.load,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5" s="609" t="str">
        <f t="shared" si="125"/>
        <v/>
      </c>
      <c r="W385" s="482"/>
      <c r="X385" s="397" t="str" cm="1">
        <f t="array" ref="X385">IFERROR(IF($D$3="","", _xlfn.XLOOKUP(1,($AR$36:$AR$53=F385)*($AS$36:$AS$53=G385), INDEX($AT$36:$BJ$53,,_xlfn.XMATCH(E385,$AT$35:$BJ$35)))),"")</f>
        <v/>
      </c>
      <c r="Y385" s="480"/>
      <c r="Z385" s="482"/>
      <c r="AA385" s="607" t="str" cm="1">
        <f t="array" ref="AA385">IFERROR(IF($D$3="", "", _xlfn.LET(_xlpm.dia, E385, _xlpm.thk, Z385, _xlpm.temp, I385,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5" s="397" t="str" cm="1">
        <f t="array" ref="AB385">IFERROR(IF($D$3="", "", _xlfn.XLOOKUP(1,($AR$57:$AR$76=Y385)*($AS$57:$AS$76=Z385), INDEX($AT$57:$BJ$76,,_xlfn.XMATCH(E385,$AT$56:$BJ$56)))),"")</f>
        <v/>
      </c>
      <c r="AC385" s="208" t="str">
        <f t="shared" si="115"/>
        <v/>
      </c>
      <c r="AD385" s="397" t="str">
        <f t="shared" si="116"/>
        <v/>
      </c>
      <c r="AE385" s="610" t="str">
        <f t="shared" si="117"/>
        <v/>
      </c>
      <c r="AF385" s="610" t="str">
        <f t="shared" si="118"/>
        <v/>
      </c>
      <c r="AG385" s="610" t="str">
        <f t="shared" si="119"/>
        <v/>
      </c>
      <c r="AH385" s="608" t="str">
        <f t="shared" si="120"/>
        <v/>
      </c>
      <c r="AI385" s="610" t="str">
        <f t="shared" si="121"/>
        <v/>
      </c>
    </row>
    <row r="386" spans="2:35" x14ac:dyDescent="0.25">
      <c r="B386" s="209">
        <v>353</v>
      </c>
      <c r="C386" s="480"/>
      <c r="D386" s="480"/>
      <c r="E386" s="481"/>
      <c r="F386" s="480"/>
      <c r="G386" s="480"/>
      <c r="H386" s="607" t="str">
        <f t="shared" si="106"/>
        <v/>
      </c>
      <c r="I386" s="607" t="str">
        <f t="shared" si="107"/>
        <v/>
      </c>
      <c r="J386" s="607" t="str">
        <f t="shared" si="108"/>
        <v/>
      </c>
      <c r="K386" s="208" t="str">
        <f t="shared" si="109"/>
        <v/>
      </c>
      <c r="L386" s="208" t="str">
        <f t="shared" si="110"/>
        <v/>
      </c>
      <c r="M386" s="208" t="str">
        <f t="shared" si="122"/>
        <v/>
      </c>
      <c r="N386" s="608" t="str">
        <f>IF($D$3="", "", IFERROR(VLOOKUP(L386,'PIPE INCENTIVE'!$B$4:$E$19,2,FALSE),""))</f>
        <v/>
      </c>
      <c r="O386" s="608" t="str">
        <f t="shared" si="123"/>
        <v/>
      </c>
      <c r="P386" s="208" t="str">
        <f t="shared" si="124"/>
        <v/>
      </c>
      <c r="Q386" s="208" t="str">
        <f t="shared" si="111"/>
        <v/>
      </c>
      <c r="R386" s="609" t="str">
        <f t="shared" si="112"/>
        <v/>
      </c>
      <c r="S386" s="609" t="str">
        <f t="shared" si="113"/>
        <v/>
      </c>
      <c r="T386" s="609" t="str">
        <f t="shared" si="114"/>
        <v/>
      </c>
      <c r="U386" s="609" t="str" cm="1">
        <f t="array" ref="U386">IFERROR(IF($D$3="","",_xlfn.LET(_xlpm.Mixed,AND(COUNTIF($G$34:$G$533,"Heating_Hot_Water")&gt;0,(COUNTIF($G$34:$G$533,"Steam_Low_Pressure") + COUNTIF($G$34:$G$533,"Steam_Medium_Pressure") + COUNTIF($G$34:$G$533,"Steam_High_Pressure"))&gt;0),_xlpm.fluid, G386,_xlpm.fuel, K386,_xlpm.load,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6" s="609" t="str">
        <f t="shared" si="125"/>
        <v/>
      </c>
      <c r="W386" s="482"/>
      <c r="X386" s="397" t="str" cm="1">
        <f t="array" ref="X386">IFERROR(IF($D$3="","", _xlfn.XLOOKUP(1,($AR$36:$AR$53=F386)*($AS$36:$AS$53=G386), INDEX($AT$36:$BJ$53,,_xlfn.XMATCH(E386,$AT$35:$BJ$35)))),"")</f>
        <v/>
      </c>
      <c r="Y386" s="480"/>
      <c r="Z386" s="482"/>
      <c r="AA386" s="607" t="str" cm="1">
        <f t="array" ref="AA386">IFERROR(IF($D$3="", "", _xlfn.LET(_xlpm.dia, E386, _xlpm.thk, Z386, _xlpm.temp, I386,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6" s="397" t="str" cm="1">
        <f t="array" ref="AB386">IFERROR(IF($D$3="", "", _xlfn.XLOOKUP(1,($AR$57:$AR$76=Y386)*($AS$57:$AS$76=Z386), INDEX($AT$57:$BJ$76,,_xlfn.XMATCH(E386,$AT$56:$BJ$56)))),"")</f>
        <v/>
      </c>
      <c r="AC386" s="208" t="str">
        <f t="shared" si="115"/>
        <v/>
      </c>
      <c r="AD386" s="397" t="str">
        <f t="shared" si="116"/>
        <v/>
      </c>
      <c r="AE386" s="610" t="str">
        <f t="shared" si="117"/>
        <v/>
      </c>
      <c r="AF386" s="610" t="str">
        <f t="shared" si="118"/>
        <v/>
      </c>
      <c r="AG386" s="610" t="str">
        <f t="shared" si="119"/>
        <v/>
      </c>
      <c r="AH386" s="608" t="str">
        <f t="shared" si="120"/>
        <v/>
      </c>
      <c r="AI386" s="610" t="str">
        <f t="shared" si="121"/>
        <v/>
      </c>
    </row>
    <row r="387" spans="2:35" x14ac:dyDescent="0.25">
      <c r="B387" s="209">
        <v>354</v>
      </c>
      <c r="C387" s="480"/>
      <c r="D387" s="480"/>
      <c r="E387" s="481"/>
      <c r="F387" s="480"/>
      <c r="G387" s="480"/>
      <c r="H387" s="607" t="str">
        <f t="shared" si="106"/>
        <v/>
      </c>
      <c r="I387" s="607" t="str">
        <f t="shared" si="107"/>
        <v/>
      </c>
      <c r="J387" s="607" t="str">
        <f t="shared" si="108"/>
        <v/>
      </c>
      <c r="K387" s="208" t="str">
        <f t="shared" si="109"/>
        <v/>
      </c>
      <c r="L387" s="208" t="str">
        <f t="shared" si="110"/>
        <v/>
      </c>
      <c r="M387" s="208" t="str">
        <f t="shared" si="122"/>
        <v/>
      </c>
      <c r="N387" s="608" t="str">
        <f>IF($D$3="", "", IFERROR(VLOOKUP(L387,'PIPE INCENTIVE'!$B$4:$E$19,2,FALSE),""))</f>
        <v/>
      </c>
      <c r="O387" s="608" t="str">
        <f t="shared" si="123"/>
        <v/>
      </c>
      <c r="P387" s="208" t="str">
        <f t="shared" si="124"/>
        <v/>
      </c>
      <c r="Q387" s="208" t="str">
        <f t="shared" si="111"/>
        <v/>
      </c>
      <c r="R387" s="609" t="str">
        <f t="shared" si="112"/>
        <v/>
      </c>
      <c r="S387" s="609" t="str">
        <f t="shared" si="113"/>
        <v/>
      </c>
      <c r="T387" s="609" t="str">
        <f t="shared" si="114"/>
        <v/>
      </c>
      <c r="U387" s="609" t="str" cm="1">
        <f t="array" ref="U387">IFERROR(IF($D$3="","",_xlfn.LET(_xlpm.Mixed,AND(COUNTIF($G$34:$G$533,"Heating_Hot_Water")&gt;0,(COUNTIF($G$34:$G$533,"Steam_Low_Pressure") + COUNTIF($G$34:$G$533,"Steam_Medium_Pressure") + COUNTIF($G$34:$G$533,"Steam_High_Pressure"))&gt;0),_xlpm.fluid, G387,_xlpm.fuel, K387,_xlpm.load,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7" s="609" t="str">
        <f t="shared" si="125"/>
        <v/>
      </c>
      <c r="W387" s="482"/>
      <c r="X387" s="397" t="str" cm="1">
        <f t="array" ref="X387">IFERROR(IF($D$3="","", _xlfn.XLOOKUP(1,($AR$36:$AR$53=F387)*($AS$36:$AS$53=G387), INDEX($AT$36:$BJ$53,,_xlfn.XMATCH(E387,$AT$35:$BJ$35)))),"")</f>
        <v/>
      </c>
      <c r="Y387" s="480"/>
      <c r="Z387" s="482"/>
      <c r="AA387" s="607" t="str" cm="1">
        <f t="array" ref="AA387">IFERROR(IF($D$3="", "", _xlfn.LET(_xlpm.dia, E387, _xlpm.thk, Z387, _xlpm.temp, I387,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7" s="397" t="str" cm="1">
        <f t="array" ref="AB387">IFERROR(IF($D$3="", "", _xlfn.XLOOKUP(1,($AR$57:$AR$76=Y387)*($AS$57:$AS$76=Z387), INDEX($AT$57:$BJ$76,,_xlfn.XMATCH(E387,$AT$56:$BJ$56)))),"")</f>
        <v/>
      </c>
      <c r="AC387" s="208" t="str">
        <f t="shared" si="115"/>
        <v/>
      </c>
      <c r="AD387" s="397" t="str">
        <f t="shared" si="116"/>
        <v/>
      </c>
      <c r="AE387" s="610" t="str">
        <f t="shared" si="117"/>
        <v/>
      </c>
      <c r="AF387" s="610" t="str">
        <f t="shared" si="118"/>
        <v/>
      </c>
      <c r="AG387" s="610" t="str">
        <f t="shared" si="119"/>
        <v/>
      </c>
      <c r="AH387" s="608" t="str">
        <f t="shared" si="120"/>
        <v/>
      </c>
      <c r="AI387" s="610" t="str">
        <f t="shared" si="121"/>
        <v/>
      </c>
    </row>
    <row r="388" spans="2:35" x14ac:dyDescent="0.25">
      <c r="B388" s="209">
        <v>355</v>
      </c>
      <c r="C388" s="480"/>
      <c r="D388" s="480"/>
      <c r="E388" s="481"/>
      <c r="F388" s="480"/>
      <c r="G388" s="480"/>
      <c r="H388" s="607" t="str">
        <f t="shared" si="106"/>
        <v/>
      </c>
      <c r="I388" s="607" t="str">
        <f t="shared" si="107"/>
        <v/>
      </c>
      <c r="J388" s="607" t="str">
        <f t="shared" si="108"/>
        <v/>
      </c>
      <c r="K388" s="208" t="str">
        <f t="shared" si="109"/>
        <v/>
      </c>
      <c r="L388" s="208" t="str">
        <f t="shared" si="110"/>
        <v/>
      </c>
      <c r="M388" s="208" t="str">
        <f t="shared" si="122"/>
        <v/>
      </c>
      <c r="N388" s="608" t="str">
        <f>IF($D$3="", "", IFERROR(VLOOKUP(L388,'PIPE INCENTIVE'!$B$4:$E$19,2,FALSE),""))</f>
        <v/>
      </c>
      <c r="O388" s="608" t="str">
        <f t="shared" si="123"/>
        <v/>
      </c>
      <c r="P388" s="208" t="str">
        <f t="shared" si="124"/>
        <v/>
      </c>
      <c r="Q388" s="208" t="str">
        <f t="shared" si="111"/>
        <v/>
      </c>
      <c r="R388" s="609" t="str">
        <f t="shared" si="112"/>
        <v/>
      </c>
      <c r="S388" s="609" t="str">
        <f t="shared" si="113"/>
        <v/>
      </c>
      <c r="T388" s="609" t="str">
        <f t="shared" si="114"/>
        <v/>
      </c>
      <c r="U388" s="609" t="str" cm="1">
        <f t="array" ref="U388">IFERROR(IF($D$3="","",_xlfn.LET(_xlpm.Mixed,AND(COUNTIF($G$34:$G$533,"Heating_Hot_Water")&gt;0,(COUNTIF($G$34:$G$533,"Steam_Low_Pressure") + COUNTIF($G$34:$G$533,"Steam_Medium_Pressure") + COUNTIF($G$34:$G$533,"Steam_High_Pressure"))&gt;0),_xlpm.fluid, G388,_xlpm.fuel, K388,_xlpm.load,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8" s="609" t="str">
        <f t="shared" si="125"/>
        <v/>
      </c>
      <c r="W388" s="482"/>
      <c r="X388" s="397" t="str" cm="1">
        <f t="array" ref="X388">IFERROR(IF($D$3="","", _xlfn.XLOOKUP(1,($AR$36:$AR$53=F388)*($AS$36:$AS$53=G388), INDEX($AT$36:$BJ$53,,_xlfn.XMATCH(E388,$AT$35:$BJ$35)))),"")</f>
        <v/>
      </c>
      <c r="Y388" s="480"/>
      <c r="Z388" s="482"/>
      <c r="AA388" s="607" t="str" cm="1">
        <f t="array" ref="AA388">IFERROR(IF($D$3="", "", _xlfn.LET(_xlpm.dia, E388, _xlpm.thk, Z388, _xlpm.temp, I388,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8" s="397" t="str" cm="1">
        <f t="array" ref="AB388">IFERROR(IF($D$3="", "", _xlfn.XLOOKUP(1,($AR$57:$AR$76=Y388)*($AS$57:$AS$76=Z388), INDEX($AT$57:$BJ$76,,_xlfn.XMATCH(E388,$AT$56:$BJ$56)))),"")</f>
        <v/>
      </c>
      <c r="AC388" s="208" t="str">
        <f t="shared" si="115"/>
        <v/>
      </c>
      <c r="AD388" s="397" t="str">
        <f t="shared" si="116"/>
        <v/>
      </c>
      <c r="AE388" s="610" t="str">
        <f t="shared" si="117"/>
        <v/>
      </c>
      <c r="AF388" s="610" t="str">
        <f t="shared" si="118"/>
        <v/>
      </c>
      <c r="AG388" s="610" t="str">
        <f t="shared" si="119"/>
        <v/>
      </c>
      <c r="AH388" s="608" t="str">
        <f t="shared" si="120"/>
        <v/>
      </c>
      <c r="AI388" s="610" t="str">
        <f t="shared" si="121"/>
        <v/>
      </c>
    </row>
    <row r="389" spans="2:35" x14ac:dyDescent="0.25">
      <c r="B389" s="209">
        <v>356</v>
      </c>
      <c r="C389" s="480"/>
      <c r="D389" s="480"/>
      <c r="E389" s="481"/>
      <c r="F389" s="480"/>
      <c r="G389" s="480"/>
      <c r="H389" s="607" t="str">
        <f t="shared" si="106"/>
        <v/>
      </c>
      <c r="I389" s="607" t="str">
        <f t="shared" si="107"/>
        <v/>
      </c>
      <c r="J389" s="607" t="str">
        <f t="shared" si="108"/>
        <v/>
      </c>
      <c r="K389" s="208" t="str">
        <f t="shared" si="109"/>
        <v/>
      </c>
      <c r="L389" s="208" t="str">
        <f t="shared" si="110"/>
        <v/>
      </c>
      <c r="M389" s="208" t="str">
        <f t="shared" si="122"/>
        <v/>
      </c>
      <c r="N389" s="608" t="str">
        <f>IF($D$3="", "", IFERROR(VLOOKUP(L389,'PIPE INCENTIVE'!$B$4:$E$19,2,FALSE),""))</f>
        <v/>
      </c>
      <c r="O389" s="608" t="str">
        <f t="shared" si="123"/>
        <v/>
      </c>
      <c r="P389" s="208" t="str">
        <f t="shared" si="124"/>
        <v/>
      </c>
      <c r="Q389" s="208" t="str">
        <f t="shared" si="111"/>
        <v/>
      </c>
      <c r="R389" s="609" t="str">
        <f t="shared" si="112"/>
        <v/>
      </c>
      <c r="S389" s="609" t="str">
        <f t="shared" si="113"/>
        <v/>
      </c>
      <c r="T389" s="609" t="str">
        <f t="shared" si="114"/>
        <v/>
      </c>
      <c r="U389" s="609" t="str" cm="1">
        <f t="array" ref="U389">IFERROR(IF($D$3="","",_xlfn.LET(_xlpm.Mixed,AND(COUNTIF($G$34:$G$533,"Heating_Hot_Water")&gt;0,(COUNTIF($G$34:$G$533,"Steam_Low_Pressure") + COUNTIF($G$34:$G$533,"Steam_Medium_Pressure") + COUNTIF($G$34:$G$533,"Steam_High_Pressure"))&gt;0),_xlpm.fluid, G389,_xlpm.fuel, K389,_xlpm.load,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89" s="609" t="str">
        <f t="shared" si="125"/>
        <v/>
      </c>
      <c r="W389" s="482"/>
      <c r="X389" s="397" t="str" cm="1">
        <f t="array" ref="X389">IFERROR(IF($D$3="","", _xlfn.XLOOKUP(1,($AR$36:$AR$53=F389)*($AS$36:$AS$53=G389), INDEX($AT$36:$BJ$53,,_xlfn.XMATCH(E389,$AT$35:$BJ$35)))),"")</f>
        <v/>
      </c>
      <c r="Y389" s="480"/>
      <c r="Z389" s="482"/>
      <c r="AA389" s="607" t="str" cm="1">
        <f t="array" ref="AA389">IFERROR(IF($D$3="", "", _xlfn.LET(_xlpm.dia, E389, _xlpm.thk, Z389, _xlpm.temp, I389,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89" s="397" t="str" cm="1">
        <f t="array" ref="AB389">IFERROR(IF($D$3="", "", _xlfn.XLOOKUP(1,($AR$57:$AR$76=Y389)*($AS$57:$AS$76=Z389), INDEX($AT$57:$BJ$76,,_xlfn.XMATCH(E389,$AT$56:$BJ$56)))),"")</f>
        <v/>
      </c>
      <c r="AC389" s="208" t="str">
        <f t="shared" si="115"/>
        <v/>
      </c>
      <c r="AD389" s="397" t="str">
        <f t="shared" si="116"/>
        <v/>
      </c>
      <c r="AE389" s="610" t="str">
        <f t="shared" si="117"/>
        <v/>
      </c>
      <c r="AF389" s="610" t="str">
        <f t="shared" si="118"/>
        <v/>
      </c>
      <c r="AG389" s="610" t="str">
        <f t="shared" si="119"/>
        <v/>
      </c>
      <c r="AH389" s="608" t="str">
        <f t="shared" si="120"/>
        <v/>
      </c>
      <c r="AI389" s="610" t="str">
        <f t="shared" si="121"/>
        <v/>
      </c>
    </row>
    <row r="390" spans="2:35" x14ac:dyDescent="0.25">
      <c r="B390" s="209">
        <v>357</v>
      </c>
      <c r="C390" s="480"/>
      <c r="D390" s="480"/>
      <c r="E390" s="481"/>
      <c r="F390" s="480"/>
      <c r="G390" s="480"/>
      <c r="H390" s="607" t="str">
        <f t="shared" si="106"/>
        <v/>
      </c>
      <c r="I390" s="607" t="str">
        <f t="shared" si="107"/>
        <v/>
      </c>
      <c r="J390" s="607" t="str">
        <f t="shared" si="108"/>
        <v/>
      </c>
      <c r="K390" s="208" t="str">
        <f t="shared" si="109"/>
        <v/>
      </c>
      <c r="L390" s="208" t="str">
        <f t="shared" si="110"/>
        <v/>
      </c>
      <c r="M390" s="208" t="str">
        <f t="shared" si="122"/>
        <v/>
      </c>
      <c r="N390" s="608" t="str">
        <f>IF($D$3="", "", IFERROR(VLOOKUP(L390,'PIPE INCENTIVE'!$B$4:$E$19,2,FALSE),""))</f>
        <v/>
      </c>
      <c r="O390" s="608" t="str">
        <f t="shared" si="123"/>
        <v/>
      </c>
      <c r="P390" s="208" t="str">
        <f t="shared" si="124"/>
        <v/>
      </c>
      <c r="Q390" s="208" t="str">
        <f t="shared" si="111"/>
        <v/>
      </c>
      <c r="R390" s="609" t="str">
        <f t="shared" si="112"/>
        <v/>
      </c>
      <c r="S390" s="609" t="str">
        <f t="shared" si="113"/>
        <v/>
      </c>
      <c r="T390" s="609" t="str">
        <f t="shared" si="114"/>
        <v/>
      </c>
      <c r="U390" s="609" t="str" cm="1">
        <f t="array" ref="U390">IFERROR(IF($D$3="","",_xlfn.LET(_xlpm.Mixed,AND(COUNTIF($G$34:$G$533,"Heating_Hot_Water")&gt;0,(COUNTIF($G$34:$G$533,"Steam_Low_Pressure") + COUNTIF($G$34:$G$533,"Steam_Medium_Pressure") + COUNTIF($G$34:$G$533,"Steam_High_Pressure"))&gt;0),_xlpm.fluid, G390,_xlpm.fuel, K390,_xlpm.load,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0" s="609" t="str">
        <f t="shared" si="125"/>
        <v/>
      </c>
      <c r="W390" s="482"/>
      <c r="X390" s="397" t="str" cm="1">
        <f t="array" ref="X390">IFERROR(IF($D$3="","", _xlfn.XLOOKUP(1,($AR$36:$AR$53=F390)*($AS$36:$AS$53=G390), INDEX($AT$36:$BJ$53,,_xlfn.XMATCH(E390,$AT$35:$BJ$35)))),"")</f>
        <v/>
      </c>
      <c r="Y390" s="480"/>
      <c r="Z390" s="482"/>
      <c r="AA390" s="607" t="str" cm="1">
        <f t="array" ref="AA390">IFERROR(IF($D$3="", "", _xlfn.LET(_xlpm.dia, E390, _xlpm.thk, Z390, _xlpm.temp, I390,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0" s="397" t="str" cm="1">
        <f t="array" ref="AB390">IFERROR(IF($D$3="", "", _xlfn.XLOOKUP(1,($AR$57:$AR$76=Y390)*($AS$57:$AS$76=Z390), INDEX($AT$57:$BJ$76,,_xlfn.XMATCH(E390,$AT$56:$BJ$56)))),"")</f>
        <v/>
      </c>
      <c r="AC390" s="208" t="str">
        <f t="shared" si="115"/>
        <v/>
      </c>
      <c r="AD390" s="397" t="str">
        <f t="shared" si="116"/>
        <v/>
      </c>
      <c r="AE390" s="610" t="str">
        <f t="shared" si="117"/>
        <v/>
      </c>
      <c r="AF390" s="610" t="str">
        <f t="shared" si="118"/>
        <v/>
      </c>
      <c r="AG390" s="610" t="str">
        <f t="shared" si="119"/>
        <v/>
      </c>
      <c r="AH390" s="608" t="str">
        <f t="shared" si="120"/>
        <v/>
      </c>
      <c r="AI390" s="610" t="str">
        <f t="shared" si="121"/>
        <v/>
      </c>
    </row>
    <row r="391" spans="2:35" x14ac:dyDescent="0.25">
      <c r="B391" s="209">
        <v>358</v>
      </c>
      <c r="C391" s="480"/>
      <c r="D391" s="480"/>
      <c r="E391" s="481"/>
      <c r="F391" s="480"/>
      <c r="G391" s="480"/>
      <c r="H391" s="607" t="str">
        <f t="shared" si="106"/>
        <v/>
      </c>
      <c r="I391" s="607" t="str">
        <f t="shared" si="107"/>
        <v/>
      </c>
      <c r="J391" s="607" t="str">
        <f t="shared" si="108"/>
        <v/>
      </c>
      <c r="K391" s="208" t="str">
        <f t="shared" si="109"/>
        <v/>
      </c>
      <c r="L391" s="208" t="str">
        <f t="shared" si="110"/>
        <v/>
      </c>
      <c r="M391" s="208" t="str">
        <f t="shared" si="122"/>
        <v/>
      </c>
      <c r="N391" s="608" t="str">
        <f>IF($D$3="", "", IFERROR(VLOOKUP(L391,'PIPE INCENTIVE'!$B$4:$E$19,2,FALSE),""))</f>
        <v/>
      </c>
      <c r="O391" s="608" t="str">
        <f t="shared" si="123"/>
        <v/>
      </c>
      <c r="P391" s="208" t="str">
        <f t="shared" si="124"/>
        <v/>
      </c>
      <c r="Q391" s="208" t="str">
        <f t="shared" si="111"/>
        <v/>
      </c>
      <c r="R391" s="609" t="str">
        <f t="shared" si="112"/>
        <v/>
      </c>
      <c r="S391" s="609" t="str">
        <f t="shared" si="113"/>
        <v/>
      </c>
      <c r="T391" s="609" t="str">
        <f t="shared" si="114"/>
        <v/>
      </c>
      <c r="U391" s="609" t="str" cm="1">
        <f t="array" ref="U391">IFERROR(IF($D$3="","",_xlfn.LET(_xlpm.Mixed,AND(COUNTIF($G$34:$G$533,"Heating_Hot_Water")&gt;0,(COUNTIF($G$34:$G$533,"Steam_Low_Pressure") + COUNTIF($G$34:$G$533,"Steam_Medium_Pressure") + COUNTIF($G$34:$G$533,"Steam_High_Pressure"))&gt;0),_xlpm.fluid, G391,_xlpm.fuel, K391,_xlpm.load,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1" s="609" t="str">
        <f t="shared" si="125"/>
        <v/>
      </c>
      <c r="W391" s="482"/>
      <c r="X391" s="397" t="str" cm="1">
        <f t="array" ref="X391">IFERROR(IF($D$3="","", _xlfn.XLOOKUP(1,($AR$36:$AR$53=F391)*($AS$36:$AS$53=G391), INDEX($AT$36:$BJ$53,,_xlfn.XMATCH(E391,$AT$35:$BJ$35)))),"")</f>
        <v/>
      </c>
      <c r="Y391" s="480"/>
      <c r="Z391" s="482"/>
      <c r="AA391" s="607" t="str" cm="1">
        <f t="array" ref="AA391">IFERROR(IF($D$3="", "", _xlfn.LET(_xlpm.dia, E391, _xlpm.thk, Z391, _xlpm.temp, I391,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1" s="397" t="str" cm="1">
        <f t="array" ref="AB391">IFERROR(IF($D$3="", "", _xlfn.XLOOKUP(1,($AR$57:$AR$76=Y391)*($AS$57:$AS$76=Z391), INDEX($AT$57:$BJ$76,,_xlfn.XMATCH(E391,$AT$56:$BJ$56)))),"")</f>
        <v/>
      </c>
      <c r="AC391" s="208" t="str">
        <f t="shared" si="115"/>
        <v/>
      </c>
      <c r="AD391" s="397" t="str">
        <f t="shared" si="116"/>
        <v/>
      </c>
      <c r="AE391" s="610" t="str">
        <f t="shared" si="117"/>
        <v/>
      </c>
      <c r="AF391" s="610" t="str">
        <f t="shared" si="118"/>
        <v/>
      </c>
      <c r="AG391" s="610" t="str">
        <f t="shared" si="119"/>
        <v/>
      </c>
      <c r="AH391" s="608" t="str">
        <f t="shared" si="120"/>
        <v/>
      </c>
      <c r="AI391" s="610" t="str">
        <f t="shared" si="121"/>
        <v/>
      </c>
    </row>
    <row r="392" spans="2:35" x14ac:dyDescent="0.25">
      <c r="B392" s="209">
        <v>359</v>
      </c>
      <c r="C392" s="480"/>
      <c r="D392" s="480"/>
      <c r="E392" s="481"/>
      <c r="F392" s="480"/>
      <c r="G392" s="480"/>
      <c r="H392" s="607" t="str">
        <f t="shared" si="106"/>
        <v/>
      </c>
      <c r="I392" s="607" t="str">
        <f t="shared" si="107"/>
        <v/>
      </c>
      <c r="J392" s="607" t="str">
        <f t="shared" si="108"/>
        <v/>
      </c>
      <c r="K392" s="208" t="str">
        <f t="shared" si="109"/>
        <v/>
      </c>
      <c r="L392" s="208" t="str">
        <f t="shared" si="110"/>
        <v/>
      </c>
      <c r="M392" s="208" t="str">
        <f t="shared" si="122"/>
        <v/>
      </c>
      <c r="N392" s="608" t="str">
        <f>IF($D$3="", "", IFERROR(VLOOKUP(L392,'PIPE INCENTIVE'!$B$4:$E$19,2,FALSE),""))</f>
        <v/>
      </c>
      <c r="O392" s="608" t="str">
        <f t="shared" si="123"/>
        <v/>
      </c>
      <c r="P392" s="208" t="str">
        <f t="shared" si="124"/>
        <v/>
      </c>
      <c r="Q392" s="208" t="str">
        <f t="shared" si="111"/>
        <v/>
      </c>
      <c r="R392" s="609" t="str">
        <f t="shared" si="112"/>
        <v/>
      </c>
      <c r="S392" s="609" t="str">
        <f t="shared" si="113"/>
        <v/>
      </c>
      <c r="T392" s="609" t="str">
        <f t="shared" si="114"/>
        <v/>
      </c>
      <c r="U392" s="609" t="str" cm="1">
        <f t="array" ref="U392">IFERROR(IF($D$3="","",_xlfn.LET(_xlpm.Mixed,AND(COUNTIF($G$34:$G$533,"Heating_Hot_Water")&gt;0,(COUNTIF($G$34:$G$533,"Steam_Low_Pressure") + COUNTIF($G$34:$G$533,"Steam_Medium_Pressure") + COUNTIF($G$34:$G$533,"Steam_High_Pressure"))&gt;0),_xlpm.fluid, G392,_xlpm.fuel, K392,_xlpm.load,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2" s="609" t="str">
        <f t="shared" si="125"/>
        <v/>
      </c>
      <c r="W392" s="482"/>
      <c r="X392" s="397" t="str" cm="1">
        <f t="array" ref="X392">IFERROR(IF($D$3="","", _xlfn.XLOOKUP(1,($AR$36:$AR$53=F392)*($AS$36:$AS$53=G392), INDEX($AT$36:$BJ$53,,_xlfn.XMATCH(E392,$AT$35:$BJ$35)))),"")</f>
        <v/>
      </c>
      <c r="Y392" s="480"/>
      <c r="Z392" s="482"/>
      <c r="AA392" s="607" t="str" cm="1">
        <f t="array" ref="AA392">IFERROR(IF($D$3="", "", _xlfn.LET(_xlpm.dia, E392, _xlpm.thk, Z392, _xlpm.temp, I392,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2" s="397" t="str" cm="1">
        <f t="array" ref="AB392">IFERROR(IF($D$3="", "", _xlfn.XLOOKUP(1,($AR$57:$AR$76=Y392)*($AS$57:$AS$76=Z392), INDEX($AT$57:$BJ$76,,_xlfn.XMATCH(E392,$AT$56:$BJ$56)))),"")</f>
        <v/>
      </c>
      <c r="AC392" s="208" t="str">
        <f t="shared" si="115"/>
        <v/>
      </c>
      <c r="AD392" s="397" t="str">
        <f t="shared" si="116"/>
        <v/>
      </c>
      <c r="AE392" s="610" t="str">
        <f t="shared" si="117"/>
        <v/>
      </c>
      <c r="AF392" s="610" t="str">
        <f t="shared" si="118"/>
        <v/>
      </c>
      <c r="AG392" s="610" t="str">
        <f t="shared" si="119"/>
        <v/>
      </c>
      <c r="AH392" s="608" t="str">
        <f t="shared" si="120"/>
        <v/>
      </c>
      <c r="AI392" s="610" t="str">
        <f t="shared" si="121"/>
        <v/>
      </c>
    </row>
    <row r="393" spans="2:35" x14ac:dyDescent="0.25">
      <c r="B393" s="209">
        <v>360</v>
      </c>
      <c r="C393" s="480"/>
      <c r="D393" s="480"/>
      <c r="E393" s="481"/>
      <c r="F393" s="480"/>
      <c r="G393" s="480"/>
      <c r="H393" s="607" t="str">
        <f t="shared" si="106"/>
        <v/>
      </c>
      <c r="I393" s="607" t="str">
        <f t="shared" si="107"/>
        <v/>
      </c>
      <c r="J393" s="607" t="str">
        <f t="shared" si="108"/>
        <v/>
      </c>
      <c r="K393" s="208" t="str">
        <f t="shared" si="109"/>
        <v/>
      </c>
      <c r="L393" s="208" t="str">
        <f t="shared" si="110"/>
        <v/>
      </c>
      <c r="M393" s="208" t="str">
        <f t="shared" si="122"/>
        <v/>
      </c>
      <c r="N393" s="608" t="str">
        <f>IF($D$3="", "", IFERROR(VLOOKUP(L393,'PIPE INCENTIVE'!$B$4:$E$19,2,FALSE),""))</f>
        <v/>
      </c>
      <c r="O393" s="608" t="str">
        <f t="shared" si="123"/>
        <v/>
      </c>
      <c r="P393" s="208" t="str">
        <f t="shared" si="124"/>
        <v/>
      </c>
      <c r="Q393" s="208" t="str">
        <f t="shared" si="111"/>
        <v/>
      </c>
      <c r="R393" s="609" t="str">
        <f t="shared" si="112"/>
        <v/>
      </c>
      <c r="S393" s="609" t="str">
        <f t="shared" si="113"/>
        <v/>
      </c>
      <c r="T393" s="609" t="str">
        <f t="shared" si="114"/>
        <v/>
      </c>
      <c r="U393" s="609" t="str" cm="1">
        <f t="array" ref="U393">IFERROR(IF($D$3="","",_xlfn.LET(_xlpm.Mixed,AND(COUNTIF($G$34:$G$533,"Heating_Hot_Water")&gt;0,(COUNTIF($G$34:$G$533,"Steam_Low_Pressure") + COUNTIF($G$34:$G$533,"Steam_Medium_Pressure") + COUNTIF($G$34:$G$533,"Steam_High_Pressure"))&gt;0),_xlpm.fluid, G393,_xlpm.fuel, K393,_xlpm.load,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3" s="609" t="str">
        <f t="shared" si="125"/>
        <v/>
      </c>
      <c r="W393" s="482"/>
      <c r="X393" s="397" t="str" cm="1">
        <f t="array" ref="X393">IFERROR(IF($D$3="","", _xlfn.XLOOKUP(1,($AR$36:$AR$53=F393)*($AS$36:$AS$53=G393), INDEX($AT$36:$BJ$53,,_xlfn.XMATCH(E393,$AT$35:$BJ$35)))),"")</f>
        <v/>
      </c>
      <c r="Y393" s="480"/>
      <c r="Z393" s="482"/>
      <c r="AA393" s="607" t="str" cm="1">
        <f t="array" ref="AA393">IFERROR(IF($D$3="", "", _xlfn.LET(_xlpm.dia, E393, _xlpm.thk, Z393, _xlpm.temp, I393,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3" s="397" t="str" cm="1">
        <f t="array" ref="AB393">IFERROR(IF($D$3="", "", _xlfn.XLOOKUP(1,($AR$57:$AR$76=Y393)*($AS$57:$AS$76=Z393), INDEX($AT$57:$BJ$76,,_xlfn.XMATCH(E393,$AT$56:$BJ$56)))),"")</f>
        <v/>
      </c>
      <c r="AC393" s="208" t="str">
        <f t="shared" si="115"/>
        <v/>
      </c>
      <c r="AD393" s="397" t="str">
        <f t="shared" si="116"/>
        <v/>
      </c>
      <c r="AE393" s="610" t="str">
        <f t="shared" si="117"/>
        <v/>
      </c>
      <c r="AF393" s="610" t="str">
        <f t="shared" si="118"/>
        <v/>
      </c>
      <c r="AG393" s="610" t="str">
        <f t="shared" si="119"/>
        <v/>
      </c>
      <c r="AH393" s="608" t="str">
        <f t="shared" si="120"/>
        <v/>
      </c>
      <c r="AI393" s="610" t="str">
        <f t="shared" si="121"/>
        <v/>
      </c>
    </row>
    <row r="394" spans="2:35" x14ac:dyDescent="0.25">
      <c r="B394" s="209">
        <v>361</v>
      </c>
      <c r="C394" s="480"/>
      <c r="D394" s="480"/>
      <c r="E394" s="481"/>
      <c r="F394" s="480"/>
      <c r="G394" s="480"/>
      <c r="H394" s="607" t="str">
        <f t="shared" si="106"/>
        <v/>
      </c>
      <c r="I394" s="607" t="str">
        <f t="shared" si="107"/>
        <v/>
      </c>
      <c r="J394" s="607" t="str">
        <f t="shared" si="108"/>
        <v/>
      </c>
      <c r="K394" s="208" t="str">
        <f t="shared" si="109"/>
        <v/>
      </c>
      <c r="L394" s="208" t="str">
        <f t="shared" si="110"/>
        <v/>
      </c>
      <c r="M394" s="208" t="str">
        <f t="shared" si="122"/>
        <v/>
      </c>
      <c r="N394" s="608" t="str">
        <f>IF($D$3="", "", IFERROR(VLOOKUP(L394,'PIPE INCENTIVE'!$B$4:$E$19,2,FALSE),""))</f>
        <v/>
      </c>
      <c r="O394" s="608" t="str">
        <f t="shared" si="123"/>
        <v/>
      </c>
      <c r="P394" s="208" t="str">
        <f t="shared" si="124"/>
        <v/>
      </c>
      <c r="Q394" s="208" t="str">
        <f t="shared" si="111"/>
        <v/>
      </c>
      <c r="R394" s="609" t="str">
        <f t="shared" si="112"/>
        <v/>
      </c>
      <c r="S394" s="609" t="str">
        <f t="shared" si="113"/>
        <v/>
      </c>
      <c r="T394" s="609" t="str">
        <f t="shared" si="114"/>
        <v/>
      </c>
      <c r="U394" s="609" t="str" cm="1">
        <f t="array" ref="U394">IFERROR(IF($D$3="","",_xlfn.LET(_xlpm.Mixed,AND(COUNTIF($G$34:$G$533,"Heating_Hot_Water")&gt;0,(COUNTIF($G$34:$G$533,"Steam_Low_Pressure") + COUNTIF($G$34:$G$533,"Steam_Medium_Pressure") + COUNTIF($G$34:$G$533,"Steam_High_Pressure"))&gt;0),_xlpm.fluid, G394,_xlpm.fuel, K394,_xlpm.load,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4" s="609" t="str">
        <f t="shared" si="125"/>
        <v/>
      </c>
      <c r="W394" s="482"/>
      <c r="X394" s="397" t="str" cm="1">
        <f t="array" ref="X394">IFERROR(IF($D$3="","", _xlfn.XLOOKUP(1,($AR$36:$AR$53=F394)*($AS$36:$AS$53=G394), INDEX($AT$36:$BJ$53,,_xlfn.XMATCH(E394,$AT$35:$BJ$35)))),"")</f>
        <v/>
      </c>
      <c r="Y394" s="480"/>
      <c r="Z394" s="482"/>
      <c r="AA394" s="607" t="str" cm="1">
        <f t="array" ref="AA394">IFERROR(IF($D$3="", "", _xlfn.LET(_xlpm.dia, E394, _xlpm.thk, Z394, _xlpm.temp, I394,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4" s="397" t="str" cm="1">
        <f t="array" ref="AB394">IFERROR(IF($D$3="", "", _xlfn.XLOOKUP(1,($AR$57:$AR$76=Y394)*($AS$57:$AS$76=Z394), INDEX($AT$57:$BJ$76,,_xlfn.XMATCH(E394,$AT$56:$BJ$56)))),"")</f>
        <v/>
      </c>
      <c r="AC394" s="208" t="str">
        <f t="shared" si="115"/>
        <v/>
      </c>
      <c r="AD394" s="397" t="str">
        <f t="shared" si="116"/>
        <v/>
      </c>
      <c r="AE394" s="610" t="str">
        <f t="shared" si="117"/>
        <v/>
      </c>
      <c r="AF394" s="610" t="str">
        <f t="shared" si="118"/>
        <v/>
      </c>
      <c r="AG394" s="610" t="str">
        <f t="shared" si="119"/>
        <v/>
      </c>
      <c r="AH394" s="608" t="str">
        <f t="shared" si="120"/>
        <v/>
      </c>
      <c r="AI394" s="610" t="str">
        <f t="shared" si="121"/>
        <v/>
      </c>
    </row>
    <row r="395" spans="2:35" x14ac:dyDescent="0.25">
      <c r="B395" s="209">
        <v>362</v>
      </c>
      <c r="C395" s="480"/>
      <c r="D395" s="480"/>
      <c r="E395" s="481"/>
      <c r="F395" s="480"/>
      <c r="G395" s="480"/>
      <c r="H395" s="607" t="str">
        <f t="shared" si="106"/>
        <v/>
      </c>
      <c r="I395" s="607" t="str">
        <f t="shared" si="107"/>
        <v/>
      </c>
      <c r="J395" s="607" t="str">
        <f t="shared" si="108"/>
        <v/>
      </c>
      <c r="K395" s="208" t="str">
        <f t="shared" si="109"/>
        <v/>
      </c>
      <c r="L395" s="208" t="str">
        <f t="shared" si="110"/>
        <v/>
      </c>
      <c r="M395" s="208" t="str">
        <f t="shared" si="122"/>
        <v/>
      </c>
      <c r="N395" s="608" t="str">
        <f>IF($D$3="", "", IFERROR(VLOOKUP(L395,'PIPE INCENTIVE'!$B$4:$E$19,2,FALSE),""))</f>
        <v/>
      </c>
      <c r="O395" s="608" t="str">
        <f t="shared" si="123"/>
        <v/>
      </c>
      <c r="P395" s="208" t="str">
        <f t="shared" si="124"/>
        <v/>
      </c>
      <c r="Q395" s="208" t="str">
        <f t="shared" si="111"/>
        <v/>
      </c>
      <c r="R395" s="609" t="str">
        <f t="shared" si="112"/>
        <v/>
      </c>
      <c r="S395" s="609" t="str">
        <f t="shared" si="113"/>
        <v/>
      </c>
      <c r="T395" s="609" t="str">
        <f t="shared" si="114"/>
        <v/>
      </c>
      <c r="U395" s="609" t="str" cm="1">
        <f t="array" ref="U395">IFERROR(IF($D$3="","",_xlfn.LET(_xlpm.Mixed,AND(COUNTIF($G$34:$G$533,"Heating_Hot_Water")&gt;0,(COUNTIF($G$34:$G$533,"Steam_Low_Pressure") + COUNTIF($G$34:$G$533,"Steam_Medium_Pressure") + COUNTIF($G$34:$G$533,"Steam_High_Pressure"))&gt;0),_xlpm.fluid, G395,_xlpm.fuel, K395,_xlpm.load,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5" s="609" t="str">
        <f t="shared" si="125"/>
        <v/>
      </c>
      <c r="W395" s="482"/>
      <c r="X395" s="397" t="str" cm="1">
        <f t="array" ref="X395">IFERROR(IF($D$3="","", _xlfn.XLOOKUP(1,($AR$36:$AR$53=F395)*($AS$36:$AS$53=G395), INDEX($AT$36:$BJ$53,,_xlfn.XMATCH(E395,$AT$35:$BJ$35)))),"")</f>
        <v/>
      </c>
      <c r="Y395" s="480"/>
      <c r="Z395" s="482"/>
      <c r="AA395" s="607" t="str" cm="1">
        <f t="array" ref="AA395">IFERROR(IF($D$3="", "", _xlfn.LET(_xlpm.dia, E395, _xlpm.thk, Z395, _xlpm.temp, I395,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5" s="397" t="str" cm="1">
        <f t="array" ref="AB395">IFERROR(IF($D$3="", "", _xlfn.XLOOKUP(1,($AR$57:$AR$76=Y395)*($AS$57:$AS$76=Z395), INDEX($AT$57:$BJ$76,,_xlfn.XMATCH(E395,$AT$56:$BJ$56)))),"")</f>
        <v/>
      </c>
      <c r="AC395" s="208" t="str">
        <f t="shared" si="115"/>
        <v/>
      </c>
      <c r="AD395" s="397" t="str">
        <f t="shared" si="116"/>
        <v/>
      </c>
      <c r="AE395" s="610" t="str">
        <f t="shared" si="117"/>
        <v/>
      </c>
      <c r="AF395" s="610" t="str">
        <f t="shared" si="118"/>
        <v/>
      </c>
      <c r="AG395" s="610" t="str">
        <f t="shared" si="119"/>
        <v/>
      </c>
      <c r="AH395" s="608" t="str">
        <f t="shared" si="120"/>
        <v/>
      </c>
      <c r="AI395" s="610" t="str">
        <f t="shared" si="121"/>
        <v/>
      </c>
    </row>
    <row r="396" spans="2:35" x14ac:dyDescent="0.25">
      <c r="B396" s="209">
        <v>363</v>
      </c>
      <c r="C396" s="480"/>
      <c r="D396" s="480"/>
      <c r="E396" s="481"/>
      <c r="F396" s="480"/>
      <c r="G396" s="480"/>
      <c r="H396" s="607" t="str">
        <f t="shared" si="106"/>
        <v/>
      </c>
      <c r="I396" s="607" t="str">
        <f t="shared" si="107"/>
        <v/>
      </c>
      <c r="J396" s="607" t="str">
        <f t="shared" si="108"/>
        <v/>
      </c>
      <c r="K396" s="208" t="str">
        <f t="shared" si="109"/>
        <v/>
      </c>
      <c r="L396" s="208" t="str">
        <f t="shared" si="110"/>
        <v/>
      </c>
      <c r="M396" s="208" t="str">
        <f t="shared" si="122"/>
        <v/>
      </c>
      <c r="N396" s="608" t="str">
        <f>IF($D$3="", "", IFERROR(VLOOKUP(L396,'PIPE INCENTIVE'!$B$4:$E$19,2,FALSE),""))</f>
        <v/>
      </c>
      <c r="O396" s="608" t="str">
        <f t="shared" si="123"/>
        <v/>
      </c>
      <c r="P396" s="208" t="str">
        <f t="shared" si="124"/>
        <v/>
      </c>
      <c r="Q396" s="208" t="str">
        <f t="shared" si="111"/>
        <v/>
      </c>
      <c r="R396" s="609" t="str">
        <f t="shared" si="112"/>
        <v/>
      </c>
      <c r="S396" s="609" t="str">
        <f t="shared" si="113"/>
        <v/>
      </c>
      <c r="T396" s="609" t="str">
        <f t="shared" si="114"/>
        <v/>
      </c>
      <c r="U396" s="609" t="str" cm="1">
        <f t="array" ref="U396">IFERROR(IF($D$3="","",_xlfn.LET(_xlpm.Mixed,AND(COUNTIF($G$34:$G$533,"Heating_Hot_Water")&gt;0,(COUNTIF($G$34:$G$533,"Steam_Low_Pressure") + COUNTIF($G$34:$G$533,"Steam_Medium_Pressure") + COUNTIF($G$34:$G$533,"Steam_High_Pressure"))&gt;0),_xlpm.fluid, G396,_xlpm.fuel, K396,_xlpm.load,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6" s="609" t="str">
        <f t="shared" si="125"/>
        <v/>
      </c>
      <c r="W396" s="482"/>
      <c r="X396" s="397" t="str" cm="1">
        <f t="array" ref="X396">IFERROR(IF($D$3="","", _xlfn.XLOOKUP(1,($AR$36:$AR$53=F396)*($AS$36:$AS$53=G396), INDEX($AT$36:$BJ$53,,_xlfn.XMATCH(E396,$AT$35:$BJ$35)))),"")</f>
        <v/>
      </c>
      <c r="Y396" s="480"/>
      <c r="Z396" s="482"/>
      <c r="AA396" s="607" t="str" cm="1">
        <f t="array" ref="AA396">IFERROR(IF($D$3="", "", _xlfn.LET(_xlpm.dia, E396, _xlpm.thk, Z396, _xlpm.temp, I396,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6" s="397" t="str" cm="1">
        <f t="array" ref="AB396">IFERROR(IF($D$3="", "", _xlfn.XLOOKUP(1,($AR$57:$AR$76=Y396)*($AS$57:$AS$76=Z396), INDEX($AT$57:$BJ$76,,_xlfn.XMATCH(E396,$AT$56:$BJ$56)))),"")</f>
        <v/>
      </c>
      <c r="AC396" s="208" t="str">
        <f t="shared" si="115"/>
        <v/>
      </c>
      <c r="AD396" s="397" t="str">
        <f t="shared" si="116"/>
        <v/>
      </c>
      <c r="AE396" s="610" t="str">
        <f t="shared" si="117"/>
        <v/>
      </c>
      <c r="AF396" s="610" t="str">
        <f t="shared" si="118"/>
        <v/>
      </c>
      <c r="AG396" s="610" t="str">
        <f t="shared" si="119"/>
        <v/>
      </c>
      <c r="AH396" s="608" t="str">
        <f t="shared" si="120"/>
        <v/>
      </c>
      <c r="AI396" s="610" t="str">
        <f t="shared" si="121"/>
        <v/>
      </c>
    </row>
    <row r="397" spans="2:35" x14ac:dyDescent="0.25">
      <c r="B397" s="209">
        <v>364</v>
      </c>
      <c r="C397" s="480"/>
      <c r="D397" s="480"/>
      <c r="E397" s="481"/>
      <c r="F397" s="480"/>
      <c r="G397" s="480"/>
      <c r="H397" s="607" t="str">
        <f t="shared" si="106"/>
        <v/>
      </c>
      <c r="I397" s="607" t="str">
        <f t="shared" si="107"/>
        <v/>
      </c>
      <c r="J397" s="607" t="str">
        <f t="shared" si="108"/>
        <v/>
      </c>
      <c r="K397" s="208" t="str">
        <f t="shared" si="109"/>
        <v/>
      </c>
      <c r="L397" s="208" t="str">
        <f t="shared" si="110"/>
        <v/>
      </c>
      <c r="M397" s="208" t="str">
        <f t="shared" si="122"/>
        <v/>
      </c>
      <c r="N397" s="608" t="str">
        <f>IF($D$3="", "", IFERROR(VLOOKUP(L397,'PIPE INCENTIVE'!$B$4:$E$19,2,FALSE),""))</f>
        <v/>
      </c>
      <c r="O397" s="608" t="str">
        <f t="shared" si="123"/>
        <v/>
      </c>
      <c r="P397" s="208" t="str">
        <f t="shared" si="124"/>
        <v/>
      </c>
      <c r="Q397" s="208" t="str">
        <f t="shared" si="111"/>
        <v/>
      </c>
      <c r="R397" s="609" t="str">
        <f t="shared" si="112"/>
        <v/>
      </c>
      <c r="S397" s="609" t="str">
        <f t="shared" si="113"/>
        <v/>
      </c>
      <c r="T397" s="609" t="str">
        <f t="shared" si="114"/>
        <v/>
      </c>
      <c r="U397" s="609" t="str" cm="1">
        <f t="array" ref="U397">IFERROR(IF($D$3="","",_xlfn.LET(_xlpm.Mixed,AND(COUNTIF($G$34:$G$533,"Heating_Hot_Water")&gt;0,(COUNTIF($G$34:$G$533,"Steam_Low_Pressure") + COUNTIF($G$34:$G$533,"Steam_Medium_Pressure") + COUNTIF($G$34:$G$533,"Steam_High_Pressure"))&gt;0),_xlpm.fluid, G397,_xlpm.fuel, K397,_xlpm.load,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7" s="609" t="str">
        <f t="shared" si="125"/>
        <v/>
      </c>
      <c r="W397" s="482"/>
      <c r="X397" s="397" t="str" cm="1">
        <f t="array" ref="X397">IFERROR(IF($D$3="","", _xlfn.XLOOKUP(1,($AR$36:$AR$53=F397)*($AS$36:$AS$53=G397), INDEX($AT$36:$BJ$53,,_xlfn.XMATCH(E397,$AT$35:$BJ$35)))),"")</f>
        <v/>
      </c>
      <c r="Y397" s="480"/>
      <c r="Z397" s="482"/>
      <c r="AA397" s="607" t="str" cm="1">
        <f t="array" ref="AA397">IFERROR(IF($D$3="", "", _xlfn.LET(_xlpm.dia, E397, _xlpm.thk, Z397, _xlpm.temp, I397,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7" s="397" t="str" cm="1">
        <f t="array" ref="AB397">IFERROR(IF($D$3="", "", _xlfn.XLOOKUP(1,($AR$57:$AR$76=Y397)*($AS$57:$AS$76=Z397), INDEX($AT$57:$BJ$76,,_xlfn.XMATCH(E397,$AT$56:$BJ$56)))),"")</f>
        <v/>
      </c>
      <c r="AC397" s="208" t="str">
        <f t="shared" si="115"/>
        <v/>
      </c>
      <c r="AD397" s="397" t="str">
        <f t="shared" si="116"/>
        <v/>
      </c>
      <c r="AE397" s="610" t="str">
        <f t="shared" si="117"/>
        <v/>
      </c>
      <c r="AF397" s="610" t="str">
        <f t="shared" si="118"/>
        <v/>
      </c>
      <c r="AG397" s="610" t="str">
        <f t="shared" si="119"/>
        <v/>
      </c>
      <c r="AH397" s="608" t="str">
        <f t="shared" si="120"/>
        <v/>
      </c>
      <c r="AI397" s="610" t="str">
        <f t="shared" si="121"/>
        <v/>
      </c>
    </row>
    <row r="398" spans="2:35" x14ac:dyDescent="0.25">
      <c r="B398" s="209">
        <v>365</v>
      </c>
      <c r="C398" s="480"/>
      <c r="D398" s="480"/>
      <c r="E398" s="481"/>
      <c r="F398" s="480"/>
      <c r="G398" s="480"/>
      <c r="H398" s="607" t="str">
        <f t="shared" si="106"/>
        <v/>
      </c>
      <c r="I398" s="607" t="str">
        <f t="shared" si="107"/>
        <v/>
      </c>
      <c r="J398" s="607" t="str">
        <f t="shared" si="108"/>
        <v/>
      </c>
      <c r="K398" s="208" t="str">
        <f t="shared" si="109"/>
        <v/>
      </c>
      <c r="L398" s="208" t="str">
        <f t="shared" si="110"/>
        <v/>
      </c>
      <c r="M398" s="208" t="str">
        <f t="shared" si="122"/>
        <v/>
      </c>
      <c r="N398" s="608" t="str">
        <f>IF($D$3="", "", IFERROR(VLOOKUP(L398,'PIPE INCENTIVE'!$B$4:$E$19,2,FALSE),""))</f>
        <v/>
      </c>
      <c r="O398" s="608" t="str">
        <f t="shared" si="123"/>
        <v/>
      </c>
      <c r="P398" s="208" t="str">
        <f t="shared" si="124"/>
        <v/>
      </c>
      <c r="Q398" s="208" t="str">
        <f t="shared" si="111"/>
        <v/>
      </c>
      <c r="R398" s="609" t="str">
        <f t="shared" si="112"/>
        <v/>
      </c>
      <c r="S398" s="609" t="str">
        <f t="shared" si="113"/>
        <v/>
      </c>
      <c r="T398" s="609" t="str">
        <f t="shared" si="114"/>
        <v/>
      </c>
      <c r="U398" s="609" t="str" cm="1">
        <f t="array" ref="U398">IFERROR(IF($D$3="","",_xlfn.LET(_xlpm.Mixed,AND(COUNTIF($G$34:$G$533,"Heating_Hot_Water")&gt;0,(COUNTIF($G$34:$G$533,"Steam_Low_Pressure") + COUNTIF($G$34:$G$533,"Steam_Medium_Pressure") + COUNTIF($G$34:$G$533,"Steam_High_Pressure"))&gt;0),_xlpm.fluid, G398,_xlpm.fuel, K398,_xlpm.load,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8" s="609" t="str">
        <f t="shared" si="125"/>
        <v/>
      </c>
      <c r="W398" s="482"/>
      <c r="X398" s="397" t="str" cm="1">
        <f t="array" ref="X398">IFERROR(IF($D$3="","", _xlfn.XLOOKUP(1,($AR$36:$AR$53=F398)*($AS$36:$AS$53=G398), INDEX($AT$36:$BJ$53,,_xlfn.XMATCH(E398,$AT$35:$BJ$35)))),"")</f>
        <v/>
      </c>
      <c r="Y398" s="480"/>
      <c r="Z398" s="482"/>
      <c r="AA398" s="607" t="str" cm="1">
        <f t="array" ref="AA398">IFERROR(IF($D$3="", "", _xlfn.LET(_xlpm.dia, E398, _xlpm.thk, Z398, _xlpm.temp, I398,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8" s="397" t="str" cm="1">
        <f t="array" ref="AB398">IFERROR(IF($D$3="", "", _xlfn.XLOOKUP(1,($AR$57:$AR$76=Y398)*($AS$57:$AS$76=Z398), INDEX($AT$57:$BJ$76,,_xlfn.XMATCH(E398,$AT$56:$BJ$56)))),"")</f>
        <v/>
      </c>
      <c r="AC398" s="208" t="str">
        <f t="shared" si="115"/>
        <v/>
      </c>
      <c r="AD398" s="397" t="str">
        <f t="shared" si="116"/>
        <v/>
      </c>
      <c r="AE398" s="610" t="str">
        <f t="shared" si="117"/>
        <v/>
      </c>
      <c r="AF398" s="610" t="str">
        <f t="shared" si="118"/>
        <v/>
      </c>
      <c r="AG398" s="610" t="str">
        <f t="shared" si="119"/>
        <v/>
      </c>
      <c r="AH398" s="608" t="str">
        <f t="shared" si="120"/>
        <v/>
      </c>
      <c r="AI398" s="610" t="str">
        <f t="shared" si="121"/>
        <v/>
      </c>
    </row>
    <row r="399" spans="2:35" x14ac:dyDescent="0.25">
      <c r="B399" s="209">
        <v>366</v>
      </c>
      <c r="C399" s="480"/>
      <c r="D399" s="480"/>
      <c r="E399" s="481"/>
      <c r="F399" s="480"/>
      <c r="G399" s="480"/>
      <c r="H399" s="607" t="str">
        <f t="shared" si="106"/>
        <v/>
      </c>
      <c r="I399" s="607" t="str">
        <f t="shared" si="107"/>
        <v/>
      </c>
      <c r="J399" s="607" t="str">
        <f t="shared" si="108"/>
        <v/>
      </c>
      <c r="K399" s="208" t="str">
        <f t="shared" si="109"/>
        <v/>
      </c>
      <c r="L399" s="208" t="str">
        <f t="shared" si="110"/>
        <v/>
      </c>
      <c r="M399" s="208" t="str">
        <f t="shared" si="122"/>
        <v/>
      </c>
      <c r="N399" s="608" t="str">
        <f>IF($D$3="", "", IFERROR(VLOOKUP(L399,'PIPE INCENTIVE'!$B$4:$E$19,2,FALSE),""))</f>
        <v/>
      </c>
      <c r="O399" s="608" t="str">
        <f t="shared" si="123"/>
        <v/>
      </c>
      <c r="P399" s="208" t="str">
        <f t="shared" si="124"/>
        <v/>
      </c>
      <c r="Q399" s="208" t="str">
        <f t="shared" si="111"/>
        <v/>
      </c>
      <c r="R399" s="609" t="str">
        <f t="shared" si="112"/>
        <v/>
      </c>
      <c r="S399" s="609" t="str">
        <f t="shared" si="113"/>
        <v/>
      </c>
      <c r="T399" s="609" t="str">
        <f t="shared" si="114"/>
        <v/>
      </c>
      <c r="U399" s="609" t="str" cm="1">
        <f t="array" ref="U399">IFERROR(IF($D$3="","",_xlfn.LET(_xlpm.Mixed,AND(COUNTIF($G$34:$G$533,"Heating_Hot_Water")&gt;0,(COUNTIF($G$34:$G$533,"Steam_Low_Pressure") + COUNTIF($G$34:$G$533,"Steam_Medium_Pressure") + COUNTIF($G$34:$G$533,"Steam_High_Pressure"))&gt;0),_xlpm.fluid, G399,_xlpm.fuel, K399,_xlpm.load,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399" s="609" t="str">
        <f t="shared" si="125"/>
        <v/>
      </c>
      <c r="W399" s="482"/>
      <c r="X399" s="397" t="str" cm="1">
        <f t="array" ref="X399">IFERROR(IF($D$3="","", _xlfn.XLOOKUP(1,($AR$36:$AR$53=F399)*($AS$36:$AS$53=G399), INDEX($AT$36:$BJ$53,,_xlfn.XMATCH(E399,$AT$35:$BJ$35)))),"")</f>
        <v/>
      </c>
      <c r="Y399" s="480"/>
      <c r="Z399" s="482"/>
      <c r="AA399" s="607" t="str" cm="1">
        <f t="array" ref="AA399">IFERROR(IF($D$3="", "", _xlfn.LET(_xlpm.dia, E399, _xlpm.thk, Z399, _xlpm.temp, I399,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399" s="397" t="str" cm="1">
        <f t="array" ref="AB399">IFERROR(IF($D$3="", "", _xlfn.XLOOKUP(1,($AR$57:$AR$76=Y399)*($AS$57:$AS$76=Z399), INDEX($AT$57:$BJ$76,,_xlfn.XMATCH(E399,$AT$56:$BJ$56)))),"")</f>
        <v/>
      </c>
      <c r="AC399" s="208" t="str">
        <f t="shared" si="115"/>
        <v/>
      </c>
      <c r="AD399" s="397" t="str">
        <f t="shared" si="116"/>
        <v/>
      </c>
      <c r="AE399" s="610" t="str">
        <f t="shared" si="117"/>
        <v/>
      </c>
      <c r="AF399" s="610" t="str">
        <f t="shared" si="118"/>
        <v/>
      </c>
      <c r="AG399" s="610" t="str">
        <f t="shared" si="119"/>
        <v/>
      </c>
      <c r="AH399" s="608" t="str">
        <f t="shared" si="120"/>
        <v/>
      </c>
      <c r="AI399" s="610" t="str">
        <f t="shared" si="121"/>
        <v/>
      </c>
    </row>
    <row r="400" spans="2:35" x14ac:dyDescent="0.25">
      <c r="B400" s="209">
        <v>367</v>
      </c>
      <c r="C400" s="480"/>
      <c r="D400" s="480"/>
      <c r="E400" s="481"/>
      <c r="F400" s="480"/>
      <c r="G400" s="480"/>
      <c r="H400" s="607" t="str">
        <f t="shared" si="106"/>
        <v/>
      </c>
      <c r="I400" s="607" t="str">
        <f t="shared" si="107"/>
        <v/>
      </c>
      <c r="J400" s="607" t="str">
        <f t="shared" si="108"/>
        <v/>
      </c>
      <c r="K400" s="208" t="str">
        <f t="shared" si="109"/>
        <v/>
      </c>
      <c r="L400" s="208" t="str">
        <f t="shared" si="110"/>
        <v/>
      </c>
      <c r="M400" s="208" t="str">
        <f t="shared" si="122"/>
        <v/>
      </c>
      <c r="N400" s="608" t="str">
        <f>IF($D$3="", "", IFERROR(VLOOKUP(L400,'PIPE INCENTIVE'!$B$4:$E$19,2,FALSE),""))</f>
        <v/>
      </c>
      <c r="O400" s="608" t="str">
        <f t="shared" si="123"/>
        <v/>
      </c>
      <c r="P400" s="208" t="str">
        <f t="shared" si="124"/>
        <v/>
      </c>
      <c r="Q400" s="208" t="str">
        <f t="shared" si="111"/>
        <v/>
      </c>
      <c r="R400" s="609" t="str">
        <f t="shared" si="112"/>
        <v/>
      </c>
      <c r="S400" s="609" t="str">
        <f t="shared" si="113"/>
        <v/>
      </c>
      <c r="T400" s="609" t="str">
        <f t="shared" si="114"/>
        <v/>
      </c>
      <c r="U400" s="609" t="str" cm="1">
        <f t="array" ref="U400">IFERROR(IF($D$3="","",_xlfn.LET(_xlpm.Mixed,AND(COUNTIF($G$34:$G$533,"Heating_Hot_Water")&gt;0,(COUNTIF($G$34:$G$533,"Steam_Low_Pressure") + COUNTIF($G$34:$G$533,"Steam_Medium_Pressure") + COUNTIF($G$34:$G$533,"Steam_High_Pressure"))&gt;0),_xlpm.fluid, G400,_xlpm.fuel, K400,_xlpm.load,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0" s="609" t="str">
        <f t="shared" si="125"/>
        <v/>
      </c>
      <c r="W400" s="482"/>
      <c r="X400" s="397" t="str" cm="1">
        <f t="array" ref="X400">IFERROR(IF($D$3="","", _xlfn.XLOOKUP(1,($AR$36:$AR$53=F400)*($AS$36:$AS$53=G400), INDEX($AT$36:$BJ$53,,_xlfn.XMATCH(E400,$AT$35:$BJ$35)))),"")</f>
        <v/>
      </c>
      <c r="Y400" s="480"/>
      <c r="Z400" s="482"/>
      <c r="AA400" s="607" t="str" cm="1">
        <f t="array" ref="AA400">IFERROR(IF($D$3="", "", _xlfn.LET(_xlpm.dia, E400, _xlpm.thk, Z400, _xlpm.temp, I400,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0" s="397" t="str" cm="1">
        <f t="array" ref="AB400">IFERROR(IF($D$3="", "", _xlfn.XLOOKUP(1,($AR$57:$AR$76=Y400)*($AS$57:$AS$76=Z400), INDEX($AT$57:$BJ$76,,_xlfn.XMATCH(E400,$AT$56:$BJ$56)))),"")</f>
        <v/>
      </c>
      <c r="AC400" s="208" t="str">
        <f t="shared" si="115"/>
        <v/>
      </c>
      <c r="AD400" s="397" t="str">
        <f t="shared" si="116"/>
        <v/>
      </c>
      <c r="AE400" s="610" t="str">
        <f t="shared" si="117"/>
        <v/>
      </c>
      <c r="AF400" s="610" t="str">
        <f t="shared" si="118"/>
        <v/>
      </c>
      <c r="AG400" s="610" t="str">
        <f t="shared" si="119"/>
        <v/>
      </c>
      <c r="AH400" s="608" t="str">
        <f t="shared" si="120"/>
        <v/>
      </c>
      <c r="AI400" s="610" t="str">
        <f t="shared" si="121"/>
        <v/>
      </c>
    </row>
    <row r="401" spans="2:35" x14ac:dyDescent="0.25">
      <c r="B401" s="209">
        <v>368</v>
      </c>
      <c r="C401" s="480"/>
      <c r="D401" s="480"/>
      <c r="E401" s="481"/>
      <c r="F401" s="480"/>
      <c r="G401" s="480"/>
      <c r="H401" s="607" t="str">
        <f t="shared" si="106"/>
        <v/>
      </c>
      <c r="I401" s="607" t="str">
        <f t="shared" si="107"/>
        <v/>
      </c>
      <c r="J401" s="607" t="str">
        <f t="shared" si="108"/>
        <v/>
      </c>
      <c r="K401" s="208" t="str">
        <f t="shared" si="109"/>
        <v/>
      </c>
      <c r="L401" s="208" t="str">
        <f t="shared" si="110"/>
        <v/>
      </c>
      <c r="M401" s="208" t="str">
        <f t="shared" si="122"/>
        <v/>
      </c>
      <c r="N401" s="608" t="str">
        <f>IF($D$3="", "", IFERROR(VLOOKUP(L401,'PIPE INCENTIVE'!$B$4:$E$19,2,FALSE),""))</f>
        <v/>
      </c>
      <c r="O401" s="608" t="str">
        <f t="shared" si="123"/>
        <v/>
      </c>
      <c r="P401" s="208" t="str">
        <f t="shared" si="124"/>
        <v/>
      </c>
      <c r="Q401" s="208" t="str">
        <f t="shared" si="111"/>
        <v/>
      </c>
      <c r="R401" s="609" t="str">
        <f t="shared" si="112"/>
        <v/>
      </c>
      <c r="S401" s="609" t="str">
        <f t="shared" si="113"/>
        <v/>
      </c>
      <c r="T401" s="609" t="str">
        <f t="shared" si="114"/>
        <v/>
      </c>
      <c r="U401" s="609" t="str" cm="1">
        <f t="array" ref="U401">IFERROR(IF($D$3="","",_xlfn.LET(_xlpm.Mixed,AND(COUNTIF($G$34:$G$533,"Heating_Hot_Water")&gt;0,(COUNTIF($G$34:$G$533,"Steam_Low_Pressure") + COUNTIF($G$34:$G$533,"Steam_Medium_Pressure") + COUNTIF($G$34:$G$533,"Steam_High_Pressure"))&gt;0),_xlpm.fluid, G401,_xlpm.fuel, K401,_xlpm.load,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1" s="609" t="str">
        <f t="shared" si="125"/>
        <v/>
      </c>
      <c r="W401" s="482"/>
      <c r="X401" s="397" t="str" cm="1">
        <f t="array" ref="X401">IFERROR(IF($D$3="","", _xlfn.XLOOKUP(1,($AR$36:$AR$53=F401)*($AS$36:$AS$53=G401), INDEX($AT$36:$BJ$53,,_xlfn.XMATCH(E401,$AT$35:$BJ$35)))),"")</f>
        <v/>
      </c>
      <c r="Y401" s="480"/>
      <c r="Z401" s="482"/>
      <c r="AA401" s="607" t="str" cm="1">
        <f t="array" ref="AA401">IFERROR(IF($D$3="", "", _xlfn.LET(_xlpm.dia, E401, _xlpm.thk, Z401, _xlpm.temp, I401,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1" s="397" t="str" cm="1">
        <f t="array" ref="AB401">IFERROR(IF($D$3="", "", _xlfn.XLOOKUP(1,($AR$57:$AR$76=Y401)*($AS$57:$AS$76=Z401), INDEX($AT$57:$BJ$76,,_xlfn.XMATCH(E401,$AT$56:$BJ$56)))),"")</f>
        <v/>
      </c>
      <c r="AC401" s="208" t="str">
        <f t="shared" si="115"/>
        <v/>
      </c>
      <c r="AD401" s="397" t="str">
        <f t="shared" si="116"/>
        <v/>
      </c>
      <c r="AE401" s="610" t="str">
        <f t="shared" si="117"/>
        <v/>
      </c>
      <c r="AF401" s="610" t="str">
        <f t="shared" si="118"/>
        <v/>
      </c>
      <c r="AG401" s="610" t="str">
        <f t="shared" si="119"/>
        <v/>
      </c>
      <c r="AH401" s="608" t="str">
        <f t="shared" si="120"/>
        <v/>
      </c>
      <c r="AI401" s="610" t="str">
        <f t="shared" si="121"/>
        <v/>
      </c>
    </row>
    <row r="402" spans="2:35" x14ac:dyDescent="0.25">
      <c r="B402" s="209">
        <v>369</v>
      </c>
      <c r="C402" s="480"/>
      <c r="D402" s="480"/>
      <c r="E402" s="481"/>
      <c r="F402" s="480"/>
      <c r="G402" s="480"/>
      <c r="H402" s="607" t="str">
        <f t="shared" si="106"/>
        <v/>
      </c>
      <c r="I402" s="607" t="str">
        <f t="shared" si="107"/>
        <v/>
      </c>
      <c r="J402" s="607" t="str">
        <f t="shared" si="108"/>
        <v/>
      </c>
      <c r="K402" s="208" t="str">
        <f t="shared" si="109"/>
        <v/>
      </c>
      <c r="L402" s="208" t="str">
        <f t="shared" si="110"/>
        <v/>
      </c>
      <c r="M402" s="208" t="str">
        <f t="shared" si="122"/>
        <v/>
      </c>
      <c r="N402" s="608" t="str">
        <f>IF($D$3="", "", IFERROR(VLOOKUP(L402,'PIPE INCENTIVE'!$B$4:$E$19,2,FALSE),""))</f>
        <v/>
      </c>
      <c r="O402" s="608" t="str">
        <f t="shared" si="123"/>
        <v/>
      </c>
      <c r="P402" s="208" t="str">
        <f t="shared" si="124"/>
        <v/>
      </c>
      <c r="Q402" s="208" t="str">
        <f t="shared" si="111"/>
        <v/>
      </c>
      <c r="R402" s="609" t="str">
        <f t="shared" si="112"/>
        <v/>
      </c>
      <c r="S402" s="609" t="str">
        <f t="shared" si="113"/>
        <v/>
      </c>
      <c r="T402" s="609" t="str">
        <f t="shared" si="114"/>
        <v/>
      </c>
      <c r="U402" s="609" t="str" cm="1">
        <f t="array" ref="U402">IFERROR(IF($D$3="","",_xlfn.LET(_xlpm.Mixed,AND(COUNTIF($G$34:$G$533,"Heating_Hot_Water")&gt;0,(COUNTIF($G$34:$G$533,"Steam_Low_Pressure") + COUNTIF($G$34:$G$533,"Steam_Medium_Pressure") + COUNTIF($G$34:$G$533,"Steam_High_Pressure"))&gt;0),_xlpm.fluid, G402,_xlpm.fuel, K402,_xlpm.load,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2" s="609" t="str">
        <f t="shared" si="125"/>
        <v/>
      </c>
      <c r="W402" s="482"/>
      <c r="X402" s="397" t="str" cm="1">
        <f t="array" ref="X402">IFERROR(IF($D$3="","", _xlfn.XLOOKUP(1,($AR$36:$AR$53=F402)*($AS$36:$AS$53=G402), INDEX($AT$36:$BJ$53,,_xlfn.XMATCH(E402,$AT$35:$BJ$35)))),"")</f>
        <v/>
      </c>
      <c r="Y402" s="480"/>
      <c r="Z402" s="482"/>
      <c r="AA402" s="607" t="str" cm="1">
        <f t="array" ref="AA402">IFERROR(IF($D$3="", "", _xlfn.LET(_xlpm.dia, E402, _xlpm.thk, Z402, _xlpm.temp, I402,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2" s="397" t="str" cm="1">
        <f t="array" ref="AB402">IFERROR(IF($D$3="", "", _xlfn.XLOOKUP(1,($AR$57:$AR$76=Y402)*($AS$57:$AS$76=Z402), INDEX($AT$57:$BJ$76,,_xlfn.XMATCH(E402,$AT$56:$BJ$56)))),"")</f>
        <v/>
      </c>
      <c r="AC402" s="208" t="str">
        <f t="shared" si="115"/>
        <v/>
      </c>
      <c r="AD402" s="397" t="str">
        <f t="shared" si="116"/>
        <v/>
      </c>
      <c r="AE402" s="610" t="str">
        <f t="shared" si="117"/>
        <v/>
      </c>
      <c r="AF402" s="610" t="str">
        <f t="shared" si="118"/>
        <v/>
      </c>
      <c r="AG402" s="610" t="str">
        <f t="shared" si="119"/>
        <v/>
      </c>
      <c r="AH402" s="608" t="str">
        <f t="shared" si="120"/>
        <v/>
      </c>
      <c r="AI402" s="610" t="str">
        <f t="shared" si="121"/>
        <v/>
      </c>
    </row>
    <row r="403" spans="2:35" x14ac:dyDescent="0.25">
      <c r="B403" s="209">
        <v>370</v>
      </c>
      <c r="C403" s="480"/>
      <c r="D403" s="480"/>
      <c r="E403" s="481"/>
      <c r="F403" s="480"/>
      <c r="G403" s="480"/>
      <c r="H403" s="607" t="str">
        <f t="shared" si="106"/>
        <v/>
      </c>
      <c r="I403" s="607" t="str">
        <f t="shared" si="107"/>
        <v/>
      </c>
      <c r="J403" s="607" t="str">
        <f t="shared" si="108"/>
        <v/>
      </c>
      <c r="K403" s="208" t="str">
        <f t="shared" si="109"/>
        <v/>
      </c>
      <c r="L403" s="208" t="str">
        <f t="shared" si="110"/>
        <v/>
      </c>
      <c r="M403" s="208" t="str">
        <f t="shared" si="122"/>
        <v/>
      </c>
      <c r="N403" s="608" t="str">
        <f>IF($D$3="", "", IFERROR(VLOOKUP(L403,'PIPE INCENTIVE'!$B$4:$E$19,2,FALSE),""))</f>
        <v/>
      </c>
      <c r="O403" s="608" t="str">
        <f t="shared" si="123"/>
        <v/>
      </c>
      <c r="P403" s="208" t="str">
        <f t="shared" si="124"/>
        <v/>
      </c>
      <c r="Q403" s="208" t="str">
        <f t="shared" si="111"/>
        <v/>
      </c>
      <c r="R403" s="609" t="str">
        <f t="shared" si="112"/>
        <v/>
      </c>
      <c r="S403" s="609" t="str">
        <f t="shared" si="113"/>
        <v/>
      </c>
      <c r="T403" s="609" t="str">
        <f t="shared" si="114"/>
        <v/>
      </c>
      <c r="U403" s="609" t="str" cm="1">
        <f t="array" ref="U403">IFERROR(IF($D$3="","",_xlfn.LET(_xlpm.Mixed,AND(COUNTIF($G$34:$G$533,"Heating_Hot_Water")&gt;0,(COUNTIF($G$34:$G$533,"Steam_Low_Pressure") + COUNTIF($G$34:$G$533,"Steam_Medium_Pressure") + COUNTIF($G$34:$G$533,"Steam_High_Pressure"))&gt;0),_xlpm.fluid, G403,_xlpm.fuel, K403,_xlpm.load,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3" s="609" t="str">
        <f t="shared" si="125"/>
        <v/>
      </c>
      <c r="W403" s="482"/>
      <c r="X403" s="397" t="str" cm="1">
        <f t="array" ref="X403">IFERROR(IF($D$3="","", _xlfn.XLOOKUP(1,($AR$36:$AR$53=F403)*($AS$36:$AS$53=G403), INDEX($AT$36:$BJ$53,,_xlfn.XMATCH(E403,$AT$35:$BJ$35)))),"")</f>
        <v/>
      </c>
      <c r="Y403" s="480"/>
      <c r="Z403" s="482"/>
      <c r="AA403" s="607" t="str" cm="1">
        <f t="array" ref="AA403">IFERROR(IF($D$3="", "", _xlfn.LET(_xlpm.dia, E403, _xlpm.thk, Z403, _xlpm.temp, I403,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3" s="397" t="str" cm="1">
        <f t="array" ref="AB403">IFERROR(IF($D$3="", "", _xlfn.XLOOKUP(1,($AR$57:$AR$76=Y403)*($AS$57:$AS$76=Z403), INDEX($AT$57:$BJ$76,,_xlfn.XMATCH(E403,$AT$56:$BJ$56)))),"")</f>
        <v/>
      </c>
      <c r="AC403" s="208" t="str">
        <f t="shared" si="115"/>
        <v/>
      </c>
      <c r="AD403" s="397" t="str">
        <f t="shared" si="116"/>
        <v/>
      </c>
      <c r="AE403" s="610" t="str">
        <f t="shared" si="117"/>
        <v/>
      </c>
      <c r="AF403" s="610" t="str">
        <f t="shared" si="118"/>
        <v/>
      </c>
      <c r="AG403" s="610" t="str">
        <f t="shared" si="119"/>
        <v/>
      </c>
      <c r="AH403" s="608" t="str">
        <f t="shared" si="120"/>
        <v/>
      </c>
      <c r="AI403" s="610" t="str">
        <f t="shared" si="121"/>
        <v/>
      </c>
    </row>
    <row r="404" spans="2:35" x14ac:dyDescent="0.25">
      <c r="B404" s="209">
        <v>371</v>
      </c>
      <c r="C404" s="480"/>
      <c r="D404" s="480"/>
      <c r="E404" s="481"/>
      <c r="F404" s="480"/>
      <c r="G404" s="480"/>
      <c r="H404" s="607" t="str">
        <f t="shared" si="106"/>
        <v/>
      </c>
      <c r="I404" s="607" t="str">
        <f t="shared" si="107"/>
        <v/>
      </c>
      <c r="J404" s="607" t="str">
        <f t="shared" si="108"/>
        <v/>
      </c>
      <c r="K404" s="208" t="str">
        <f t="shared" si="109"/>
        <v/>
      </c>
      <c r="L404" s="208" t="str">
        <f t="shared" si="110"/>
        <v/>
      </c>
      <c r="M404" s="208" t="str">
        <f t="shared" si="122"/>
        <v/>
      </c>
      <c r="N404" s="608" t="str">
        <f>IF($D$3="", "", IFERROR(VLOOKUP(L404,'PIPE INCENTIVE'!$B$4:$E$19,2,FALSE),""))</f>
        <v/>
      </c>
      <c r="O404" s="608" t="str">
        <f t="shared" si="123"/>
        <v/>
      </c>
      <c r="P404" s="208" t="str">
        <f t="shared" si="124"/>
        <v/>
      </c>
      <c r="Q404" s="208" t="str">
        <f t="shared" si="111"/>
        <v/>
      </c>
      <c r="R404" s="609" t="str">
        <f t="shared" si="112"/>
        <v/>
      </c>
      <c r="S404" s="609" t="str">
        <f t="shared" si="113"/>
        <v/>
      </c>
      <c r="T404" s="609" t="str">
        <f t="shared" si="114"/>
        <v/>
      </c>
      <c r="U404" s="609" t="str" cm="1">
        <f t="array" ref="U404">IFERROR(IF($D$3="","",_xlfn.LET(_xlpm.Mixed,AND(COUNTIF($G$34:$G$533,"Heating_Hot_Water")&gt;0,(COUNTIF($G$34:$G$533,"Steam_Low_Pressure") + COUNTIF($G$34:$G$533,"Steam_Medium_Pressure") + COUNTIF($G$34:$G$533,"Steam_High_Pressure"))&gt;0),_xlpm.fluid, G404,_xlpm.fuel, K404,_xlpm.load,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4" s="609" t="str">
        <f t="shared" si="125"/>
        <v/>
      </c>
      <c r="W404" s="482"/>
      <c r="X404" s="397" t="str" cm="1">
        <f t="array" ref="X404">IFERROR(IF($D$3="","", _xlfn.XLOOKUP(1,($AR$36:$AR$53=F404)*($AS$36:$AS$53=G404), INDEX($AT$36:$BJ$53,,_xlfn.XMATCH(E404,$AT$35:$BJ$35)))),"")</f>
        <v/>
      </c>
      <c r="Y404" s="480"/>
      <c r="Z404" s="482"/>
      <c r="AA404" s="607" t="str" cm="1">
        <f t="array" ref="AA404">IFERROR(IF($D$3="", "", _xlfn.LET(_xlpm.dia, E404, _xlpm.thk, Z404, _xlpm.temp, I404,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4" s="397" t="str" cm="1">
        <f t="array" ref="AB404">IFERROR(IF($D$3="", "", _xlfn.XLOOKUP(1,($AR$57:$AR$76=Y404)*($AS$57:$AS$76=Z404), INDEX($AT$57:$BJ$76,,_xlfn.XMATCH(E404,$AT$56:$BJ$56)))),"")</f>
        <v/>
      </c>
      <c r="AC404" s="208" t="str">
        <f t="shared" si="115"/>
        <v/>
      </c>
      <c r="AD404" s="397" t="str">
        <f t="shared" si="116"/>
        <v/>
      </c>
      <c r="AE404" s="610" t="str">
        <f t="shared" si="117"/>
        <v/>
      </c>
      <c r="AF404" s="610" t="str">
        <f t="shared" si="118"/>
        <v/>
      </c>
      <c r="AG404" s="610" t="str">
        <f t="shared" si="119"/>
        <v/>
      </c>
      <c r="AH404" s="608" t="str">
        <f t="shared" si="120"/>
        <v/>
      </c>
      <c r="AI404" s="610" t="str">
        <f t="shared" si="121"/>
        <v/>
      </c>
    </row>
    <row r="405" spans="2:35" x14ac:dyDescent="0.25">
      <c r="B405" s="209">
        <v>372</v>
      </c>
      <c r="C405" s="480"/>
      <c r="D405" s="480"/>
      <c r="E405" s="481"/>
      <c r="F405" s="480"/>
      <c r="G405" s="480"/>
      <c r="H405" s="607" t="str">
        <f t="shared" si="106"/>
        <v/>
      </c>
      <c r="I405" s="607" t="str">
        <f t="shared" si="107"/>
        <v/>
      </c>
      <c r="J405" s="607" t="str">
        <f t="shared" si="108"/>
        <v/>
      </c>
      <c r="K405" s="208" t="str">
        <f t="shared" si="109"/>
        <v/>
      </c>
      <c r="L405" s="208" t="str">
        <f t="shared" si="110"/>
        <v/>
      </c>
      <c r="M405" s="208" t="str">
        <f t="shared" si="122"/>
        <v/>
      </c>
      <c r="N405" s="608" t="str">
        <f>IF($D$3="", "", IFERROR(VLOOKUP(L405,'PIPE INCENTIVE'!$B$4:$E$19,2,FALSE),""))</f>
        <v/>
      </c>
      <c r="O405" s="608" t="str">
        <f t="shared" si="123"/>
        <v/>
      </c>
      <c r="P405" s="208" t="str">
        <f t="shared" si="124"/>
        <v/>
      </c>
      <c r="Q405" s="208" t="str">
        <f t="shared" si="111"/>
        <v/>
      </c>
      <c r="R405" s="609" t="str">
        <f t="shared" si="112"/>
        <v/>
      </c>
      <c r="S405" s="609" t="str">
        <f t="shared" si="113"/>
        <v/>
      </c>
      <c r="T405" s="609" t="str">
        <f t="shared" si="114"/>
        <v/>
      </c>
      <c r="U405" s="609" t="str" cm="1">
        <f t="array" ref="U405">IFERROR(IF($D$3="","",_xlfn.LET(_xlpm.Mixed,AND(COUNTIF($G$34:$G$533,"Heating_Hot_Water")&gt;0,(COUNTIF($G$34:$G$533,"Steam_Low_Pressure") + COUNTIF($G$34:$G$533,"Steam_Medium_Pressure") + COUNTIF($G$34:$G$533,"Steam_High_Pressure"))&gt;0),_xlpm.fluid, G405,_xlpm.fuel, K405,_xlpm.load,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5" s="609" t="str">
        <f t="shared" si="125"/>
        <v/>
      </c>
      <c r="W405" s="482"/>
      <c r="X405" s="397" t="str" cm="1">
        <f t="array" ref="X405">IFERROR(IF($D$3="","", _xlfn.XLOOKUP(1,($AR$36:$AR$53=F405)*($AS$36:$AS$53=G405), INDEX($AT$36:$BJ$53,,_xlfn.XMATCH(E405,$AT$35:$BJ$35)))),"")</f>
        <v/>
      </c>
      <c r="Y405" s="480"/>
      <c r="Z405" s="482"/>
      <c r="AA405" s="607" t="str" cm="1">
        <f t="array" ref="AA405">IFERROR(IF($D$3="", "", _xlfn.LET(_xlpm.dia, E405, _xlpm.thk, Z405, _xlpm.temp, I405,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5" s="397" t="str" cm="1">
        <f t="array" ref="AB405">IFERROR(IF($D$3="", "", _xlfn.XLOOKUP(1,($AR$57:$AR$76=Y405)*($AS$57:$AS$76=Z405), INDEX($AT$57:$BJ$76,,_xlfn.XMATCH(E405,$AT$56:$BJ$56)))),"")</f>
        <v/>
      </c>
      <c r="AC405" s="208" t="str">
        <f t="shared" si="115"/>
        <v/>
      </c>
      <c r="AD405" s="397" t="str">
        <f t="shared" si="116"/>
        <v/>
      </c>
      <c r="AE405" s="610" t="str">
        <f t="shared" si="117"/>
        <v/>
      </c>
      <c r="AF405" s="610" t="str">
        <f t="shared" si="118"/>
        <v/>
      </c>
      <c r="AG405" s="610" t="str">
        <f t="shared" si="119"/>
        <v/>
      </c>
      <c r="AH405" s="608" t="str">
        <f t="shared" si="120"/>
        <v/>
      </c>
      <c r="AI405" s="610" t="str">
        <f t="shared" si="121"/>
        <v/>
      </c>
    </row>
    <row r="406" spans="2:35" x14ac:dyDescent="0.25">
      <c r="B406" s="209">
        <v>373</v>
      </c>
      <c r="C406" s="480"/>
      <c r="D406" s="480"/>
      <c r="E406" s="481"/>
      <c r="F406" s="480"/>
      <c r="G406" s="480"/>
      <c r="H406" s="607" t="str">
        <f t="shared" si="106"/>
        <v/>
      </c>
      <c r="I406" s="607" t="str">
        <f t="shared" si="107"/>
        <v/>
      </c>
      <c r="J406" s="607" t="str">
        <f t="shared" si="108"/>
        <v/>
      </c>
      <c r="K406" s="208" t="str">
        <f t="shared" si="109"/>
        <v/>
      </c>
      <c r="L406" s="208" t="str">
        <f t="shared" si="110"/>
        <v/>
      </c>
      <c r="M406" s="208" t="str">
        <f t="shared" si="122"/>
        <v/>
      </c>
      <c r="N406" s="608" t="str">
        <f>IF($D$3="", "", IFERROR(VLOOKUP(L406,'PIPE INCENTIVE'!$B$4:$E$19,2,FALSE),""))</f>
        <v/>
      </c>
      <c r="O406" s="608" t="str">
        <f t="shared" si="123"/>
        <v/>
      </c>
      <c r="P406" s="208" t="str">
        <f t="shared" si="124"/>
        <v/>
      </c>
      <c r="Q406" s="208" t="str">
        <f t="shared" si="111"/>
        <v/>
      </c>
      <c r="R406" s="609" t="str">
        <f t="shared" si="112"/>
        <v/>
      </c>
      <c r="S406" s="609" t="str">
        <f t="shared" si="113"/>
        <v/>
      </c>
      <c r="T406" s="609" t="str">
        <f t="shared" si="114"/>
        <v/>
      </c>
      <c r="U406" s="609" t="str" cm="1">
        <f t="array" ref="U406">IFERROR(IF($D$3="","",_xlfn.LET(_xlpm.Mixed,AND(COUNTIF($G$34:$G$533,"Heating_Hot_Water")&gt;0,(COUNTIF($G$34:$G$533,"Steam_Low_Pressure") + COUNTIF($G$34:$G$533,"Steam_Medium_Pressure") + COUNTIF($G$34:$G$533,"Steam_High_Pressure"))&gt;0),_xlpm.fluid, G406,_xlpm.fuel, K406,_xlpm.load,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6" s="609" t="str">
        <f t="shared" si="125"/>
        <v/>
      </c>
      <c r="W406" s="482"/>
      <c r="X406" s="397" t="str" cm="1">
        <f t="array" ref="X406">IFERROR(IF($D$3="","", _xlfn.XLOOKUP(1,($AR$36:$AR$53=F406)*($AS$36:$AS$53=G406), INDEX($AT$36:$BJ$53,,_xlfn.XMATCH(E406,$AT$35:$BJ$35)))),"")</f>
        <v/>
      </c>
      <c r="Y406" s="480"/>
      <c r="Z406" s="482"/>
      <c r="AA406" s="607" t="str" cm="1">
        <f t="array" ref="AA406">IFERROR(IF($D$3="", "", _xlfn.LET(_xlpm.dia, E406, _xlpm.thk, Z406, _xlpm.temp, I406,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6" s="397" t="str" cm="1">
        <f t="array" ref="AB406">IFERROR(IF($D$3="", "", _xlfn.XLOOKUP(1,($AR$57:$AR$76=Y406)*($AS$57:$AS$76=Z406), INDEX($AT$57:$BJ$76,,_xlfn.XMATCH(E406,$AT$56:$BJ$56)))),"")</f>
        <v/>
      </c>
      <c r="AC406" s="208" t="str">
        <f t="shared" si="115"/>
        <v/>
      </c>
      <c r="AD406" s="397" t="str">
        <f t="shared" si="116"/>
        <v/>
      </c>
      <c r="AE406" s="610" t="str">
        <f t="shared" si="117"/>
        <v/>
      </c>
      <c r="AF406" s="610" t="str">
        <f t="shared" si="118"/>
        <v/>
      </c>
      <c r="AG406" s="610" t="str">
        <f t="shared" si="119"/>
        <v/>
      </c>
      <c r="AH406" s="608" t="str">
        <f t="shared" si="120"/>
        <v/>
      </c>
      <c r="AI406" s="610" t="str">
        <f t="shared" si="121"/>
        <v/>
      </c>
    </row>
    <row r="407" spans="2:35" x14ac:dyDescent="0.25">
      <c r="B407" s="209">
        <v>374</v>
      </c>
      <c r="C407" s="480"/>
      <c r="D407" s="480"/>
      <c r="E407" s="481"/>
      <c r="F407" s="480"/>
      <c r="G407" s="480"/>
      <c r="H407" s="607" t="str">
        <f t="shared" si="106"/>
        <v/>
      </c>
      <c r="I407" s="607" t="str">
        <f t="shared" si="107"/>
        <v/>
      </c>
      <c r="J407" s="607" t="str">
        <f t="shared" si="108"/>
        <v/>
      </c>
      <c r="K407" s="208" t="str">
        <f t="shared" si="109"/>
        <v/>
      </c>
      <c r="L407" s="208" t="str">
        <f t="shared" si="110"/>
        <v/>
      </c>
      <c r="M407" s="208" t="str">
        <f t="shared" si="122"/>
        <v/>
      </c>
      <c r="N407" s="608" t="str">
        <f>IF($D$3="", "", IFERROR(VLOOKUP(L407,'PIPE INCENTIVE'!$B$4:$E$19,2,FALSE),""))</f>
        <v/>
      </c>
      <c r="O407" s="608" t="str">
        <f t="shared" si="123"/>
        <v/>
      </c>
      <c r="P407" s="208" t="str">
        <f t="shared" si="124"/>
        <v/>
      </c>
      <c r="Q407" s="208" t="str">
        <f t="shared" si="111"/>
        <v/>
      </c>
      <c r="R407" s="609" t="str">
        <f t="shared" si="112"/>
        <v/>
      </c>
      <c r="S407" s="609" t="str">
        <f t="shared" si="113"/>
        <v/>
      </c>
      <c r="T407" s="609" t="str">
        <f t="shared" si="114"/>
        <v/>
      </c>
      <c r="U407" s="609" t="str" cm="1">
        <f t="array" ref="U407">IFERROR(IF($D$3="","",_xlfn.LET(_xlpm.Mixed,AND(COUNTIF($G$34:$G$533,"Heating_Hot_Water")&gt;0,(COUNTIF($G$34:$G$533,"Steam_Low_Pressure") + COUNTIF($G$34:$G$533,"Steam_Medium_Pressure") + COUNTIF($G$34:$G$533,"Steam_High_Pressure"))&gt;0),_xlpm.fluid, G407,_xlpm.fuel, K407,_xlpm.load,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7" s="609" t="str">
        <f t="shared" si="125"/>
        <v/>
      </c>
      <c r="W407" s="482"/>
      <c r="X407" s="397" t="str" cm="1">
        <f t="array" ref="X407">IFERROR(IF($D$3="","", _xlfn.XLOOKUP(1,($AR$36:$AR$53=F407)*($AS$36:$AS$53=G407), INDEX($AT$36:$BJ$53,,_xlfn.XMATCH(E407,$AT$35:$BJ$35)))),"")</f>
        <v/>
      </c>
      <c r="Y407" s="480"/>
      <c r="Z407" s="482"/>
      <c r="AA407" s="607" t="str" cm="1">
        <f t="array" ref="AA407">IFERROR(IF($D$3="", "", _xlfn.LET(_xlpm.dia, E407, _xlpm.thk, Z407, _xlpm.temp, I407,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7" s="397" t="str" cm="1">
        <f t="array" ref="AB407">IFERROR(IF($D$3="", "", _xlfn.XLOOKUP(1,($AR$57:$AR$76=Y407)*($AS$57:$AS$76=Z407), INDEX($AT$57:$BJ$76,,_xlfn.XMATCH(E407,$AT$56:$BJ$56)))),"")</f>
        <v/>
      </c>
      <c r="AC407" s="208" t="str">
        <f t="shared" si="115"/>
        <v/>
      </c>
      <c r="AD407" s="397" t="str">
        <f t="shared" si="116"/>
        <v/>
      </c>
      <c r="AE407" s="610" t="str">
        <f t="shared" si="117"/>
        <v/>
      </c>
      <c r="AF407" s="610" t="str">
        <f t="shared" si="118"/>
        <v/>
      </c>
      <c r="AG407" s="610" t="str">
        <f t="shared" si="119"/>
        <v/>
      </c>
      <c r="AH407" s="608" t="str">
        <f t="shared" si="120"/>
        <v/>
      </c>
      <c r="AI407" s="610" t="str">
        <f t="shared" si="121"/>
        <v/>
      </c>
    </row>
    <row r="408" spans="2:35" x14ac:dyDescent="0.25">
      <c r="B408" s="209">
        <v>375</v>
      </c>
      <c r="C408" s="480"/>
      <c r="D408" s="480"/>
      <c r="E408" s="481"/>
      <c r="F408" s="480"/>
      <c r="G408" s="480"/>
      <c r="H408" s="607" t="str">
        <f t="shared" si="106"/>
        <v/>
      </c>
      <c r="I408" s="607" t="str">
        <f t="shared" si="107"/>
        <v/>
      </c>
      <c r="J408" s="607" t="str">
        <f t="shared" si="108"/>
        <v/>
      </c>
      <c r="K408" s="208" t="str">
        <f t="shared" si="109"/>
        <v/>
      </c>
      <c r="L408" s="208" t="str">
        <f t="shared" si="110"/>
        <v/>
      </c>
      <c r="M408" s="208" t="str">
        <f t="shared" si="122"/>
        <v/>
      </c>
      <c r="N408" s="608" t="str">
        <f>IF($D$3="", "", IFERROR(VLOOKUP(L408,'PIPE INCENTIVE'!$B$4:$E$19,2,FALSE),""))</f>
        <v/>
      </c>
      <c r="O408" s="608" t="str">
        <f t="shared" si="123"/>
        <v/>
      </c>
      <c r="P408" s="208" t="str">
        <f t="shared" si="124"/>
        <v/>
      </c>
      <c r="Q408" s="208" t="str">
        <f t="shared" si="111"/>
        <v/>
      </c>
      <c r="R408" s="609" t="str">
        <f t="shared" si="112"/>
        <v/>
      </c>
      <c r="S408" s="609" t="str">
        <f t="shared" si="113"/>
        <v/>
      </c>
      <c r="T408" s="609" t="str">
        <f t="shared" si="114"/>
        <v/>
      </c>
      <c r="U408" s="609" t="str" cm="1">
        <f t="array" ref="U408">IFERROR(IF($D$3="","",_xlfn.LET(_xlpm.Mixed,AND(COUNTIF($G$34:$G$533,"Heating_Hot_Water")&gt;0,(COUNTIF($G$34:$G$533,"Steam_Low_Pressure") + COUNTIF($G$34:$G$533,"Steam_Medium_Pressure") + COUNTIF($G$34:$G$533,"Steam_High_Pressure"))&gt;0),_xlpm.fluid, G408,_xlpm.fuel, K408,_xlpm.load,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8" s="609" t="str">
        <f t="shared" si="125"/>
        <v/>
      </c>
      <c r="W408" s="482"/>
      <c r="X408" s="397" t="str" cm="1">
        <f t="array" ref="X408">IFERROR(IF($D$3="","", _xlfn.XLOOKUP(1,($AR$36:$AR$53=F408)*($AS$36:$AS$53=G408), INDEX($AT$36:$BJ$53,,_xlfn.XMATCH(E408,$AT$35:$BJ$35)))),"")</f>
        <v/>
      </c>
      <c r="Y408" s="480"/>
      <c r="Z408" s="482"/>
      <c r="AA408" s="607" t="str" cm="1">
        <f t="array" ref="AA408">IFERROR(IF($D$3="", "", _xlfn.LET(_xlpm.dia, E408, _xlpm.thk, Z408, _xlpm.temp, I408,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8" s="397" t="str" cm="1">
        <f t="array" ref="AB408">IFERROR(IF($D$3="", "", _xlfn.XLOOKUP(1,($AR$57:$AR$76=Y408)*($AS$57:$AS$76=Z408), INDEX($AT$57:$BJ$76,,_xlfn.XMATCH(E408,$AT$56:$BJ$56)))),"")</f>
        <v/>
      </c>
      <c r="AC408" s="208" t="str">
        <f t="shared" si="115"/>
        <v/>
      </c>
      <c r="AD408" s="397" t="str">
        <f t="shared" si="116"/>
        <v/>
      </c>
      <c r="AE408" s="610" t="str">
        <f t="shared" si="117"/>
        <v/>
      </c>
      <c r="AF408" s="610" t="str">
        <f t="shared" si="118"/>
        <v/>
      </c>
      <c r="AG408" s="610" t="str">
        <f t="shared" si="119"/>
        <v/>
      </c>
      <c r="AH408" s="608" t="str">
        <f t="shared" si="120"/>
        <v/>
      </c>
      <c r="AI408" s="610" t="str">
        <f t="shared" si="121"/>
        <v/>
      </c>
    </row>
    <row r="409" spans="2:35" x14ac:dyDescent="0.25">
      <c r="B409" s="209">
        <v>376</v>
      </c>
      <c r="C409" s="480"/>
      <c r="D409" s="480"/>
      <c r="E409" s="481"/>
      <c r="F409" s="480"/>
      <c r="G409" s="480"/>
      <c r="H409" s="607" t="str">
        <f t="shared" si="106"/>
        <v/>
      </c>
      <c r="I409" s="607" t="str">
        <f t="shared" si="107"/>
        <v/>
      </c>
      <c r="J409" s="607" t="str">
        <f t="shared" si="108"/>
        <v/>
      </c>
      <c r="K409" s="208" t="str">
        <f t="shared" si="109"/>
        <v/>
      </c>
      <c r="L409" s="208" t="str">
        <f t="shared" si="110"/>
        <v/>
      </c>
      <c r="M409" s="208" t="str">
        <f t="shared" si="122"/>
        <v/>
      </c>
      <c r="N409" s="608" t="str">
        <f>IF($D$3="", "", IFERROR(VLOOKUP(L409,'PIPE INCENTIVE'!$B$4:$E$19,2,FALSE),""))</f>
        <v/>
      </c>
      <c r="O409" s="608" t="str">
        <f t="shared" si="123"/>
        <v/>
      </c>
      <c r="P409" s="208" t="str">
        <f t="shared" si="124"/>
        <v/>
      </c>
      <c r="Q409" s="208" t="str">
        <f t="shared" si="111"/>
        <v/>
      </c>
      <c r="R409" s="609" t="str">
        <f t="shared" si="112"/>
        <v/>
      </c>
      <c r="S409" s="609" t="str">
        <f t="shared" si="113"/>
        <v/>
      </c>
      <c r="T409" s="609" t="str">
        <f t="shared" si="114"/>
        <v/>
      </c>
      <c r="U409" s="609" t="str" cm="1">
        <f t="array" ref="U409">IFERROR(IF($D$3="","",_xlfn.LET(_xlpm.Mixed,AND(COUNTIF($G$34:$G$533,"Heating_Hot_Water")&gt;0,(COUNTIF($G$34:$G$533,"Steam_Low_Pressure") + COUNTIF($G$34:$G$533,"Steam_Medium_Pressure") + COUNTIF($G$34:$G$533,"Steam_High_Pressure"))&gt;0),_xlpm.fluid, G409,_xlpm.fuel, K409,_xlpm.load,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09" s="609" t="str">
        <f t="shared" si="125"/>
        <v/>
      </c>
      <c r="W409" s="482"/>
      <c r="X409" s="397" t="str" cm="1">
        <f t="array" ref="X409">IFERROR(IF($D$3="","", _xlfn.XLOOKUP(1,($AR$36:$AR$53=F409)*($AS$36:$AS$53=G409), INDEX($AT$36:$BJ$53,,_xlfn.XMATCH(E409,$AT$35:$BJ$35)))),"")</f>
        <v/>
      </c>
      <c r="Y409" s="480"/>
      <c r="Z409" s="482"/>
      <c r="AA409" s="607" t="str" cm="1">
        <f t="array" ref="AA409">IFERROR(IF($D$3="", "", _xlfn.LET(_xlpm.dia, E409, _xlpm.thk, Z409, _xlpm.temp, I409,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09" s="397" t="str" cm="1">
        <f t="array" ref="AB409">IFERROR(IF($D$3="", "", _xlfn.XLOOKUP(1,($AR$57:$AR$76=Y409)*($AS$57:$AS$76=Z409), INDEX($AT$57:$BJ$76,,_xlfn.XMATCH(E409,$AT$56:$BJ$56)))),"")</f>
        <v/>
      </c>
      <c r="AC409" s="208" t="str">
        <f t="shared" si="115"/>
        <v/>
      </c>
      <c r="AD409" s="397" t="str">
        <f t="shared" si="116"/>
        <v/>
      </c>
      <c r="AE409" s="610" t="str">
        <f t="shared" si="117"/>
        <v/>
      </c>
      <c r="AF409" s="610" t="str">
        <f t="shared" si="118"/>
        <v/>
      </c>
      <c r="AG409" s="610" t="str">
        <f t="shared" si="119"/>
        <v/>
      </c>
      <c r="AH409" s="608" t="str">
        <f t="shared" si="120"/>
        <v/>
      </c>
      <c r="AI409" s="610" t="str">
        <f t="shared" si="121"/>
        <v/>
      </c>
    </row>
    <row r="410" spans="2:35" x14ac:dyDescent="0.25">
      <c r="B410" s="209">
        <v>377</v>
      </c>
      <c r="C410" s="480"/>
      <c r="D410" s="480"/>
      <c r="E410" s="481"/>
      <c r="F410" s="480"/>
      <c r="G410" s="480"/>
      <c r="H410" s="607" t="str">
        <f t="shared" si="106"/>
        <v/>
      </c>
      <c r="I410" s="607" t="str">
        <f t="shared" si="107"/>
        <v/>
      </c>
      <c r="J410" s="607" t="str">
        <f t="shared" si="108"/>
        <v/>
      </c>
      <c r="K410" s="208" t="str">
        <f t="shared" si="109"/>
        <v/>
      </c>
      <c r="L410" s="208" t="str">
        <f t="shared" si="110"/>
        <v/>
      </c>
      <c r="M410" s="208" t="str">
        <f t="shared" si="122"/>
        <v/>
      </c>
      <c r="N410" s="608" t="str">
        <f>IF($D$3="", "", IFERROR(VLOOKUP(L410,'PIPE INCENTIVE'!$B$4:$E$19,2,FALSE),""))</f>
        <v/>
      </c>
      <c r="O410" s="608" t="str">
        <f t="shared" si="123"/>
        <v/>
      </c>
      <c r="P410" s="208" t="str">
        <f t="shared" si="124"/>
        <v/>
      </c>
      <c r="Q410" s="208" t="str">
        <f t="shared" si="111"/>
        <v/>
      </c>
      <c r="R410" s="609" t="str">
        <f t="shared" si="112"/>
        <v/>
      </c>
      <c r="S410" s="609" t="str">
        <f t="shared" si="113"/>
        <v/>
      </c>
      <c r="T410" s="609" t="str">
        <f t="shared" si="114"/>
        <v/>
      </c>
      <c r="U410" s="609" t="str" cm="1">
        <f t="array" ref="U410">IFERROR(IF($D$3="","",_xlfn.LET(_xlpm.Mixed,AND(COUNTIF($G$34:$G$533,"Heating_Hot_Water")&gt;0,(COUNTIF($G$34:$G$533,"Steam_Low_Pressure") + COUNTIF($G$34:$G$533,"Steam_Medium_Pressure") + COUNTIF($G$34:$G$533,"Steam_High_Pressure"))&gt;0),_xlpm.fluid, G410,_xlpm.fuel, K410,_xlpm.load,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0" s="609" t="str">
        <f t="shared" si="125"/>
        <v/>
      </c>
      <c r="W410" s="482"/>
      <c r="X410" s="397" t="str" cm="1">
        <f t="array" ref="X410">IFERROR(IF($D$3="","", _xlfn.XLOOKUP(1,($AR$36:$AR$53=F410)*($AS$36:$AS$53=G410), INDEX($AT$36:$BJ$53,,_xlfn.XMATCH(E410,$AT$35:$BJ$35)))),"")</f>
        <v/>
      </c>
      <c r="Y410" s="480"/>
      <c r="Z410" s="482"/>
      <c r="AA410" s="607" t="str" cm="1">
        <f t="array" ref="AA410">IFERROR(IF($D$3="", "", _xlfn.LET(_xlpm.dia, E410, _xlpm.thk, Z410, _xlpm.temp, I410,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0" s="397" t="str" cm="1">
        <f t="array" ref="AB410">IFERROR(IF($D$3="", "", _xlfn.XLOOKUP(1,($AR$57:$AR$76=Y410)*($AS$57:$AS$76=Z410), INDEX($AT$57:$BJ$76,,_xlfn.XMATCH(E410,$AT$56:$BJ$56)))),"")</f>
        <v/>
      </c>
      <c r="AC410" s="208" t="str">
        <f t="shared" si="115"/>
        <v/>
      </c>
      <c r="AD410" s="397" t="str">
        <f t="shared" si="116"/>
        <v/>
      </c>
      <c r="AE410" s="610" t="str">
        <f t="shared" si="117"/>
        <v/>
      </c>
      <c r="AF410" s="610" t="str">
        <f t="shared" si="118"/>
        <v/>
      </c>
      <c r="AG410" s="610" t="str">
        <f t="shared" si="119"/>
        <v/>
      </c>
      <c r="AH410" s="608" t="str">
        <f t="shared" si="120"/>
        <v/>
      </c>
      <c r="AI410" s="610" t="str">
        <f t="shared" si="121"/>
        <v/>
      </c>
    </row>
    <row r="411" spans="2:35" x14ac:dyDescent="0.25">
      <c r="B411" s="209">
        <v>378</v>
      </c>
      <c r="C411" s="480"/>
      <c r="D411" s="480"/>
      <c r="E411" s="481"/>
      <c r="F411" s="480"/>
      <c r="G411" s="480"/>
      <c r="H411" s="607" t="str">
        <f t="shared" si="106"/>
        <v/>
      </c>
      <c r="I411" s="607" t="str">
        <f t="shared" si="107"/>
        <v/>
      </c>
      <c r="J411" s="607" t="str">
        <f t="shared" si="108"/>
        <v/>
      </c>
      <c r="K411" s="208" t="str">
        <f t="shared" si="109"/>
        <v/>
      </c>
      <c r="L411" s="208" t="str">
        <f t="shared" si="110"/>
        <v/>
      </c>
      <c r="M411" s="208" t="str">
        <f t="shared" si="122"/>
        <v/>
      </c>
      <c r="N411" s="608" t="str">
        <f>IF($D$3="", "", IFERROR(VLOOKUP(L411,'PIPE INCENTIVE'!$B$4:$E$19,2,FALSE),""))</f>
        <v/>
      </c>
      <c r="O411" s="608" t="str">
        <f t="shared" si="123"/>
        <v/>
      </c>
      <c r="P411" s="208" t="str">
        <f t="shared" si="124"/>
        <v/>
      </c>
      <c r="Q411" s="208" t="str">
        <f t="shared" si="111"/>
        <v/>
      </c>
      <c r="R411" s="609" t="str">
        <f t="shared" si="112"/>
        <v/>
      </c>
      <c r="S411" s="609" t="str">
        <f t="shared" si="113"/>
        <v/>
      </c>
      <c r="T411" s="609" t="str">
        <f t="shared" si="114"/>
        <v/>
      </c>
      <c r="U411" s="609" t="str" cm="1">
        <f t="array" ref="U411">IFERROR(IF($D$3="","",_xlfn.LET(_xlpm.Mixed,AND(COUNTIF($G$34:$G$533,"Heating_Hot_Water")&gt;0,(COUNTIF($G$34:$G$533,"Steam_Low_Pressure") + COUNTIF($G$34:$G$533,"Steam_Medium_Pressure") + COUNTIF($G$34:$G$533,"Steam_High_Pressure"))&gt;0),_xlpm.fluid, G411,_xlpm.fuel, K411,_xlpm.load,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1" s="609" t="str">
        <f t="shared" si="125"/>
        <v/>
      </c>
      <c r="W411" s="482"/>
      <c r="X411" s="397" t="str" cm="1">
        <f t="array" ref="X411">IFERROR(IF($D$3="","", _xlfn.XLOOKUP(1,($AR$36:$AR$53=F411)*($AS$36:$AS$53=G411), INDEX($AT$36:$BJ$53,,_xlfn.XMATCH(E411,$AT$35:$BJ$35)))),"")</f>
        <v/>
      </c>
      <c r="Y411" s="480"/>
      <c r="Z411" s="482"/>
      <c r="AA411" s="607" t="str" cm="1">
        <f t="array" ref="AA411">IFERROR(IF($D$3="", "", _xlfn.LET(_xlpm.dia, E411, _xlpm.thk, Z411, _xlpm.temp, I411,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1" s="397" t="str" cm="1">
        <f t="array" ref="AB411">IFERROR(IF($D$3="", "", _xlfn.XLOOKUP(1,($AR$57:$AR$76=Y411)*($AS$57:$AS$76=Z411), INDEX($AT$57:$BJ$76,,_xlfn.XMATCH(E411,$AT$56:$BJ$56)))),"")</f>
        <v/>
      </c>
      <c r="AC411" s="208" t="str">
        <f t="shared" si="115"/>
        <v/>
      </c>
      <c r="AD411" s="397" t="str">
        <f t="shared" si="116"/>
        <v/>
      </c>
      <c r="AE411" s="610" t="str">
        <f t="shared" si="117"/>
        <v/>
      </c>
      <c r="AF411" s="610" t="str">
        <f t="shared" si="118"/>
        <v/>
      </c>
      <c r="AG411" s="610" t="str">
        <f t="shared" si="119"/>
        <v/>
      </c>
      <c r="AH411" s="608" t="str">
        <f t="shared" si="120"/>
        <v/>
      </c>
      <c r="AI411" s="610" t="str">
        <f t="shared" si="121"/>
        <v/>
      </c>
    </row>
    <row r="412" spans="2:35" x14ac:dyDescent="0.25">
      <c r="B412" s="209">
        <v>379</v>
      </c>
      <c r="C412" s="480"/>
      <c r="D412" s="480"/>
      <c r="E412" s="481"/>
      <c r="F412" s="480"/>
      <c r="G412" s="480"/>
      <c r="H412" s="607" t="str">
        <f t="shared" si="106"/>
        <v/>
      </c>
      <c r="I412" s="607" t="str">
        <f t="shared" si="107"/>
        <v/>
      </c>
      <c r="J412" s="607" t="str">
        <f t="shared" si="108"/>
        <v/>
      </c>
      <c r="K412" s="208" t="str">
        <f t="shared" si="109"/>
        <v/>
      </c>
      <c r="L412" s="208" t="str">
        <f t="shared" si="110"/>
        <v/>
      </c>
      <c r="M412" s="208" t="str">
        <f t="shared" si="122"/>
        <v/>
      </c>
      <c r="N412" s="608" t="str">
        <f>IF($D$3="", "", IFERROR(VLOOKUP(L412,'PIPE INCENTIVE'!$B$4:$E$19,2,FALSE),""))</f>
        <v/>
      </c>
      <c r="O412" s="608" t="str">
        <f t="shared" si="123"/>
        <v/>
      </c>
      <c r="P412" s="208" t="str">
        <f t="shared" si="124"/>
        <v/>
      </c>
      <c r="Q412" s="208" t="str">
        <f t="shared" si="111"/>
        <v/>
      </c>
      <c r="R412" s="609" t="str">
        <f t="shared" si="112"/>
        <v/>
      </c>
      <c r="S412" s="609" t="str">
        <f t="shared" si="113"/>
        <v/>
      </c>
      <c r="T412" s="609" t="str">
        <f t="shared" si="114"/>
        <v/>
      </c>
      <c r="U412" s="609" t="str" cm="1">
        <f t="array" ref="U412">IFERROR(IF($D$3="","",_xlfn.LET(_xlpm.Mixed,AND(COUNTIF($G$34:$G$533,"Heating_Hot_Water")&gt;0,(COUNTIF($G$34:$G$533,"Steam_Low_Pressure") + COUNTIF($G$34:$G$533,"Steam_Medium_Pressure") + COUNTIF($G$34:$G$533,"Steam_High_Pressure"))&gt;0),_xlpm.fluid, G412,_xlpm.fuel, K412,_xlpm.load,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2" s="609" t="str">
        <f t="shared" si="125"/>
        <v/>
      </c>
      <c r="W412" s="482"/>
      <c r="X412" s="397" t="str" cm="1">
        <f t="array" ref="X412">IFERROR(IF($D$3="","", _xlfn.XLOOKUP(1,($AR$36:$AR$53=F412)*($AS$36:$AS$53=G412), INDEX($AT$36:$BJ$53,,_xlfn.XMATCH(E412,$AT$35:$BJ$35)))),"")</f>
        <v/>
      </c>
      <c r="Y412" s="480"/>
      <c r="Z412" s="482"/>
      <c r="AA412" s="607" t="str" cm="1">
        <f t="array" ref="AA412">IFERROR(IF($D$3="", "", _xlfn.LET(_xlpm.dia, E412, _xlpm.thk, Z412, _xlpm.temp, I412,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2" s="397" t="str" cm="1">
        <f t="array" ref="AB412">IFERROR(IF($D$3="", "", _xlfn.XLOOKUP(1,($AR$57:$AR$76=Y412)*($AS$57:$AS$76=Z412), INDEX($AT$57:$BJ$76,,_xlfn.XMATCH(E412,$AT$56:$BJ$56)))),"")</f>
        <v/>
      </c>
      <c r="AC412" s="208" t="str">
        <f t="shared" si="115"/>
        <v/>
      </c>
      <c r="AD412" s="397" t="str">
        <f t="shared" si="116"/>
        <v/>
      </c>
      <c r="AE412" s="610" t="str">
        <f t="shared" si="117"/>
        <v/>
      </c>
      <c r="AF412" s="610" t="str">
        <f t="shared" si="118"/>
        <v/>
      </c>
      <c r="AG412" s="610" t="str">
        <f t="shared" si="119"/>
        <v/>
      </c>
      <c r="AH412" s="608" t="str">
        <f t="shared" si="120"/>
        <v/>
      </c>
      <c r="AI412" s="610" t="str">
        <f t="shared" si="121"/>
        <v/>
      </c>
    </row>
    <row r="413" spans="2:35" x14ac:dyDescent="0.25">
      <c r="B413" s="209">
        <v>380</v>
      </c>
      <c r="C413" s="480"/>
      <c r="D413" s="480"/>
      <c r="E413" s="481"/>
      <c r="F413" s="480"/>
      <c r="G413" s="480"/>
      <c r="H413" s="607" t="str">
        <f t="shared" si="106"/>
        <v/>
      </c>
      <c r="I413" s="607" t="str">
        <f t="shared" si="107"/>
        <v/>
      </c>
      <c r="J413" s="607" t="str">
        <f t="shared" si="108"/>
        <v/>
      </c>
      <c r="K413" s="208" t="str">
        <f t="shared" si="109"/>
        <v/>
      </c>
      <c r="L413" s="208" t="str">
        <f t="shared" si="110"/>
        <v/>
      </c>
      <c r="M413" s="208" t="str">
        <f t="shared" si="122"/>
        <v/>
      </c>
      <c r="N413" s="608" t="str">
        <f>IF($D$3="", "", IFERROR(VLOOKUP(L413,'PIPE INCENTIVE'!$B$4:$E$19,2,FALSE),""))</f>
        <v/>
      </c>
      <c r="O413" s="608" t="str">
        <f t="shared" si="123"/>
        <v/>
      </c>
      <c r="P413" s="208" t="str">
        <f t="shared" si="124"/>
        <v/>
      </c>
      <c r="Q413" s="208" t="str">
        <f t="shared" si="111"/>
        <v/>
      </c>
      <c r="R413" s="609" t="str">
        <f t="shared" si="112"/>
        <v/>
      </c>
      <c r="S413" s="609" t="str">
        <f t="shared" si="113"/>
        <v/>
      </c>
      <c r="T413" s="609" t="str">
        <f t="shared" si="114"/>
        <v/>
      </c>
      <c r="U413" s="609" t="str" cm="1">
        <f t="array" ref="U413">IFERROR(IF($D$3="","",_xlfn.LET(_xlpm.Mixed,AND(COUNTIF($G$34:$G$533,"Heating_Hot_Water")&gt;0,(COUNTIF($G$34:$G$533,"Steam_Low_Pressure") + COUNTIF($G$34:$G$533,"Steam_Medium_Pressure") + COUNTIF($G$34:$G$533,"Steam_High_Pressure"))&gt;0),_xlpm.fluid, G413,_xlpm.fuel, K413,_xlpm.load,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3" s="609" t="str">
        <f t="shared" si="125"/>
        <v/>
      </c>
      <c r="W413" s="482"/>
      <c r="X413" s="397" t="str" cm="1">
        <f t="array" ref="X413">IFERROR(IF($D$3="","", _xlfn.XLOOKUP(1,($AR$36:$AR$53=F413)*($AS$36:$AS$53=G413), INDEX($AT$36:$BJ$53,,_xlfn.XMATCH(E413,$AT$35:$BJ$35)))),"")</f>
        <v/>
      </c>
      <c r="Y413" s="480"/>
      <c r="Z413" s="482"/>
      <c r="AA413" s="607" t="str" cm="1">
        <f t="array" ref="AA413">IFERROR(IF($D$3="", "", _xlfn.LET(_xlpm.dia, E413, _xlpm.thk, Z413, _xlpm.temp, I413,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3" s="397" t="str" cm="1">
        <f t="array" ref="AB413">IFERROR(IF($D$3="", "", _xlfn.XLOOKUP(1,($AR$57:$AR$76=Y413)*($AS$57:$AS$76=Z413), INDEX($AT$57:$BJ$76,,_xlfn.XMATCH(E413,$AT$56:$BJ$56)))),"")</f>
        <v/>
      </c>
      <c r="AC413" s="208" t="str">
        <f t="shared" si="115"/>
        <v/>
      </c>
      <c r="AD413" s="397" t="str">
        <f t="shared" si="116"/>
        <v/>
      </c>
      <c r="AE413" s="610" t="str">
        <f t="shared" si="117"/>
        <v/>
      </c>
      <c r="AF413" s="610" t="str">
        <f t="shared" si="118"/>
        <v/>
      </c>
      <c r="AG413" s="610" t="str">
        <f t="shared" si="119"/>
        <v/>
      </c>
      <c r="AH413" s="608" t="str">
        <f t="shared" si="120"/>
        <v/>
      </c>
      <c r="AI413" s="610" t="str">
        <f t="shared" si="121"/>
        <v/>
      </c>
    </row>
    <row r="414" spans="2:35" x14ac:dyDescent="0.25">
      <c r="B414" s="209">
        <v>381</v>
      </c>
      <c r="C414" s="480"/>
      <c r="D414" s="480"/>
      <c r="E414" s="481"/>
      <c r="F414" s="480"/>
      <c r="G414" s="480"/>
      <c r="H414" s="607" t="str">
        <f t="shared" si="106"/>
        <v/>
      </c>
      <c r="I414" s="607" t="str">
        <f t="shared" si="107"/>
        <v/>
      </c>
      <c r="J414" s="607" t="str">
        <f t="shared" si="108"/>
        <v/>
      </c>
      <c r="K414" s="208" t="str">
        <f t="shared" si="109"/>
        <v/>
      </c>
      <c r="L414" s="208" t="str">
        <f t="shared" si="110"/>
        <v/>
      </c>
      <c r="M414" s="208" t="str">
        <f t="shared" si="122"/>
        <v/>
      </c>
      <c r="N414" s="608" t="str">
        <f>IF($D$3="", "", IFERROR(VLOOKUP(L414,'PIPE INCENTIVE'!$B$4:$E$19,2,FALSE),""))</f>
        <v/>
      </c>
      <c r="O414" s="608" t="str">
        <f t="shared" si="123"/>
        <v/>
      </c>
      <c r="P414" s="208" t="str">
        <f t="shared" si="124"/>
        <v/>
      </c>
      <c r="Q414" s="208" t="str">
        <f t="shared" si="111"/>
        <v/>
      </c>
      <c r="R414" s="609" t="str">
        <f t="shared" si="112"/>
        <v/>
      </c>
      <c r="S414" s="609" t="str">
        <f t="shared" si="113"/>
        <v/>
      </c>
      <c r="T414" s="609" t="str">
        <f t="shared" si="114"/>
        <v/>
      </c>
      <c r="U414" s="609" t="str" cm="1">
        <f t="array" ref="U414">IFERROR(IF($D$3="","",_xlfn.LET(_xlpm.Mixed,AND(COUNTIF($G$34:$G$533,"Heating_Hot_Water")&gt;0,(COUNTIF($G$34:$G$533,"Steam_Low_Pressure") + COUNTIF($G$34:$G$533,"Steam_Medium_Pressure") + COUNTIF($G$34:$G$533,"Steam_High_Pressure"))&gt;0),_xlpm.fluid, G414,_xlpm.fuel, K414,_xlpm.load,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4" s="609" t="str">
        <f t="shared" si="125"/>
        <v/>
      </c>
      <c r="W414" s="482"/>
      <c r="X414" s="397" t="str" cm="1">
        <f t="array" ref="X414">IFERROR(IF($D$3="","", _xlfn.XLOOKUP(1,($AR$36:$AR$53=F414)*($AS$36:$AS$53=G414), INDEX($AT$36:$BJ$53,,_xlfn.XMATCH(E414,$AT$35:$BJ$35)))),"")</f>
        <v/>
      </c>
      <c r="Y414" s="480"/>
      <c r="Z414" s="482"/>
      <c r="AA414" s="607" t="str" cm="1">
        <f t="array" ref="AA414">IFERROR(IF($D$3="", "", _xlfn.LET(_xlpm.dia, E414, _xlpm.thk, Z414, _xlpm.temp, I414,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4" s="397" t="str" cm="1">
        <f t="array" ref="AB414">IFERROR(IF($D$3="", "", _xlfn.XLOOKUP(1,($AR$57:$AR$76=Y414)*($AS$57:$AS$76=Z414), INDEX($AT$57:$BJ$76,,_xlfn.XMATCH(E414,$AT$56:$BJ$56)))),"")</f>
        <v/>
      </c>
      <c r="AC414" s="208" t="str">
        <f t="shared" si="115"/>
        <v/>
      </c>
      <c r="AD414" s="397" t="str">
        <f t="shared" si="116"/>
        <v/>
      </c>
      <c r="AE414" s="610" t="str">
        <f t="shared" si="117"/>
        <v/>
      </c>
      <c r="AF414" s="610" t="str">
        <f t="shared" si="118"/>
        <v/>
      </c>
      <c r="AG414" s="610" t="str">
        <f t="shared" si="119"/>
        <v/>
      </c>
      <c r="AH414" s="608" t="str">
        <f t="shared" si="120"/>
        <v/>
      </c>
      <c r="AI414" s="610" t="str">
        <f t="shared" si="121"/>
        <v/>
      </c>
    </row>
    <row r="415" spans="2:35" x14ac:dyDescent="0.25">
      <c r="B415" s="209">
        <v>382</v>
      </c>
      <c r="C415" s="480"/>
      <c r="D415" s="480"/>
      <c r="E415" s="481"/>
      <c r="F415" s="480"/>
      <c r="G415" s="480"/>
      <c r="H415" s="607" t="str">
        <f t="shared" si="106"/>
        <v/>
      </c>
      <c r="I415" s="607" t="str">
        <f t="shared" si="107"/>
        <v/>
      </c>
      <c r="J415" s="607" t="str">
        <f t="shared" si="108"/>
        <v/>
      </c>
      <c r="K415" s="208" t="str">
        <f t="shared" si="109"/>
        <v/>
      </c>
      <c r="L415" s="208" t="str">
        <f t="shared" si="110"/>
        <v/>
      </c>
      <c r="M415" s="208" t="str">
        <f t="shared" si="122"/>
        <v/>
      </c>
      <c r="N415" s="608" t="str">
        <f>IF($D$3="", "", IFERROR(VLOOKUP(L415,'PIPE INCENTIVE'!$B$4:$E$19,2,FALSE),""))</f>
        <v/>
      </c>
      <c r="O415" s="608" t="str">
        <f t="shared" si="123"/>
        <v/>
      </c>
      <c r="P415" s="208" t="str">
        <f t="shared" si="124"/>
        <v/>
      </c>
      <c r="Q415" s="208" t="str">
        <f t="shared" si="111"/>
        <v/>
      </c>
      <c r="R415" s="609" t="str">
        <f t="shared" si="112"/>
        <v/>
      </c>
      <c r="S415" s="609" t="str">
        <f t="shared" si="113"/>
        <v/>
      </c>
      <c r="T415" s="609" t="str">
        <f t="shared" si="114"/>
        <v/>
      </c>
      <c r="U415" s="609" t="str" cm="1">
        <f t="array" ref="U415">IFERROR(IF($D$3="","",_xlfn.LET(_xlpm.Mixed,AND(COUNTIF($G$34:$G$533,"Heating_Hot_Water")&gt;0,(COUNTIF($G$34:$G$533,"Steam_Low_Pressure") + COUNTIF($G$34:$G$533,"Steam_Medium_Pressure") + COUNTIF($G$34:$G$533,"Steam_High_Pressure"))&gt;0),_xlpm.fluid, G415,_xlpm.fuel, K415,_xlpm.load,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5" s="609" t="str">
        <f t="shared" si="125"/>
        <v/>
      </c>
      <c r="W415" s="482"/>
      <c r="X415" s="397" t="str" cm="1">
        <f t="array" ref="X415">IFERROR(IF($D$3="","", _xlfn.XLOOKUP(1,($AR$36:$AR$53=F415)*($AS$36:$AS$53=G415), INDEX($AT$36:$BJ$53,,_xlfn.XMATCH(E415,$AT$35:$BJ$35)))),"")</f>
        <v/>
      </c>
      <c r="Y415" s="480"/>
      <c r="Z415" s="482"/>
      <c r="AA415" s="607" t="str" cm="1">
        <f t="array" ref="AA415">IFERROR(IF($D$3="", "", _xlfn.LET(_xlpm.dia, E415, _xlpm.thk, Z415, _xlpm.temp, I415,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5" s="397" t="str" cm="1">
        <f t="array" ref="AB415">IFERROR(IF($D$3="", "", _xlfn.XLOOKUP(1,($AR$57:$AR$76=Y415)*($AS$57:$AS$76=Z415), INDEX($AT$57:$BJ$76,,_xlfn.XMATCH(E415,$AT$56:$BJ$56)))),"")</f>
        <v/>
      </c>
      <c r="AC415" s="208" t="str">
        <f t="shared" si="115"/>
        <v/>
      </c>
      <c r="AD415" s="397" t="str">
        <f t="shared" si="116"/>
        <v/>
      </c>
      <c r="AE415" s="610" t="str">
        <f t="shared" si="117"/>
        <v/>
      </c>
      <c r="AF415" s="610" t="str">
        <f t="shared" si="118"/>
        <v/>
      </c>
      <c r="AG415" s="610" t="str">
        <f t="shared" si="119"/>
        <v/>
      </c>
      <c r="AH415" s="608" t="str">
        <f t="shared" si="120"/>
        <v/>
      </c>
      <c r="AI415" s="610" t="str">
        <f t="shared" si="121"/>
        <v/>
      </c>
    </row>
    <row r="416" spans="2:35" x14ac:dyDescent="0.25">
      <c r="B416" s="209">
        <v>383</v>
      </c>
      <c r="C416" s="480"/>
      <c r="D416" s="480"/>
      <c r="E416" s="481"/>
      <c r="F416" s="480"/>
      <c r="G416" s="480"/>
      <c r="H416" s="607" t="str">
        <f t="shared" si="106"/>
        <v/>
      </c>
      <c r="I416" s="607" t="str">
        <f t="shared" si="107"/>
        <v/>
      </c>
      <c r="J416" s="607" t="str">
        <f t="shared" si="108"/>
        <v/>
      </c>
      <c r="K416" s="208" t="str">
        <f t="shared" si="109"/>
        <v/>
      </c>
      <c r="L416" s="208" t="str">
        <f t="shared" si="110"/>
        <v/>
      </c>
      <c r="M416" s="208" t="str">
        <f t="shared" si="122"/>
        <v/>
      </c>
      <c r="N416" s="608" t="str">
        <f>IF($D$3="", "", IFERROR(VLOOKUP(L416,'PIPE INCENTIVE'!$B$4:$E$19,2,FALSE),""))</f>
        <v/>
      </c>
      <c r="O416" s="608" t="str">
        <f t="shared" si="123"/>
        <v/>
      </c>
      <c r="P416" s="208" t="str">
        <f t="shared" si="124"/>
        <v/>
      </c>
      <c r="Q416" s="208" t="str">
        <f t="shared" si="111"/>
        <v/>
      </c>
      <c r="R416" s="609" t="str">
        <f t="shared" si="112"/>
        <v/>
      </c>
      <c r="S416" s="609" t="str">
        <f t="shared" si="113"/>
        <v/>
      </c>
      <c r="T416" s="609" t="str">
        <f t="shared" si="114"/>
        <v/>
      </c>
      <c r="U416" s="609" t="str" cm="1">
        <f t="array" ref="U416">IFERROR(IF($D$3="","",_xlfn.LET(_xlpm.Mixed,AND(COUNTIF($G$34:$G$533,"Heating_Hot_Water")&gt;0,(COUNTIF($G$34:$G$533,"Steam_Low_Pressure") + COUNTIF($G$34:$G$533,"Steam_Medium_Pressure") + COUNTIF($G$34:$G$533,"Steam_High_Pressure"))&gt;0),_xlpm.fluid, G416,_xlpm.fuel, K416,_xlpm.load,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6" s="609" t="str">
        <f t="shared" si="125"/>
        <v/>
      </c>
      <c r="W416" s="482"/>
      <c r="X416" s="397" t="str" cm="1">
        <f t="array" ref="X416">IFERROR(IF($D$3="","", _xlfn.XLOOKUP(1,($AR$36:$AR$53=F416)*($AS$36:$AS$53=G416), INDEX($AT$36:$BJ$53,,_xlfn.XMATCH(E416,$AT$35:$BJ$35)))),"")</f>
        <v/>
      </c>
      <c r="Y416" s="480"/>
      <c r="Z416" s="482"/>
      <c r="AA416" s="607" t="str" cm="1">
        <f t="array" ref="AA416">IFERROR(IF($D$3="", "", _xlfn.LET(_xlpm.dia, E416, _xlpm.thk, Z416, _xlpm.temp, I416,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6" s="397" t="str" cm="1">
        <f t="array" ref="AB416">IFERROR(IF($D$3="", "", _xlfn.XLOOKUP(1,($AR$57:$AR$76=Y416)*($AS$57:$AS$76=Z416), INDEX($AT$57:$BJ$76,,_xlfn.XMATCH(E416,$AT$56:$BJ$56)))),"")</f>
        <v/>
      </c>
      <c r="AC416" s="208" t="str">
        <f t="shared" si="115"/>
        <v/>
      </c>
      <c r="AD416" s="397" t="str">
        <f t="shared" si="116"/>
        <v/>
      </c>
      <c r="AE416" s="610" t="str">
        <f t="shared" si="117"/>
        <v/>
      </c>
      <c r="AF416" s="610" t="str">
        <f t="shared" si="118"/>
        <v/>
      </c>
      <c r="AG416" s="610" t="str">
        <f t="shared" si="119"/>
        <v/>
      </c>
      <c r="AH416" s="608" t="str">
        <f t="shared" si="120"/>
        <v/>
      </c>
      <c r="AI416" s="610" t="str">
        <f t="shared" si="121"/>
        <v/>
      </c>
    </row>
    <row r="417" spans="2:35" x14ac:dyDescent="0.25">
      <c r="B417" s="209">
        <v>384</v>
      </c>
      <c r="C417" s="480"/>
      <c r="D417" s="480"/>
      <c r="E417" s="481"/>
      <c r="F417" s="480"/>
      <c r="G417" s="480"/>
      <c r="H417" s="607" t="str">
        <f t="shared" si="106"/>
        <v/>
      </c>
      <c r="I417" s="607" t="str">
        <f t="shared" si="107"/>
        <v/>
      </c>
      <c r="J417" s="607" t="str">
        <f t="shared" si="108"/>
        <v/>
      </c>
      <c r="K417" s="208" t="str">
        <f t="shared" si="109"/>
        <v/>
      </c>
      <c r="L417" s="208" t="str">
        <f t="shared" si="110"/>
        <v/>
      </c>
      <c r="M417" s="208" t="str">
        <f t="shared" si="122"/>
        <v/>
      </c>
      <c r="N417" s="608" t="str">
        <f>IF($D$3="", "", IFERROR(VLOOKUP(L417,'PIPE INCENTIVE'!$B$4:$E$19,2,FALSE),""))</f>
        <v/>
      </c>
      <c r="O417" s="608" t="str">
        <f t="shared" si="123"/>
        <v/>
      </c>
      <c r="P417" s="208" t="str">
        <f t="shared" si="124"/>
        <v/>
      </c>
      <c r="Q417" s="208" t="str">
        <f t="shared" si="111"/>
        <v/>
      </c>
      <c r="R417" s="609" t="str">
        <f t="shared" si="112"/>
        <v/>
      </c>
      <c r="S417" s="609" t="str">
        <f t="shared" si="113"/>
        <v/>
      </c>
      <c r="T417" s="609" t="str">
        <f t="shared" si="114"/>
        <v/>
      </c>
      <c r="U417" s="609" t="str" cm="1">
        <f t="array" ref="U417">IFERROR(IF($D$3="","",_xlfn.LET(_xlpm.Mixed,AND(COUNTIF($G$34:$G$533,"Heating_Hot_Water")&gt;0,(COUNTIF($G$34:$G$533,"Steam_Low_Pressure") + COUNTIF($G$34:$G$533,"Steam_Medium_Pressure") + COUNTIF($G$34:$G$533,"Steam_High_Pressure"))&gt;0),_xlpm.fluid, G417,_xlpm.fuel, K417,_xlpm.load,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7" s="609" t="str">
        <f t="shared" si="125"/>
        <v/>
      </c>
      <c r="W417" s="482"/>
      <c r="X417" s="397" t="str" cm="1">
        <f t="array" ref="X417">IFERROR(IF($D$3="","", _xlfn.XLOOKUP(1,($AR$36:$AR$53=F417)*($AS$36:$AS$53=G417), INDEX($AT$36:$BJ$53,,_xlfn.XMATCH(E417,$AT$35:$BJ$35)))),"")</f>
        <v/>
      </c>
      <c r="Y417" s="480"/>
      <c r="Z417" s="482"/>
      <c r="AA417" s="607" t="str" cm="1">
        <f t="array" ref="AA417">IFERROR(IF($D$3="", "", _xlfn.LET(_xlpm.dia, E417, _xlpm.thk, Z417, _xlpm.temp, I417,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7" s="397" t="str" cm="1">
        <f t="array" ref="AB417">IFERROR(IF($D$3="", "", _xlfn.XLOOKUP(1,($AR$57:$AR$76=Y417)*($AS$57:$AS$76=Z417), INDEX($AT$57:$BJ$76,,_xlfn.XMATCH(E417,$AT$56:$BJ$56)))),"")</f>
        <v/>
      </c>
      <c r="AC417" s="208" t="str">
        <f t="shared" si="115"/>
        <v/>
      </c>
      <c r="AD417" s="397" t="str">
        <f t="shared" si="116"/>
        <v/>
      </c>
      <c r="AE417" s="610" t="str">
        <f t="shared" si="117"/>
        <v/>
      </c>
      <c r="AF417" s="610" t="str">
        <f t="shared" si="118"/>
        <v/>
      </c>
      <c r="AG417" s="610" t="str">
        <f t="shared" si="119"/>
        <v/>
      </c>
      <c r="AH417" s="608" t="str">
        <f t="shared" si="120"/>
        <v/>
      </c>
      <c r="AI417" s="610" t="str">
        <f t="shared" si="121"/>
        <v/>
      </c>
    </row>
    <row r="418" spans="2:35" x14ac:dyDescent="0.25">
      <c r="B418" s="209">
        <v>385</v>
      </c>
      <c r="C418" s="480"/>
      <c r="D418" s="480"/>
      <c r="E418" s="481"/>
      <c r="F418" s="480"/>
      <c r="G418" s="480"/>
      <c r="H418" s="607" t="str">
        <f t="shared" ref="H418:H481" si="126">IFERROR(IF($D$3="", "", VLOOKUP(G418,$AM$53:$AN$60,2,FALSE)),"")</f>
        <v/>
      </c>
      <c r="I418" s="607" t="str">
        <f t="shared" ref="I418:I481" si="127">IFERROR(IF($D$3 = "", "", VLOOKUP(G418,$AM$64:$AN$71,2,FALSE)),"")</f>
        <v/>
      </c>
      <c r="J418" s="607" t="str">
        <f t="shared" ref="J418:J481" si="128">IFERROR(IF($D$3="", "", ABS(I418-H418)),"")</f>
        <v/>
      </c>
      <c r="K418" s="208" t="str">
        <f t="shared" ref="K418:K481" si="129">IFERROR(IF($D$3="", "", IF(OR(G418="Steam_Low_Pressure", G418="Steam_Medium_Pressure",G418="Steam_High_Pressure", G418="Heating_Hot_Water", G418="Steam_Condensate"), "Heating"&amp;$AT$115, IF(G418="Domestic_Hot_Water", G418&amp;$AT$131, IF(OR(G418="CoolingSupply", G418="CoolingReturn"), G418&amp;$AT$122,"")))),"")</f>
        <v/>
      </c>
      <c r="L418" s="208" t="str">
        <f t="shared" ref="L418:L481" si="130">IF($D$3="","", IFERROR(IF($D$7="Large C &amp; I (LCI)", "LCI", "SMB")&amp;"_"&amp;IF(RIGHT(K418, 6)="Fossil", "Gas_", "Electric_")&amp;$D$8&amp;"_"&amp;IF($D$9="No", "DACNo", "DACYes"),""))</f>
        <v/>
      </c>
      <c r="M418" s="208" t="str">
        <f t="shared" si="122"/>
        <v/>
      </c>
      <c r="N418" s="608" t="str">
        <f>IF($D$3="", "", IFERROR(VLOOKUP(L418,'PIPE INCENTIVE'!$B$4:$E$19,2,FALSE),""))</f>
        <v/>
      </c>
      <c r="O418" s="608" t="str">
        <f t="shared" si="123"/>
        <v/>
      </c>
      <c r="P418" s="208" t="str">
        <f t="shared" si="124"/>
        <v/>
      </c>
      <c r="Q418" s="208" t="str">
        <f t="shared" ref="Q418:Q481" si="131">IFERROR(IF($D$3="","",IF(P418="Domestic_Hot_Water_AY",8760,IF(P418="Domestic_Hot_Water_HSO",VLOOKUP($D$5,$AM$74:$AN$81,2,FALSE),IF(P418="NOTDHW",IF($D$21="Yes",IF(OR(G418="CoolingSupply",G418="CoolingReturn"), $D$23, $D$22),IF(OR(G418="CoolingSupply",G418="CoolingReturn"), $AP$44, $AP$43)),"")))),"")</f>
        <v/>
      </c>
      <c r="R418" s="609" t="str">
        <f t="shared" ref="R418:R481" si="132">IFERROR(IF($D$3="", "", VLOOKUP(K418,$AM$86:$AN$96,2, FALSE)),"")</f>
        <v/>
      </c>
      <c r="S418" s="609" t="str">
        <f t="shared" ref="S418:S481" si="133">IFERROR(IF($D$3="", "", VLOOKUP(K418,$AM$100:$AN$110,2, FALSE)),"")</f>
        <v/>
      </c>
      <c r="T418" s="609" t="str">
        <f t="shared" ref="T418:T481" si="134">IF($D$3="","",IFERROR(IF(OR(K418="CoolingSupplyElectric",K418="CoolingReturnElectric"),IF($D$20&lt;&gt;"",$D$20, _xlfn.XLOOKUP(K418,$AR$102:$AR$107,$AS$102:$AS$107)),IF(OR(K418="HeatingElectric",K418="Domestic_Hot_WaterElectric",K418="Domestic_Hot_WaterUnknown"),0.98,0.98)),""))</f>
        <v/>
      </c>
      <c r="U418" s="609" t="str" cm="1">
        <f t="array" ref="U418">IFERROR(IF($D$3="","",_xlfn.LET(_xlpm.Mixed,AND(COUNTIF($G$34:$G$533,"Heating_Hot_Water")&gt;0,(COUNTIF($G$34:$G$533,"Steam_Low_Pressure") + COUNTIF($G$34:$G$533,"Steam_Medium_Pressure") + COUNTIF($G$34:$G$533,"Steam_High_Pressure"))&gt;0),_xlpm.fluid, G418,_xlpm.fuel, K418,_xlpm.load,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8" s="609" t="str">
        <f t="shared" si="125"/>
        <v/>
      </c>
      <c r="W418" s="482"/>
      <c r="X418" s="397" t="str" cm="1">
        <f t="array" ref="X418">IFERROR(IF($D$3="","", _xlfn.XLOOKUP(1,($AR$36:$AR$53=F418)*($AS$36:$AS$53=G418), INDEX($AT$36:$BJ$53,,_xlfn.XMATCH(E418,$AT$35:$BJ$35)))),"")</f>
        <v/>
      </c>
      <c r="Y418" s="480"/>
      <c r="Z418" s="482"/>
      <c r="AA418" s="607" t="str" cm="1">
        <f t="array" ref="AA418">IFERROR(IF($D$3="", "", _xlfn.LET(_xlpm.dia, E418, _xlpm.thk, Z418, _xlpm.temp, I418,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8" s="397" t="str" cm="1">
        <f t="array" ref="AB418">IFERROR(IF($D$3="", "", _xlfn.XLOOKUP(1,($AR$57:$AR$76=Y418)*($AS$57:$AS$76=Z418), INDEX($AT$57:$BJ$76,,_xlfn.XMATCH(E418,$AT$56:$BJ$56)))),"")</f>
        <v/>
      </c>
      <c r="AC418" s="208" t="str">
        <f t="shared" ref="AC418:AC481" si="135">IFERROR(IF($D$3="", "", IF(AND($AT$115="Fossil", $AT$122="Fossil", $AT$131="Fossil"), 0, ((X418-AB418)/(T418*3412))*W418*J418*Q418*R418)),"")</f>
        <v/>
      </c>
      <c r="AD418" s="397" t="str">
        <f t="shared" ref="AD418:AD481" si="136">IFERROR(IF($D$3="", "", AC418*V418/8760),"")</f>
        <v/>
      </c>
      <c r="AE418" s="610" t="str">
        <f t="shared" ref="AE418:AE481" si="137">IFERROR(IF(AF418="", "", AF418*10),"")</f>
        <v/>
      </c>
      <c r="AF418" s="610" t="str">
        <f t="shared" ref="AF418:AF481" si="138">IFERROR(IF($D$3="", "", IF(AND($AT$115="Electric", $AT$122="Electric", $AT$131="Electric"), 0, ((X418-AB418)/(U418*1000000))*W418*J418*Q418*S418)),"")</f>
        <v/>
      </c>
      <c r="AG418" s="610" t="str">
        <f t="shared" ref="AG418:AG481" si="139">IFERROR(IF(AC418&lt;&gt;0, AC418*3412/1000000, 0),"")</f>
        <v/>
      </c>
      <c r="AH418" s="608" t="str">
        <f t="shared" ref="AH418:AH481" si="140">IFERROR(IF($D$3="","",IF(OR(AND(ISNUMBER(SEARCH("Domestic_Hot_Water",$K418)),OR(ISNUMBER(SEARCH("Not National Grid",$D$17)),ISNUMBER(SEARCH("Oil/Propane/Wood",$D$17)))),AND(ISNUMBER(SEARCH("Cooling",$K418)),ISNUMBER(SEARCH("Not National Grid",$D$16))),AND(NOT(ISNUMBER(SEARCH("Domestic_Hot_Water",$K418))),NOT(ISNUMBER(SEARCH("Cooling",$K418))),OR(ISNUMBER(SEARCH("Not National Grid",$D$15)),ISNUMBER(SEARCH("Oil/Propane/Wood",$D$15))))),0,IF(AA418="No",0,IF(M418="PERTHERM",N418*AE418,N418*W418)))),"")</f>
        <v/>
      </c>
      <c r="AI418" s="610" t="str">
        <f t="shared" ref="AI418:AI481" si="141">IFERROR(AG418+AF418,"")</f>
        <v/>
      </c>
    </row>
    <row r="419" spans="2:35" x14ac:dyDescent="0.25">
      <c r="B419" s="209">
        <v>386</v>
      </c>
      <c r="C419" s="480"/>
      <c r="D419" s="480"/>
      <c r="E419" s="481"/>
      <c r="F419" s="480"/>
      <c r="G419" s="480"/>
      <c r="H419" s="607" t="str">
        <f t="shared" si="126"/>
        <v/>
      </c>
      <c r="I419" s="607" t="str">
        <f t="shared" si="127"/>
        <v/>
      </c>
      <c r="J419" s="607" t="str">
        <f t="shared" si="128"/>
        <v/>
      </c>
      <c r="K419" s="208" t="str">
        <f t="shared" si="129"/>
        <v/>
      </c>
      <c r="L419" s="208" t="str">
        <f t="shared" si="130"/>
        <v/>
      </c>
      <c r="M419" s="208" t="str">
        <f t="shared" ref="M419:M482" si="142">IF($D$3="","",IFERROR(IF(LEFT(L419,7)="LCI_Gas","PERTHERM","PERLF"),""))</f>
        <v/>
      </c>
      <c r="N419" s="608" t="str">
        <f>IF($D$3="", "", IFERROR(VLOOKUP(L419,'PIPE INCENTIVE'!$B$4:$E$19,2,FALSE),""))</f>
        <v/>
      </c>
      <c r="O419" s="608" t="str">
        <f t="shared" ref="O419:O482" si="143">IF($D$3="", "", IFERROR(IF(RIGHT(K419,6)="Fossil","Gas","Electric"),""))</f>
        <v/>
      </c>
      <c r="P419" s="208" t="str">
        <f t="shared" ref="P419:P482" si="144">IFERROR(IF($D$3="", "", IF(AND(G419="Domestic_Hot_Water",$D$18="All Year"),G419&amp;"_AY",IF(AND(G419="Domestic_Hot_Water",$D$18="Heating Season Only"),G419&amp;"_HSO","NOTDHW"))),"")</f>
        <v/>
      </c>
      <c r="Q419" s="208" t="str">
        <f t="shared" si="131"/>
        <v/>
      </c>
      <c r="R419" s="609" t="str">
        <f t="shared" si="132"/>
        <v/>
      </c>
      <c r="S419" s="609" t="str">
        <f t="shared" si="133"/>
        <v/>
      </c>
      <c r="T419" s="609" t="str">
        <f t="shared" si="134"/>
        <v/>
      </c>
      <c r="U419" s="609" t="str" cm="1">
        <f t="array" ref="U419">IFERROR(IF($D$3="","",_xlfn.LET(_xlpm.Mixed,AND(COUNTIF($G$34:$G$533,"Heating_Hot_Water")&gt;0,(COUNTIF($G$34:$G$533,"Steam_Low_Pressure") + COUNTIF($G$34:$G$533,"Steam_Medium_Pressure") + COUNTIF($G$34:$G$533,"Steam_High_Pressure"))&gt;0),_xlpm.fluid, G419,_xlpm.fuel, K419,_xlpm.load,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19" s="609" t="str">
        <f t="shared" ref="V419:V482" si="145">IFERROR(IF($D$3="", "", IF(K419="Domestic_Hot_WaterElectric", 1, 0)),"")</f>
        <v/>
      </c>
      <c r="W419" s="482"/>
      <c r="X419" s="397" t="str" cm="1">
        <f t="array" ref="X419">IFERROR(IF($D$3="","", _xlfn.XLOOKUP(1,($AR$36:$AR$53=F419)*($AS$36:$AS$53=G419), INDEX($AT$36:$BJ$53,,_xlfn.XMATCH(E419,$AT$35:$BJ$35)))),"")</f>
        <v/>
      </c>
      <c r="Y419" s="480"/>
      <c r="Z419" s="482"/>
      <c r="AA419" s="607" t="str" cm="1">
        <f t="array" ref="AA419">IFERROR(IF($D$3="", "", _xlfn.LET(_xlpm.dia, E419, _xlpm.thk, Z419, _xlpm.temp, I419,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19" s="397" t="str" cm="1">
        <f t="array" ref="AB419">IFERROR(IF($D$3="", "", _xlfn.XLOOKUP(1,($AR$57:$AR$76=Y419)*($AS$57:$AS$76=Z419), INDEX($AT$57:$BJ$76,,_xlfn.XMATCH(E419,$AT$56:$BJ$56)))),"")</f>
        <v/>
      </c>
      <c r="AC419" s="208" t="str">
        <f t="shared" si="135"/>
        <v/>
      </c>
      <c r="AD419" s="397" t="str">
        <f t="shared" si="136"/>
        <v/>
      </c>
      <c r="AE419" s="610" t="str">
        <f t="shared" si="137"/>
        <v/>
      </c>
      <c r="AF419" s="610" t="str">
        <f t="shared" si="138"/>
        <v/>
      </c>
      <c r="AG419" s="610" t="str">
        <f t="shared" si="139"/>
        <v/>
      </c>
      <c r="AH419" s="608" t="str">
        <f t="shared" si="140"/>
        <v/>
      </c>
      <c r="AI419" s="610" t="str">
        <f t="shared" si="141"/>
        <v/>
      </c>
    </row>
    <row r="420" spans="2:35" x14ac:dyDescent="0.25">
      <c r="B420" s="209">
        <v>387</v>
      </c>
      <c r="C420" s="480"/>
      <c r="D420" s="480"/>
      <c r="E420" s="481"/>
      <c r="F420" s="480"/>
      <c r="G420" s="480"/>
      <c r="H420" s="607" t="str">
        <f t="shared" si="126"/>
        <v/>
      </c>
      <c r="I420" s="607" t="str">
        <f t="shared" si="127"/>
        <v/>
      </c>
      <c r="J420" s="607" t="str">
        <f t="shared" si="128"/>
        <v/>
      </c>
      <c r="K420" s="208" t="str">
        <f t="shared" si="129"/>
        <v/>
      </c>
      <c r="L420" s="208" t="str">
        <f t="shared" si="130"/>
        <v/>
      </c>
      <c r="M420" s="208" t="str">
        <f t="shared" si="142"/>
        <v/>
      </c>
      <c r="N420" s="608" t="str">
        <f>IF($D$3="", "", IFERROR(VLOOKUP(L420,'PIPE INCENTIVE'!$B$4:$E$19,2,FALSE),""))</f>
        <v/>
      </c>
      <c r="O420" s="608" t="str">
        <f t="shared" si="143"/>
        <v/>
      </c>
      <c r="P420" s="208" t="str">
        <f t="shared" si="144"/>
        <v/>
      </c>
      <c r="Q420" s="208" t="str">
        <f t="shared" si="131"/>
        <v/>
      </c>
      <c r="R420" s="609" t="str">
        <f t="shared" si="132"/>
        <v/>
      </c>
      <c r="S420" s="609" t="str">
        <f t="shared" si="133"/>
        <v/>
      </c>
      <c r="T420" s="609" t="str">
        <f t="shared" si="134"/>
        <v/>
      </c>
      <c r="U420" s="609" t="str" cm="1">
        <f t="array" ref="U420">IFERROR(IF($D$3="","",_xlfn.LET(_xlpm.Mixed,AND(COUNTIF($G$34:$G$533,"Heating_Hot_Water")&gt;0,(COUNTIF($G$34:$G$533,"Steam_Low_Pressure") + COUNTIF($G$34:$G$533,"Steam_Medium_Pressure") + COUNTIF($G$34:$G$533,"Steam_High_Pressure"))&gt;0),_xlpm.fluid, G420,_xlpm.fuel, K420,_xlpm.load,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0" s="609" t="str">
        <f t="shared" si="145"/>
        <v/>
      </c>
      <c r="W420" s="482"/>
      <c r="X420" s="397" t="str" cm="1">
        <f t="array" ref="X420">IFERROR(IF($D$3="","", _xlfn.XLOOKUP(1,($AR$36:$AR$53=F420)*($AS$36:$AS$53=G420), INDEX($AT$36:$BJ$53,,_xlfn.XMATCH(E420,$AT$35:$BJ$35)))),"")</f>
        <v/>
      </c>
      <c r="Y420" s="480"/>
      <c r="Z420" s="482"/>
      <c r="AA420" s="607" t="str" cm="1">
        <f t="array" ref="AA420">IFERROR(IF($D$3="", "", _xlfn.LET(_xlpm.dia, E420, _xlpm.thk, Z420, _xlpm.temp, I420,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0" s="397" t="str" cm="1">
        <f t="array" ref="AB420">IFERROR(IF($D$3="", "", _xlfn.XLOOKUP(1,($AR$57:$AR$76=Y420)*($AS$57:$AS$76=Z420), INDEX($AT$57:$BJ$76,,_xlfn.XMATCH(E420,$AT$56:$BJ$56)))),"")</f>
        <v/>
      </c>
      <c r="AC420" s="208" t="str">
        <f t="shared" si="135"/>
        <v/>
      </c>
      <c r="AD420" s="397" t="str">
        <f t="shared" si="136"/>
        <v/>
      </c>
      <c r="AE420" s="610" t="str">
        <f t="shared" si="137"/>
        <v/>
      </c>
      <c r="AF420" s="610" t="str">
        <f t="shared" si="138"/>
        <v/>
      </c>
      <c r="AG420" s="610" t="str">
        <f t="shared" si="139"/>
        <v/>
      </c>
      <c r="AH420" s="608" t="str">
        <f t="shared" si="140"/>
        <v/>
      </c>
      <c r="AI420" s="610" t="str">
        <f t="shared" si="141"/>
        <v/>
      </c>
    </row>
    <row r="421" spans="2:35" x14ac:dyDescent="0.25">
      <c r="B421" s="209">
        <v>388</v>
      </c>
      <c r="C421" s="480"/>
      <c r="D421" s="480"/>
      <c r="E421" s="481"/>
      <c r="F421" s="480"/>
      <c r="G421" s="480"/>
      <c r="H421" s="607" t="str">
        <f t="shared" si="126"/>
        <v/>
      </c>
      <c r="I421" s="607" t="str">
        <f t="shared" si="127"/>
        <v/>
      </c>
      <c r="J421" s="607" t="str">
        <f t="shared" si="128"/>
        <v/>
      </c>
      <c r="K421" s="208" t="str">
        <f t="shared" si="129"/>
        <v/>
      </c>
      <c r="L421" s="208" t="str">
        <f t="shared" si="130"/>
        <v/>
      </c>
      <c r="M421" s="208" t="str">
        <f t="shared" si="142"/>
        <v/>
      </c>
      <c r="N421" s="608" t="str">
        <f>IF($D$3="", "", IFERROR(VLOOKUP(L421,'PIPE INCENTIVE'!$B$4:$E$19,2,FALSE),""))</f>
        <v/>
      </c>
      <c r="O421" s="608" t="str">
        <f t="shared" si="143"/>
        <v/>
      </c>
      <c r="P421" s="208" t="str">
        <f t="shared" si="144"/>
        <v/>
      </c>
      <c r="Q421" s="208" t="str">
        <f t="shared" si="131"/>
        <v/>
      </c>
      <c r="R421" s="609" t="str">
        <f t="shared" si="132"/>
        <v/>
      </c>
      <c r="S421" s="609" t="str">
        <f t="shared" si="133"/>
        <v/>
      </c>
      <c r="T421" s="609" t="str">
        <f t="shared" si="134"/>
        <v/>
      </c>
      <c r="U421" s="609" t="str" cm="1">
        <f t="array" ref="U421">IFERROR(IF($D$3="","",_xlfn.LET(_xlpm.Mixed,AND(COUNTIF($G$34:$G$533,"Heating_Hot_Water")&gt;0,(COUNTIF($G$34:$G$533,"Steam_Low_Pressure") + COUNTIF($G$34:$G$533,"Steam_Medium_Pressure") + COUNTIF($G$34:$G$533,"Steam_High_Pressure"))&gt;0),_xlpm.fluid, G421,_xlpm.fuel, K421,_xlpm.load,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1" s="609" t="str">
        <f t="shared" si="145"/>
        <v/>
      </c>
      <c r="W421" s="482"/>
      <c r="X421" s="397" t="str" cm="1">
        <f t="array" ref="X421">IFERROR(IF($D$3="","", _xlfn.XLOOKUP(1,($AR$36:$AR$53=F421)*($AS$36:$AS$53=G421), INDEX($AT$36:$BJ$53,,_xlfn.XMATCH(E421,$AT$35:$BJ$35)))),"")</f>
        <v/>
      </c>
      <c r="Y421" s="480"/>
      <c r="Z421" s="482"/>
      <c r="AA421" s="607" t="str" cm="1">
        <f t="array" ref="AA421">IFERROR(IF($D$3="", "", _xlfn.LET(_xlpm.dia, E421, _xlpm.thk, Z421, _xlpm.temp, I421,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1" s="397" t="str" cm="1">
        <f t="array" ref="AB421">IFERROR(IF($D$3="", "", _xlfn.XLOOKUP(1,($AR$57:$AR$76=Y421)*($AS$57:$AS$76=Z421), INDEX($AT$57:$BJ$76,,_xlfn.XMATCH(E421,$AT$56:$BJ$56)))),"")</f>
        <v/>
      </c>
      <c r="AC421" s="208" t="str">
        <f t="shared" si="135"/>
        <v/>
      </c>
      <c r="AD421" s="397" t="str">
        <f t="shared" si="136"/>
        <v/>
      </c>
      <c r="AE421" s="610" t="str">
        <f t="shared" si="137"/>
        <v/>
      </c>
      <c r="AF421" s="610" t="str">
        <f t="shared" si="138"/>
        <v/>
      </c>
      <c r="AG421" s="610" t="str">
        <f t="shared" si="139"/>
        <v/>
      </c>
      <c r="AH421" s="608" t="str">
        <f t="shared" si="140"/>
        <v/>
      </c>
      <c r="AI421" s="610" t="str">
        <f t="shared" si="141"/>
        <v/>
      </c>
    </row>
    <row r="422" spans="2:35" x14ac:dyDescent="0.25">
      <c r="B422" s="209">
        <v>389</v>
      </c>
      <c r="C422" s="480"/>
      <c r="D422" s="480"/>
      <c r="E422" s="481"/>
      <c r="F422" s="480"/>
      <c r="G422" s="480"/>
      <c r="H422" s="607" t="str">
        <f t="shared" si="126"/>
        <v/>
      </c>
      <c r="I422" s="607" t="str">
        <f t="shared" si="127"/>
        <v/>
      </c>
      <c r="J422" s="607" t="str">
        <f t="shared" si="128"/>
        <v/>
      </c>
      <c r="K422" s="208" t="str">
        <f t="shared" si="129"/>
        <v/>
      </c>
      <c r="L422" s="208" t="str">
        <f t="shared" si="130"/>
        <v/>
      </c>
      <c r="M422" s="208" t="str">
        <f t="shared" si="142"/>
        <v/>
      </c>
      <c r="N422" s="608" t="str">
        <f>IF($D$3="", "", IFERROR(VLOOKUP(L422,'PIPE INCENTIVE'!$B$4:$E$19,2,FALSE),""))</f>
        <v/>
      </c>
      <c r="O422" s="608" t="str">
        <f t="shared" si="143"/>
        <v/>
      </c>
      <c r="P422" s="208" t="str">
        <f t="shared" si="144"/>
        <v/>
      </c>
      <c r="Q422" s="208" t="str">
        <f t="shared" si="131"/>
        <v/>
      </c>
      <c r="R422" s="609" t="str">
        <f t="shared" si="132"/>
        <v/>
      </c>
      <c r="S422" s="609" t="str">
        <f t="shared" si="133"/>
        <v/>
      </c>
      <c r="T422" s="609" t="str">
        <f t="shared" si="134"/>
        <v/>
      </c>
      <c r="U422" s="609" t="str" cm="1">
        <f t="array" ref="U422">IFERROR(IF($D$3="","",_xlfn.LET(_xlpm.Mixed,AND(COUNTIF($G$34:$G$533,"Heating_Hot_Water")&gt;0,(COUNTIF($G$34:$G$533,"Steam_Low_Pressure") + COUNTIF($G$34:$G$533,"Steam_Medium_Pressure") + COUNTIF($G$34:$G$533,"Steam_High_Pressure"))&gt;0),_xlpm.fluid, G422,_xlpm.fuel, K422,_xlpm.load,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2" s="609" t="str">
        <f t="shared" si="145"/>
        <v/>
      </c>
      <c r="W422" s="482"/>
      <c r="X422" s="397" t="str" cm="1">
        <f t="array" ref="X422">IFERROR(IF($D$3="","", _xlfn.XLOOKUP(1,($AR$36:$AR$53=F422)*($AS$36:$AS$53=G422), INDEX($AT$36:$BJ$53,,_xlfn.XMATCH(E422,$AT$35:$BJ$35)))),"")</f>
        <v/>
      </c>
      <c r="Y422" s="480"/>
      <c r="Z422" s="482"/>
      <c r="AA422" s="607" t="str" cm="1">
        <f t="array" ref="AA422">IFERROR(IF($D$3="", "", _xlfn.LET(_xlpm.dia, E422, _xlpm.thk, Z422, _xlpm.temp, I422,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2" s="397" t="str" cm="1">
        <f t="array" ref="AB422">IFERROR(IF($D$3="", "", _xlfn.XLOOKUP(1,($AR$57:$AR$76=Y422)*($AS$57:$AS$76=Z422), INDEX($AT$57:$BJ$76,,_xlfn.XMATCH(E422,$AT$56:$BJ$56)))),"")</f>
        <v/>
      </c>
      <c r="AC422" s="208" t="str">
        <f t="shared" si="135"/>
        <v/>
      </c>
      <c r="AD422" s="397" t="str">
        <f t="shared" si="136"/>
        <v/>
      </c>
      <c r="AE422" s="610" t="str">
        <f t="shared" si="137"/>
        <v/>
      </c>
      <c r="AF422" s="610" t="str">
        <f t="shared" si="138"/>
        <v/>
      </c>
      <c r="AG422" s="610" t="str">
        <f t="shared" si="139"/>
        <v/>
      </c>
      <c r="AH422" s="608" t="str">
        <f t="shared" si="140"/>
        <v/>
      </c>
      <c r="AI422" s="610" t="str">
        <f t="shared" si="141"/>
        <v/>
      </c>
    </row>
    <row r="423" spans="2:35" x14ac:dyDescent="0.25">
      <c r="B423" s="209">
        <v>390</v>
      </c>
      <c r="C423" s="480"/>
      <c r="D423" s="480"/>
      <c r="E423" s="481"/>
      <c r="F423" s="480"/>
      <c r="G423" s="480"/>
      <c r="H423" s="607" t="str">
        <f t="shared" si="126"/>
        <v/>
      </c>
      <c r="I423" s="607" t="str">
        <f t="shared" si="127"/>
        <v/>
      </c>
      <c r="J423" s="607" t="str">
        <f t="shared" si="128"/>
        <v/>
      </c>
      <c r="K423" s="208" t="str">
        <f t="shared" si="129"/>
        <v/>
      </c>
      <c r="L423" s="208" t="str">
        <f t="shared" si="130"/>
        <v/>
      </c>
      <c r="M423" s="208" t="str">
        <f t="shared" si="142"/>
        <v/>
      </c>
      <c r="N423" s="608" t="str">
        <f>IF($D$3="", "", IFERROR(VLOOKUP(L423,'PIPE INCENTIVE'!$B$4:$E$19,2,FALSE),""))</f>
        <v/>
      </c>
      <c r="O423" s="608" t="str">
        <f t="shared" si="143"/>
        <v/>
      </c>
      <c r="P423" s="208" t="str">
        <f t="shared" si="144"/>
        <v/>
      </c>
      <c r="Q423" s="208" t="str">
        <f t="shared" si="131"/>
        <v/>
      </c>
      <c r="R423" s="609" t="str">
        <f t="shared" si="132"/>
        <v/>
      </c>
      <c r="S423" s="609" t="str">
        <f t="shared" si="133"/>
        <v/>
      </c>
      <c r="T423" s="609" t="str">
        <f t="shared" si="134"/>
        <v/>
      </c>
      <c r="U423" s="609" t="str" cm="1">
        <f t="array" ref="U423">IFERROR(IF($D$3="","",_xlfn.LET(_xlpm.Mixed,AND(COUNTIF($G$34:$G$533,"Heating_Hot_Water")&gt;0,(COUNTIF($G$34:$G$533,"Steam_Low_Pressure") + COUNTIF($G$34:$G$533,"Steam_Medium_Pressure") + COUNTIF($G$34:$G$533,"Steam_High_Pressure"))&gt;0),_xlpm.fluid, G423,_xlpm.fuel, K423,_xlpm.load,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3" s="609" t="str">
        <f t="shared" si="145"/>
        <v/>
      </c>
      <c r="W423" s="482"/>
      <c r="X423" s="397" t="str" cm="1">
        <f t="array" ref="X423">IFERROR(IF($D$3="","", _xlfn.XLOOKUP(1,($AR$36:$AR$53=F423)*($AS$36:$AS$53=G423), INDEX($AT$36:$BJ$53,,_xlfn.XMATCH(E423,$AT$35:$BJ$35)))),"")</f>
        <v/>
      </c>
      <c r="Y423" s="480"/>
      <c r="Z423" s="482"/>
      <c r="AA423" s="607" t="str" cm="1">
        <f t="array" ref="AA423">IFERROR(IF($D$3="", "", _xlfn.LET(_xlpm.dia, E423, _xlpm.thk, Z423, _xlpm.temp, I423,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3" s="397" t="str" cm="1">
        <f t="array" ref="AB423">IFERROR(IF($D$3="", "", _xlfn.XLOOKUP(1,($AR$57:$AR$76=Y423)*($AS$57:$AS$76=Z423), INDEX($AT$57:$BJ$76,,_xlfn.XMATCH(E423,$AT$56:$BJ$56)))),"")</f>
        <v/>
      </c>
      <c r="AC423" s="208" t="str">
        <f t="shared" si="135"/>
        <v/>
      </c>
      <c r="AD423" s="397" t="str">
        <f t="shared" si="136"/>
        <v/>
      </c>
      <c r="AE423" s="610" t="str">
        <f t="shared" si="137"/>
        <v/>
      </c>
      <c r="AF423" s="610" t="str">
        <f t="shared" si="138"/>
        <v/>
      </c>
      <c r="AG423" s="610" t="str">
        <f t="shared" si="139"/>
        <v/>
      </c>
      <c r="AH423" s="608" t="str">
        <f t="shared" si="140"/>
        <v/>
      </c>
      <c r="AI423" s="610" t="str">
        <f t="shared" si="141"/>
        <v/>
      </c>
    </row>
    <row r="424" spans="2:35" x14ac:dyDescent="0.25">
      <c r="B424" s="209">
        <v>391</v>
      </c>
      <c r="C424" s="480"/>
      <c r="D424" s="480"/>
      <c r="E424" s="481"/>
      <c r="F424" s="480"/>
      <c r="G424" s="480"/>
      <c r="H424" s="607" t="str">
        <f t="shared" si="126"/>
        <v/>
      </c>
      <c r="I424" s="607" t="str">
        <f t="shared" si="127"/>
        <v/>
      </c>
      <c r="J424" s="607" t="str">
        <f t="shared" si="128"/>
        <v/>
      </c>
      <c r="K424" s="208" t="str">
        <f t="shared" si="129"/>
        <v/>
      </c>
      <c r="L424" s="208" t="str">
        <f t="shared" si="130"/>
        <v/>
      </c>
      <c r="M424" s="208" t="str">
        <f t="shared" si="142"/>
        <v/>
      </c>
      <c r="N424" s="608" t="str">
        <f>IF($D$3="", "", IFERROR(VLOOKUP(L424,'PIPE INCENTIVE'!$B$4:$E$19,2,FALSE),""))</f>
        <v/>
      </c>
      <c r="O424" s="608" t="str">
        <f t="shared" si="143"/>
        <v/>
      </c>
      <c r="P424" s="208" t="str">
        <f t="shared" si="144"/>
        <v/>
      </c>
      <c r="Q424" s="208" t="str">
        <f t="shared" si="131"/>
        <v/>
      </c>
      <c r="R424" s="609" t="str">
        <f t="shared" si="132"/>
        <v/>
      </c>
      <c r="S424" s="609" t="str">
        <f t="shared" si="133"/>
        <v/>
      </c>
      <c r="T424" s="609" t="str">
        <f t="shared" si="134"/>
        <v/>
      </c>
      <c r="U424" s="609" t="str" cm="1">
        <f t="array" ref="U424">IFERROR(IF($D$3="","",_xlfn.LET(_xlpm.Mixed,AND(COUNTIF($G$34:$G$533,"Heating_Hot_Water")&gt;0,(COUNTIF($G$34:$G$533,"Steam_Low_Pressure") + COUNTIF($G$34:$G$533,"Steam_Medium_Pressure") + COUNTIF($G$34:$G$533,"Steam_High_Pressure"))&gt;0),_xlpm.fluid, G424,_xlpm.fuel, K424,_xlpm.load,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4" s="609" t="str">
        <f t="shared" si="145"/>
        <v/>
      </c>
      <c r="W424" s="482"/>
      <c r="X424" s="397" t="str" cm="1">
        <f t="array" ref="X424">IFERROR(IF($D$3="","", _xlfn.XLOOKUP(1,($AR$36:$AR$53=F424)*($AS$36:$AS$53=G424), INDEX($AT$36:$BJ$53,,_xlfn.XMATCH(E424,$AT$35:$BJ$35)))),"")</f>
        <v/>
      </c>
      <c r="Y424" s="480"/>
      <c r="Z424" s="482"/>
      <c r="AA424" s="607" t="str" cm="1">
        <f t="array" ref="AA424">IFERROR(IF($D$3="", "", _xlfn.LET(_xlpm.dia, E424, _xlpm.thk, Z424, _xlpm.temp, I424,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4" s="397" t="str" cm="1">
        <f t="array" ref="AB424">IFERROR(IF($D$3="", "", _xlfn.XLOOKUP(1,($AR$57:$AR$76=Y424)*($AS$57:$AS$76=Z424), INDEX($AT$57:$BJ$76,,_xlfn.XMATCH(E424,$AT$56:$BJ$56)))),"")</f>
        <v/>
      </c>
      <c r="AC424" s="208" t="str">
        <f t="shared" si="135"/>
        <v/>
      </c>
      <c r="AD424" s="397" t="str">
        <f t="shared" si="136"/>
        <v/>
      </c>
      <c r="AE424" s="610" t="str">
        <f t="shared" si="137"/>
        <v/>
      </c>
      <c r="AF424" s="610" t="str">
        <f t="shared" si="138"/>
        <v/>
      </c>
      <c r="AG424" s="610" t="str">
        <f t="shared" si="139"/>
        <v/>
      </c>
      <c r="AH424" s="608" t="str">
        <f t="shared" si="140"/>
        <v/>
      </c>
      <c r="AI424" s="610" t="str">
        <f t="shared" si="141"/>
        <v/>
      </c>
    </row>
    <row r="425" spans="2:35" x14ac:dyDescent="0.25">
      <c r="B425" s="209">
        <v>392</v>
      </c>
      <c r="C425" s="480"/>
      <c r="D425" s="480"/>
      <c r="E425" s="481"/>
      <c r="F425" s="480"/>
      <c r="G425" s="480"/>
      <c r="H425" s="607" t="str">
        <f t="shared" si="126"/>
        <v/>
      </c>
      <c r="I425" s="607" t="str">
        <f t="shared" si="127"/>
        <v/>
      </c>
      <c r="J425" s="607" t="str">
        <f t="shared" si="128"/>
        <v/>
      </c>
      <c r="K425" s="208" t="str">
        <f t="shared" si="129"/>
        <v/>
      </c>
      <c r="L425" s="208" t="str">
        <f t="shared" si="130"/>
        <v/>
      </c>
      <c r="M425" s="208" t="str">
        <f t="shared" si="142"/>
        <v/>
      </c>
      <c r="N425" s="608" t="str">
        <f>IF($D$3="", "", IFERROR(VLOOKUP(L425,'PIPE INCENTIVE'!$B$4:$E$19,2,FALSE),""))</f>
        <v/>
      </c>
      <c r="O425" s="608" t="str">
        <f t="shared" si="143"/>
        <v/>
      </c>
      <c r="P425" s="208" t="str">
        <f t="shared" si="144"/>
        <v/>
      </c>
      <c r="Q425" s="208" t="str">
        <f t="shared" si="131"/>
        <v/>
      </c>
      <c r="R425" s="609" t="str">
        <f t="shared" si="132"/>
        <v/>
      </c>
      <c r="S425" s="609" t="str">
        <f t="shared" si="133"/>
        <v/>
      </c>
      <c r="T425" s="609" t="str">
        <f t="shared" si="134"/>
        <v/>
      </c>
      <c r="U425" s="609" t="str" cm="1">
        <f t="array" ref="U425">IFERROR(IF($D$3="","",_xlfn.LET(_xlpm.Mixed,AND(COUNTIF($G$34:$G$533,"Heating_Hot_Water")&gt;0,(COUNTIF($G$34:$G$533,"Steam_Low_Pressure") + COUNTIF($G$34:$G$533,"Steam_Medium_Pressure") + COUNTIF($G$34:$G$533,"Steam_High_Pressure"))&gt;0),_xlpm.fluid, G425,_xlpm.fuel, K425,_xlpm.load,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5" s="609" t="str">
        <f t="shared" si="145"/>
        <v/>
      </c>
      <c r="W425" s="482"/>
      <c r="X425" s="397" t="str" cm="1">
        <f t="array" ref="X425">IFERROR(IF($D$3="","", _xlfn.XLOOKUP(1,($AR$36:$AR$53=F425)*($AS$36:$AS$53=G425), INDEX($AT$36:$BJ$53,,_xlfn.XMATCH(E425,$AT$35:$BJ$35)))),"")</f>
        <v/>
      </c>
      <c r="Y425" s="480"/>
      <c r="Z425" s="482"/>
      <c r="AA425" s="607" t="str" cm="1">
        <f t="array" ref="AA425">IFERROR(IF($D$3="", "", _xlfn.LET(_xlpm.dia, E425, _xlpm.thk, Z425, _xlpm.temp, I425,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5" s="397" t="str" cm="1">
        <f t="array" ref="AB425">IFERROR(IF($D$3="", "", _xlfn.XLOOKUP(1,($AR$57:$AR$76=Y425)*($AS$57:$AS$76=Z425), INDEX($AT$57:$BJ$76,,_xlfn.XMATCH(E425,$AT$56:$BJ$56)))),"")</f>
        <v/>
      </c>
      <c r="AC425" s="208" t="str">
        <f t="shared" si="135"/>
        <v/>
      </c>
      <c r="AD425" s="397" t="str">
        <f t="shared" si="136"/>
        <v/>
      </c>
      <c r="AE425" s="610" t="str">
        <f t="shared" si="137"/>
        <v/>
      </c>
      <c r="AF425" s="610" t="str">
        <f t="shared" si="138"/>
        <v/>
      </c>
      <c r="AG425" s="610" t="str">
        <f t="shared" si="139"/>
        <v/>
      </c>
      <c r="AH425" s="608" t="str">
        <f t="shared" si="140"/>
        <v/>
      </c>
      <c r="AI425" s="610" t="str">
        <f t="shared" si="141"/>
        <v/>
      </c>
    </row>
    <row r="426" spans="2:35" x14ac:dyDescent="0.25">
      <c r="B426" s="209">
        <v>393</v>
      </c>
      <c r="C426" s="480"/>
      <c r="D426" s="480"/>
      <c r="E426" s="481"/>
      <c r="F426" s="480"/>
      <c r="G426" s="480"/>
      <c r="H426" s="607" t="str">
        <f t="shared" si="126"/>
        <v/>
      </c>
      <c r="I426" s="607" t="str">
        <f t="shared" si="127"/>
        <v/>
      </c>
      <c r="J426" s="607" t="str">
        <f t="shared" si="128"/>
        <v/>
      </c>
      <c r="K426" s="208" t="str">
        <f t="shared" si="129"/>
        <v/>
      </c>
      <c r="L426" s="208" t="str">
        <f t="shared" si="130"/>
        <v/>
      </c>
      <c r="M426" s="208" t="str">
        <f t="shared" si="142"/>
        <v/>
      </c>
      <c r="N426" s="608" t="str">
        <f>IF($D$3="", "", IFERROR(VLOOKUP(L426,'PIPE INCENTIVE'!$B$4:$E$19,2,FALSE),""))</f>
        <v/>
      </c>
      <c r="O426" s="608" t="str">
        <f t="shared" si="143"/>
        <v/>
      </c>
      <c r="P426" s="208" t="str">
        <f t="shared" si="144"/>
        <v/>
      </c>
      <c r="Q426" s="208" t="str">
        <f t="shared" si="131"/>
        <v/>
      </c>
      <c r="R426" s="609" t="str">
        <f t="shared" si="132"/>
        <v/>
      </c>
      <c r="S426" s="609" t="str">
        <f t="shared" si="133"/>
        <v/>
      </c>
      <c r="T426" s="609" t="str">
        <f t="shared" si="134"/>
        <v/>
      </c>
      <c r="U426" s="609" t="str" cm="1">
        <f t="array" ref="U426">IFERROR(IF($D$3="","",_xlfn.LET(_xlpm.Mixed,AND(COUNTIF($G$34:$G$533,"Heating_Hot_Water")&gt;0,(COUNTIF($G$34:$G$533,"Steam_Low_Pressure") + COUNTIF($G$34:$G$533,"Steam_Medium_Pressure") + COUNTIF($G$34:$G$533,"Steam_High_Pressure"))&gt;0),_xlpm.fluid, G426,_xlpm.fuel, K426,_xlpm.load,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6" s="609" t="str">
        <f t="shared" si="145"/>
        <v/>
      </c>
      <c r="W426" s="482"/>
      <c r="X426" s="397" t="str" cm="1">
        <f t="array" ref="X426">IFERROR(IF($D$3="","", _xlfn.XLOOKUP(1,($AR$36:$AR$53=F426)*($AS$36:$AS$53=G426), INDEX($AT$36:$BJ$53,,_xlfn.XMATCH(E426,$AT$35:$BJ$35)))),"")</f>
        <v/>
      </c>
      <c r="Y426" s="480"/>
      <c r="Z426" s="482"/>
      <c r="AA426" s="607" t="str" cm="1">
        <f t="array" ref="AA426">IFERROR(IF($D$3="", "", _xlfn.LET(_xlpm.dia, E426, _xlpm.thk, Z426, _xlpm.temp, I426,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6" s="397" t="str" cm="1">
        <f t="array" ref="AB426">IFERROR(IF($D$3="", "", _xlfn.XLOOKUP(1,($AR$57:$AR$76=Y426)*($AS$57:$AS$76=Z426), INDEX($AT$57:$BJ$76,,_xlfn.XMATCH(E426,$AT$56:$BJ$56)))),"")</f>
        <v/>
      </c>
      <c r="AC426" s="208" t="str">
        <f t="shared" si="135"/>
        <v/>
      </c>
      <c r="AD426" s="397" t="str">
        <f t="shared" si="136"/>
        <v/>
      </c>
      <c r="AE426" s="610" t="str">
        <f t="shared" si="137"/>
        <v/>
      </c>
      <c r="AF426" s="610" t="str">
        <f t="shared" si="138"/>
        <v/>
      </c>
      <c r="AG426" s="610" t="str">
        <f t="shared" si="139"/>
        <v/>
      </c>
      <c r="AH426" s="608" t="str">
        <f t="shared" si="140"/>
        <v/>
      </c>
      <c r="AI426" s="610" t="str">
        <f t="shared" si="141"/>
        <v/>
      </c>
    </row>
    <row r="427" spans="2:35" x14ac:dyDescent="0.25">
      <c r="B427" s="209">
        <v>394</v>
      </c>
      <c r="C427" s="480"/>
      <c r="D427" s="480"/>
      <c r="E427" s="481"/>
      <c r="F427" s="480"/>
      <c r="G427" s="480"/>
      <c r="H427" s="607" t="str">
        <f t="shared" si="126"/>
        <v/>
      </c>
      <c r="I427" s="607" t="str">
        <f t="shared" si="127"/>
        <v/>
      </c>
      <c r="J427" s="607" t="str">
        <f t="shared" si="128"/>
        <v/>
      </c>
      <c r="K427" s="208" t="str">
        <f t="shared" si="129"/>
        <v/>
      </c>
      <c r="L427" s="208" t="str">
        <f t="shared" si="130"/>
        <v/>
      </c>
      <c r="M427" s="208" t="str">
        <f t="shared" si="142"/>
        <v/>
      </c>
      <c r="N427" s="608" t="str">
        <f>IF($D$3="", "", IFERROR(VLOOKUP(L427,'PIPE INCENTIVE'!$B$4:$E$19,2,FALSE),""))</f>
        <v/>
      </c>
      <c r="O427" s="608" t="str">
        <f t="shared" si="143"/>
        <v/>
      </c>
      <c r="P427" s="208" t="str">
        <f t="shared" si="144"/>
        <v/>
      </c>
      <c r="Q427" s="208" t="str">
        <f t="shared" si="131"/>
        <v/>
      </c>
      <c r="R427" s="609" t="str">
        <f t="shared" si="132"/>
        <v/>
      </c>
      <c r="S427" s="609" t="str">
        <f t="shared" si="133"/>
        <v/>
      </c>
      <c r="T427" s="609" t="str">
        <f t="shared" si="134"/>
        <v/>
      </c>
      <c r="U427" s="609" t="str" cm="1">
        <f t="array" ref="U427">IFERROR(IF($D$3="","",_xlfn.LET(_xlpm.Mixed,AND(COUNTIF($G$34:$G$533,"Heating_Hot_Water")&gt;0,(COUNTIF($G$34:$G$533,"Steam_Low_Pressure") + COUNTIF($G$34:$G$533,"Steam_Medium_Pressure") + COUNTIF($G$34:$G$533,"Steam_High_Pressure"))&gt;0),_xlpm.fluid, G427,_xlpm.fuel, K427,_xlpm.load,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7" s="609" t="str">
        <f t="shared" si="145"/>
        <v/>
      </c>
      <c r="W427" s="482"/>
      <c r="X427" s="397" t="str" cm="1">
        <f t="array" ref="X427">IFERROR(IF($D$3="","", _xlfn.XLOOKUP(1,($AR$36:$AR$53=F427)*($AS$36:$AS$53=G427), INDEX($AT$36:$BJ$53,,_xlfn.XMATCH(E427,$AT$35:$BJ$35)))),"")</f>
        <v/>
      </c>
      <c r="Y427" s="480"/>
      <c r="Z427" s="482"/>
      <c r="AA427" s="607" t="str" cm="1">
        <f t="array" ref="AA427">IFERROR(IF($D$3="", "", _xlfn.LET(_xlpm.dia, E427, _xlpm.thk, Z427, _xlpm.temp, I427,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7" s="397" t="str" cm="1">
        <f t="array" ref="AB427">IFERROR(IF($D$3="", "", _xlfn.XLOOKUP(1,($AR$57:$AR$76=Y427)*($AS$57:$AS$76=Z427), INDEX($AT$57:$BJ$76,,_xlfn.XMATCH(E427,$AT$56:$BJ$56)))),"")</f>
        <v/>
      </c>
      <c r="AC427" s="208" t="str">
        <f t="shared" si="135"/>
        <v/>
      </c>
      <c r="AD427" s="397" t="str">
        <f t="shared" si="136"/>
        <v/>
      </c>
      <c r="AE427" s="610" t="str">
        <f t="shared" si="137"/>
        <v/>
      </c>
      <c r="AF427" s="610" t="str">
        <f t="shared" si="138"/>
        <v/>
      </c>
      <c r="AG427" s="610" t="str">
        <f t="shared" si="139"/>
        <v/>
      </c>
      <c r="AH427" s="608" t="str">
        <f t="shared" si="140"/>
        <v/>
      </c>
      <c r="AI427" s="610" t="str">
        <f t="shared" si="141"/>
        <v/>
      </c>
    </row>
    <row r="428" spans="2:35" x14ac:dyDescent="0.25">
      <c r="B428" s="209">
        <v>395</v>
      </c>
      <c r="C428" s="480"/>
      <c r="D428" s="480"/>
      <c r="E428" s="481"/>
      <c r="F428" s="480"/>
      <c r="G428" s="480"/>
      <c r="H428" s="607" t="str">
        <f t="shared" si="126"/>
        <v/>
      </c>
      <c r="I428" s="607" t="str">
        <f t="shared" si="127"/>
        <v/>
      </c>
      <c r="J428" s="607" t="str">
        <f t="shared" si="128"/>
        <v/>
      </c>
      <c r="K428" s="208" t="str">
        <f t="shared" si="129"/>
        <v/>
      </c>
      <c r="L428" s="208" t="str">
        <f t="shared" si="130"/>
        <v/>
      </c>
      <c r="M428" s="208" t="str">
        <f t="shared" si="142"/>
        <v/>
      </c>
      <c r="N428" s="608" t="str">
        <f>IF($D$3="", "", IFERROR(VLOOKUP(L428,'PIPE INCENTIVE'!$B$4:$E$19,2,FALSE),""))</f>
        <v/>
      </c>
      <c r="O428" s="608" t="str">
        <f t="shared" si="143"/>
        <v/>
      </c>
      <c r="P428" s="208" t="str">
        <f t="shared" si="144"/>
        <v/>
      </c>
      <c r="Q428" s="208" t="str">
        <f t="shared" si="131"/>
        <v/>
      </c>
      <c r="R428" s="609" t="str">
        <f t="shared" si="132"/>
        <v/>
      </c>
      <c r="S428" s="609" t="str">
        <f t="shared" si="133"/>
        <v/>
      </c>
      <c r="T428" s="609" t="str">
        <f t="shared" si="134"/>
        <v/>
      </c>
      <c r="U428" s="609" t="str" cm="1">
        <f t="array" ref="U428">IFERROR(IF($D$3="","",_xlfn.LET(_xlpm.Mixed,AND(COUNTIF($G$34:$G$533,"Heating_Hot_Water")&gt;0,(COUNTIF($G$34:$G$533,"Steam_Low_Pressure") + COUNTIF($G$34:$G$533,"Steam_Medium_Pressure") + COUNTIF($G$34:$G$533,"Steam_High_Pressure"))&gt;0),_xlpm.fluid, G428,_xlpm.fuel, K428,_xlpm.load,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8" s="609" t="str">
        <f t="shared" si="145"/>
        <v/>
      </c>
      <c r="W428" s="482"/>
      <c r="X428" s="397" t="str" cm="1">
        <f t="array" ref="X428">IFERROR(IF($D$3="","", _xlfn.XLOOKUP(1,($AR$36:$AR$53=F428)*($AS$36:$AS$53=G428), INDEX($AT$36:$BJ$53,,_xlfn.XMATCH(E428,$AT$35:$BJ$35)))),"")</f>
        <v/>
      </c>
      <c r="Y428" s="480"/>
      <c r="Z428" s="482"/>
      <c r="AA428" s="607" t="str" cm="1">
        <f t="array" ref="AA428">IFERROR(IF($D$3="", "", _xlfn.LET(_xlpm.dia, E428, _xlpm.thk, Z428, _xlpm.temp, I428,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8" s="397" t="str" cm="1">
        <f t="array" ref="AB428">IFERROR(IF($D$3="", "", _xlfn.XLOOKUP(1,($AR$57:$AR$76=Y428)*($AS$57:$AS$76=Z428), INDEX($AT$57:$BJ$76,,_xlfn.XMATCH(E428,$AT$56:$BJ$56)))),"")</f>
        <v/>
      </c>
      <c r="AC428" s="208" t="str">
        <f t="shared" si="135"/>
        <v/>
      </c>
      <c r="AD428" s="397" t="str">
        <f t="shared" si="136"/>
        <v/>
      </c>
      <c r="AE428" s="610" t="str">
        <f t="shared" si="137"/>
        <v/>
      </c>
      <c r="AF428" s="610" t="str">
        <f t="shared" si="138"/>
        <v/>
      </c>
      <c r="AG428" s="610" t="str">
        <f t="shared" si="139"/>
        <v/>
      </c>
      <c r="AH428" s="608" t="str">
        <f t="shared" si="140"/>
        <v/>
      </c>
      <c r="AI428" s="610" t="str">
        <f t="shared" si="141"/>
        <v/>
      </c>
    </row>
    <row r="429" spans="2:35" x14ac:dyDescent="0.25">
      <c r="B429" s="209">
        <v>396</v>
      </c>
      <c r="C429" s="480"/>
      <c r="D429" s="480"/>
      <c r="E429" s="481"/>
      <c r="F429" s="480"/>
      <c r="G429" s="480"/>
      <c r="H429" s="607" t="str">
        <f t="shared" si="126"/>
        <v/>
      </c>
      <c r="I429" s="607" t="str">
        <f t="shared" si="127"/>
        <v/>
      </c>
      <c r="J429" s="607" t="str">
        <f t="shared" si="128"/>
        <v/>
      </c>
      <c r="K429" s="208" t="str">
        <f t="shared" si="129"/>
        <v/>
      </c>
      <c r="L429" s="208" t="str">
        <f t="shared" si="130"/>
        <v/>
      </c>
      <c r="M429" s="208" t="str">
        <f t="shared" si="142"/>
        <v/>
      </c>
      <c r="N429" s="608" t="str">
        <f>IF($D$3="", "", IFERROR(VLOOKUP(L429,'PIPE INCENTIVE'!$B$4:$E$19,2,FALSE),""))</f>
        <v/>
      </c>
      <c r="O429" s="608" t="str">
        <f t="shared" si="143"/>
        <v/>
      </c>
      <c r="P429" s="208" t="str">
        <f t="shared" si="144"/>
        <v/>
      </c>
      <c r="Q429" s="208" t="str">
        <f t="shared" si="131"/>
        <v/>
      </c>
      <c r="R429" s="609" t="str">
        <f t="shared" si="132"/>
        <v/>
      </c>
      <c r="S429" s="609" t="str">
        <f t="shared" si="133"/>
        <v/>
      </c>
      <c r="T429" s="609" t="str">
        <f t="shared" si="134"/>
        <v/>
      </c>
      <c r="U429" s="609" t="str" cm="1">
        <f t="array" ref="U429">IFERROR(IF($D$3="","",_xlfn.LET(_xlpm.Mixed,AND(COUNTIF($G$34:$G$533,"Heating_Hot_Water")&gt;0,(COUNTIF($G$34:$G$533,"Steam_Low_Pressure") + COUNTIF($G$34:$G$533,"Steam_Medium_Pressure") + COUNTIF($G$34:$G$533,"Steam_High_Pressure"))&gt;0),_xlpm.fluid, G429,_xlpm.fuel, K429,_xlpm.load,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29" s="609" t="str">
        <f t="shared" si="145"/>
        <v/>
      </c>
      <c r="W429" s="482"/>
      <c r="X429" s="397" t="str" cm="1">
        <f t="array" ref="X429">IFERROR(IF($D$3="","", _xlfn.XLOOKUP(1,($AR$36:$AR$53=F429)*($AS$36:$AS$53=G429), INDEX($AT$36:$BJ$53,,_xlfn.XMATCH(E429,$AT$35:$BJ$35)))),"")</f>
        <v/>
      </c>
      <c r="Y429" s="480"/>
      <c r="Z429" s="482"/>
      <c r="AA429" s="607" t="str" cm="1">
        <f t="array" ref="AA429">IFERROR(IF($D$3="", "", _xlfn.LET(_xlpm.dia, E429, _xlpm.thk, Z429, _xlpm.temp, I429,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29" s="397" t="str" cm="1">
        <f t="array" ref="AB429">IFERROR(IF($D$3="", "", _xlfn.XLOOKUP(1,($AR$57:$AR$76=Y429)*($AS$57:$AS$76=Z429), INDEX($AT$57:$BJ$76,,_xlfn.XMATCH(E429,$AT$56:$BJ$56)))),"")</f>
        <v/>
      </c>
      <c r="AC429" s="208" t="str">
        <f t="shared" si="135"/>
        <v/>
      </c>
      <c r="AD429" s="397" t="str">
        <f t="shared" si="136"/>
        <v/>
      </c>
      <c r="AE429" s="610" t="str">
        <f t="shared" si="137"/>
        <v/>
      </c>
      <c r="AF429" s="610" t="str">
        <f t="shared" si="138"/>
        <v/>
      </c>
      <c r="AG429" s="610" t="str">
        <f t="shared" si="139"/>
        <v/>
      </c>
      <c r="AH429" s="608" t="str">
        <f t="shared" si="140"/>
        <v/>
      </c>
      <c r="AI429" s="610" t="str">
        <f t="shared" si="141"/>
        <v/>
      </c>
    </row>
    <row r="430" spans="2:35" x14ac:dyDescent="0.25">
      <c r="B430" s="209">
        <v>397</v>
      </c>
      <c r="C430" s="480"/>
      <c r="D430" s="480"/>
      <c r="E430" s="481"/>
      <c r="F430" s="480"/>
      <c r="G430" s="480"/>
      <c r="H430" s="607" t="str">
        <f t="shared" si="126"/>
        <v/>
      </c>
      <c r="I430" s="607" t="str">
        <f t="shared" si="127"/>
        <v/>
      </c>
      <c r="J430" s="607" t="str">
        <f t="shared" si="128"/>
        <v/>
      </c>
      <c r="K430" s="208" t="str">
        <f t="shared" si="129"/>
        <v/>
      </c>
      <c r="L430" s="208" t="str">
        <f t="shared" si="130"/>
        <v/>
      </c>
      <c r="M430" s="208" t="str">
        <f t="shared" si="142"/>
        <v/>
      </c>
      <c r="N430" s="608" t="str">
        <f>IF($D$3="", "", IFERROR(VLOOKUP(L430,'PIPE INCENTIVE'!$B$4:$E$19,2,FALSE),""))</f>
        <v/>
      </c>
      <c r="O430" s="608" t="str">
        <f t="shared" si="143"/>
        <v/>
      </c>
      <c r="P430" s="208" t="str">
        <f t="shared" si="144"/>
        <v/>
      </c>
      <c r="Q430" s="208" t="str">
        <f t="shared" si="131"/>
        <v/>
      </c>
      <c r="R430" s="609" t="str">
        <f t="shared" si="132"/>
        <v/>
      </c>
      <c r="S430" s="609" t="str">
        <f t="shared" si="133"/>
        <v/>
      </c>
      <c r="T430" s="609" t="str">
        <f t="shared" si="134"/>
        <v/>
      </c>
      <c r="U430" s="609" t="str" cm="1">
        <f t="array" ref="U430">IFERROR(IF($D$3="","",_xlfn.LET(_xlpm.Mixed,AND(COUNTIF($G$34:$G$533,"Heating_Hot_Water")&gt;0,(COUNTIF($G$34:$G$533,"Steam_Low_Pressure") + COUNTIF($G$34:$G$533,"Steam_Medium_Pressure") + COUNTIF($G$34:$G$533,"Steam_High_Pressure"))&gt;0),_xlpm.fluid, G430,_xlpm.fuel, K430,_xlpm.load,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0" s="609" t="str">
        <f t="shared" si="145"/>
        <v/>
      </c>
      <c r="W430" s="482"/>
      <c r="X430" s="397" t="str" cm="1">
        <f t="array" ref="X430">IFERROR(IF($D$3="","", _xlfn.XLOOKUP(1,($AR$36:$AR$53=F430)*($AS$36:$AS$53=G430), INDEX($AT$36:$BJ$53,,_xlfn.XMATCH(E430,$AT$35:$BJ$35)))),"")</f>
        <v/>
      </c>
      <c r="Y430" s="480"/>
      <c r="Z430" s="482"/>
      <c r="AA430" s="607" t="str" cm="1">
        <f t="array" ref="AA430">IFERROR(IF($D$3="", "", _xlfn.LET(_xlpm.dia, E430, _xlpm.thk, Z430, _xlpm.temp, I430,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0" s="397" t="str" cm="1">
        <f t="array" ref="AB430">IFERROR(IF($D$3="", "", _xlfn.XLOOKUP(1,($AR$57:$AR$76=Y430)*($AS$57:$AS$76=Z430), INDEX($AT$57:$BJ$76,,_xlfn.XMATCH(E430,$AT$56:$BJ$56)))),"")</f>
        <v/>
      </c>
      <c r="AC430" s="208" t="str">
        <f t="shared" si="135"/>
        <v/>
      </c>
      <c r="AD430" s="397" t="str">
        <f t="shared" si="136"/>
        <v/>
      </c>
      <c r="AE430" s="610" t="str">
        <f t="shared" si="137"/>
        <v/>
      </c>
      <c r="AF430" s="610" t="str">
        <f t="shared" si="138"/>
        <v/>
      </c>
      <c r="AG430" s="610" t="str">
        <f t="shared" si="139"/>
        <v/>
      </c>
      <c r="AH430" s="608" t="str">
        <f t="shared" si="140"/>
        <v/>
      </c>
      <c r="AI430" s="610" t="str">
        <f t="shared" si="141"/>
        <v/>
      </c>
    </row>
    <row r="431" spans="2:35" x14ac:dyDescent="0.25">
      <c r="B431" s="209">
        <v>398</v>
      </c>
      <c r="C431" s="480"/>
      <c r="D431" s="480"/>
      <c r="E431" s="481"/>
      <c r="F431" s="480"/>
      <c r="G431" s="480"/>
      <c r="H431" s="607" t="str">
        <f t="shared" si="126"/>
        <v/>
      </c>
      <c r="I431" s="607" t="str">
        <f t="shared" si="127"/>
        <v/>
      </c>
      <c r="J431" s="607" t="str">
        <f t="shared" si="128"/>
        <v/>
      </c>
      <c r="K431" s="208" t="str">
        <f t="shared" si="129"/>
        <v/>
      </c>
      <c r="L431" s="208" t="str">
        <f t="shared" si="130"/>
        <v/>
      </c>
      <c r="M431" s="208" t="str">
        <f t="shared" si="142"/>
        <v/>
      </c>
      <c r="N431" s="608" t="str">
        <f>IF($D$3="", "", IFERROR(VLOOKUP(L431,'PIPE INCENTIVE'!$B$4:$E$19,2,FALSE),""))</f>
        <v/>
      </c>
      <c r="O431" s="608" t="str">
        <f t="shared" si="143"/>
        <v/>
      </c>
      <c r="P431" s="208" t="str">
        <f t="shared" si="144"/>
        <v/>
      </c>
      <c r="Q431" s="208" t="str">
        <f t="shared" si="131"/>
        <v/>
      </c>
      <c r="R431" s="609" t="str">
        <f t="shared" si="132"/>
        <v/>
      </c>
      <c r="S431" s="609" t="str">
        <f t="shared" si="133"/>
        <v/>
      </c>
      <c r="T431" s="609" t="str">
        <f t="shared" si="134"/>
        <v/>
      </c>
      <c r="U431" s="609" t="str" cm="1">
        <f t="array" ref="U431">IFERROR(IF($D$3="","",_xlfn.LET(_xlpm.Mixed,AND(COUNTIF($G$34:$G$533,"Heating_Hot_Water")&gt;0,(COUNTIF($G$34:$G$533,"Steam_Low_Pressure") + COUNTIF($G$34:$G$533,"Steam_Medium_Pressure") + COUNTIF($G$34:$G$533,"Steam_High_Pressure"))&gt;0),_xlpm.fluid, G431,_xlpm.fuel, K431,_xlpm.load,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1" s="609" t="str">
        <f t="shared" si="145"/>
        <v/>
      </c>
      <c r="W431" s="482"/>
      <c r="X431" s="397" t="str" cm="1">
        <f t="array" ref="X431">IFERROR(IF($D$3="","", _xlfn.XLOOKUP(1,($AR$36:$AR$53=F431)*($AS$36:$AS$53=G431), INDEX($AT$36:$BJ$53,,_xlfn.XMATCH(E431,$AT$35:$BJ$35)))),"")</f>
        <v/>
      </c>
      <c r="Y431" s="480"/>
      <c r="Z431" s="482"/>
      <c r="AA431" s="607" t="str" cm="1">
        <f t="array" ref="AA431">IFERROR(IF($D$3="", "", _xlfn.LET(_xlpm.dia, E431, _xlpm.thk, Z431, _xlpm.temp, I431,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1" s="397" t="str" cm="1">
        <f t="array" ref="AB431">IFERROR(IF($D$3="", "", _xlfn.XLOOKUP(1,($AR$57:$AR$76=Y431)*($AS$57:$AS$76=Z431), INDEX($AT$57:$BJ$76,,_xlfn.XMATCH(E431,$AT$56:$BJ$56)))),"")</f>
        <v/>
      </c>
      <c r="AC431" s="208" t="str">
        <f t="shared" si="135"/>
        <v/>
      </c>
      <c r="AD431" s="397" t="str">
        <f t="shared" si="136"/>
        <v/>
      </c>
      <c r="AE431" s="610" t="str">
        <f t="shared" si="137"/>
        <v/>
      </c>
      <c r="AF431" s="610" t="str">
        <f t="shared" si="138"/>
        <v/>
      </c>
      <c r="AG431" s="610" t="str">
        <f t="shared" si="139"/>
        <v/>
      </c>
      <c r="AH431" s="608" t="str">
        <f t="shared" si="140"/>
        <v/>
      </c>
      <c r="AI431" s="610" t="str">
        <f t="shared" si="141"/>
        <v/>
      </c>
    </row>
    <row r="432" spans="2:35" x14ac:dyDescent="0.25">
      <c r="B432" s="209">
        <v>399</v>
      </c>
      <c r="C432" s="480"/>
      <c r="D432" s="480"/>
      <c r="E432" s="481"/>
      <c r="F432" s="480"/>
      <c r="G432" s="480"/>
      <c r="H432" s="607" t="str">
        <f t="shared" si="126"/>
        <v/>
      </c>
      <c r="I432" s="607" t="str">
        <f t="shared" si="127"/>
        <v/>
      </c>
      <c r="J432" s="607" t="str">
        <f t="shared" si="128"/>
        <v/>
      </c>
      <c r="K432" s="208" t="str">
        <f t="shared" si="129"/>
        <v/>
      </c>
      <c r="L432" s="208" t="str">
        <f t="shared" si="130"/>
        <v/>
      </c>
      <c r="M432" s="208" t="str">
        <f t="shared" si="142"/>
        <v/>
      </c>
      <c r="N432" s="608" t="str">
        <f>IF($D$3="", "", IFERROR(VLOOKUP(L432,'PIPE INCENTIVE'!$B$4:$E$19,2,FALSE),""))</f>
        <v/>
      </c>
      <c r="O432" s="608" t="str">
        <f t="shared" si="143"/>
        <v/>
      </c>
      <c r="P432" s="208" t="str">
        <f t="shared" si="144"/>
        <v/>
      </c>
      <c r="Q432" s="208" t="str">
        <f t="shared" si="131"/>
        <v/>
      </c>
      <c r="R432" s="609" t="str">
        <f t="shared" si="132"/>
        <v/>
      </c>
      <c r="S432" s="609" t="str">
        <f t="shared" si="133"/>
        <v/>
      </c>
      <c r="T432" s="609" t="str">
        <f t="shared" si="134"/>
        <v/>
      </c>
      <c r="U432" s="609" t="str" cm="1">
        <f t="array" ref="U432">IFERROR(IF($D$3="","",_xlfn.LET(_xlpm.Mixed,AND(COUNTIF($G$34:$G$533,"Heating_Hot_Water")&gt;0,(COUNTIF($G$34:$G$533,"Steam_Low_Pressure") + COUNTIF($G$34:$G$533,"Steam_Medium_Pressure") + COUNTIF($G$34:$G$533,"Steam_High_Pressure"))&gt;0),_xlpm.fluid, G432,_xlpm.fuel, K432,_xlpm.load,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2" s="609" t="str">
        <f t="shared" si="145"/>
        <v/>
      </c>
      <c r="W432" s="482"/>
      <c r="X432" s="397" t="str" cm="1">
        <f t="array" ref="X432">IFERROR(IF($D$3="","", _xlfn.XLOOKUP(1,($AR$36:$AR$53=F432)*($AS$36:$AS$53=G432), INDEX($AT$36:$BJ$53,,_xlfn.XMATCH(E432,$AT$35:$BJ$35)))),"")</f>
        <v/>
      </c>
      <c r="Y432" s="480"/>
      <c r="Z432" s="482"/>
      <c r="AA432" s="607" t="str" cm="1">
        <f t="array" ref="AA432">IFERROR(IF($D$3="", "", _xlfn.LET(_xlpm.dia, E432, _xlpm.thk, Z432, _xlpm.temp, I432,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2" s="397" t="str" cm="1">
        <f t="array" ref="AB432">IFERROR(IF($D$3="", "", _xlfn.XLOOKUP(1,($AR$57:$AR$76=Y432)*($AS$57:$AS$76=Z432), INDEX($AT$57:$BJ$76,,_xlfn.XMATCH(E432,$AT$56:$BJ$56)))),"")</f>
        <v/>
      </c>
      <c r="AC432" s="208" t="str">
        <f t="shared" si="135"/>
        <v/>
      </c>
      <c r="AD432" s="397" t="str">
        <f t="shared" si="136"/>
        <v/>
      </c>
      <c r="AE432" s="610" t="str">
        <f t="shared" si="137"/>
        <v/>
      </c>
      <c r="AF432" s="610" t="str">
        <f t="shared" si="138"/>
        <v/>
      </c>
      <c r="AG432" s="610" t="str">
        <f t="shared" si="139"/>
        <v/>
      </c>
      <c r="AH432" s="608" t="str">
        <f t="shared" si="140"/>
        <v/>
      </c>
      <c r="AI432" s="610" t="str">
        <f t="shared" si="141"/>
        <v/>
      </c>
    </row>
    <row r="433" spans="2:35" x14ac:dyDescent="0.25">
      <c r="B433" s="209">
        <v>400</v>
      </c>
      <c r="C433" s="480"/>
      <c r="D433" s="480"/>
      <c r="E433" s="481"/>
      <c r="F433" s="480"/>
      <c r="G433" s="480"/>
      <c r="H433" s="607" t="str">
        <f t="shared" si="126"/>
        <v/>
      </c>
      <c r="I433" s="607" t="str">
        <f t="shared" si="127"/>
        <v/>
      </c>
      <c r="J433" s="607" t="str">
        <f t="shared" si="128"/>
        <v/>
      </c>
      <c r="K433" s="208" t="str">
        <f t="shared" si="129"/>
        <v/>
      </c>
      <c r="L433" s="208" t="str">
        <f t="shared" si="130"/>
        <v/>
      </c>
      <c r="M433" s="208" t="str">
        <f t="shared" si="142"/>
        <v/>
      </c>
      <c r="N433" s="608" t="str">
        <f>IF($D$3="", "", IFERROR(VLOOKUP(L433,'PIPE INCENTIVE'!$B$4:$E$19,2,FALSE),""))</f>
        <v/>
      </c>
      <c r="O433" s="608" t="str">
        <f t="shared" si="143"/>
        <v/>
      </c>
      <c r="P433" s="208" t="str">
        <f t="shared" si="144"/>
        <v/>
      </c>
      <c r="Q433" s="208" t="str">
        <f t="shared" si="131"/>
        <v/>
      </c>
      <c r="R433" s="609" t="str">
        <f t="shared" si="132"/>
        <v/>
      </c>
      <c r="S433" s="609" t="str">
        <f t="shared" si="133"/>
        <v/>
      </c>
      <c r="T433" s="609" t="str">
        <f t="shared" si="134"/>
        <v/>
      </c>
      <c r="U433" s="609" t="str" cm="1">
        <f t="array" ref="U433">IFERROR(IF($D$3="","",_xlfn.LET(_xlpm.Mixed,AND(COUNTIF($G$34:$G$533,"Heating_Hot_Water")&gt;0,(COUNTIF($G$34:$G$533,"Steam_Low_Pressure") + COUNTIF($G$34:$G$533,"Steam_Medium_Pressure") + COUNTIF($G$34:$G$533,"Steam_High_Pressure"))&gt;0),_xlpm.fluid, G433,_xlpm.fuel, K433,_xlpm.load,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3" s="609" t="str">
        <f t="shared" si="145"/>
        <v/>
      </c>
      <c r="W433" s="482"/>
      <c r="X433" s="397" t="str" cm="1">
        <f t="array" ref="X433">IFERROR(IF($D$3="","", _xlfn.XLOOKUP(1,($AR$36:$AR$53=F433)*($AS$36:$AS$53=G433), INDEX($AT$36:$BJ$53,,_xlfn.XMATCH(E433,$AT$35:$BJ$35)))),"")</f>
        <v/>
      </c>
      <c r="Y433" s="480"/>
      <c r="Z433" s="482"/>
      <c r="AA433" s="607" t="str" cm="1">
        <f t="array" ref="AA433">IFERROR(IF($D$3="", "", _xlfn.LET(_xlpm.dia, E433, _xlpm.thk, Z433, _xlpm.temp, I433,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3" s="397" t="str" cm="1">
        <f t="array" ref="AB433">IFERROR(IF($D$3="", "", _xlfn.XLOOKUP(1,($AR$57:$AR$76=Y433)*($AS$57:$AS$76=Z433), INDEX($AT$57:$BJ$76,,_xlfn.XMATCH(E433,$AT$56:$BJ$56)))),"")</f>
        <v/>
      </c>
      <c r="AC433" s="208" t="str">
        <f t="shared" si="135"/>
        <v/>
      </c>
      <c r="AD433" s="397" t="str">
        <f t="shared" si="136"/>
        <v/>
      </c>
      <c r="AE433" s="610" t="str">
        <f t="shared" si="137"/>
        <v/>
      </c>
      <c r="AF433" s="610" t="str">
        <f t="shared" si="138"/>
        <v/>
      </c>
      <c r="AG433" s="610" t="str">
        <f t="shared" si="139"/>
        <v/>
      </c>
      <c r="AH433" s="608" t="str">
        <f t="shared" si="140"/>
        <v/>
      </c>
      <c r="AI433" s="610" t="str">
        <f t="shared" si="141"/>
        <v/>
      </c>
    </row>
    <row r="434" spans="2:35" x14ac:dyDescent="0.25">
      <c r="B434" s="209">
        <v>401</v>
      </c>
      <c r="C434" s="480"/>
      <c r="D434" s="480"/>
      <c r="E434" s="481"/>
      <c r="F434" s="480"/>
      <c r="G434" s="480"/>
      <c r="H434" s="607" t="str">
        <f t="shared" si="126"/>
        <v/>
      </c>
      <c r="I434" s="607" t="str">
        <f t="shared" si="127"/>
        <v/>
      </c>
      <c r="J434" s="607" t="str">
        <f t="shared" si="128"/>
        <v/>
      </c>
      <c r="K434" s="208" t="str">
        <f t="shared" si="129"/>
        <v/>
      </c>
      <c r="L434" s="208" t="str">
        <f t="shared" si="130"/>
        <v/>
      </c>
      <c r="M434" s="208" t="str">
        <f t="shared" si="142"/>
        <v/>
      </c>
      <c r="N434" s="608" t="str">
        <f>IF($D$3="", "", IFERROR(VLOOKUP(L434,'PIPE INCENTIVE'!$B$4:$E$19,2,FALSE),""))</f>
        <v/>
      </c>
      <c r="O434" s="608" t="str">
        <f t="shared" si="143"/>
        <v/>
      </c>
      <c r="P434" s="208" t="str">
        <f t="shared" si="144"/>
        <v/>
      </c>
      <c r="Q434" s="208" t="str">
        <f t="shared" si="131"/>
        <v/>
      </c>
      <c r="R434" s="609" t="str">
        <f t="shared" si="132"/>
        <v/>
      </c>
      <c r="S434" s="609" t="str">
        <f t="shared" si="133"/>
        <v/>
      </c>
      <c r="T434" s="609" t="str">
        <f t="shared" si="134"/>
        <v/>
      </c>
      <c r="U434" s="609" t="str" cm="1">
        <f t="array" ref="U434">IFERROR(IF($D$3="","",_xlfn.LET(_xlpm.Mixed,AND(COUNTIF($G$34:$G$533,"Heating_Hot_Water")&gt;0,(COUNTIF($G$34:$G$533,"Steam_Low_Pressure") + COUNTIF($G$34:$G$533,"Steam_Medium_Pressure") + COUNTIF($G$34:$G$533,"Steam_High_Pressure"))&gt;0),_xlpm.fluid, G434,_xlpm.fuel, K434,_xlpm.load,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4" s="609" t="str">
        <f t="shared" si="145"/>
        <v/>
      </c>
      <c r="W434" s="482"/>
      <c r="X434" s="397" t="str" cm="1">
        <f t="array" ref="X434">IFERROR(IF($D$3="","", _xlfn.XLOOKUP(1,($AR$36:$AR$53=F434)*($AS$36:$AS$53=G434), INDEX($AT$36:$BJ$53,,_xlfn.XMATCH(E434,$AT$35:$BJ$35)))),"")</f>
        <v/>
      </c>
      <c r="Y434" s="480"/>
      <c r="Z434" s="482"/>
      <c r="AA434" s="607" t="str" cm="1">
        <f t="array" ref="AA434">IFERROR(IF($D$3="", "", _xlfn.LET(_xlpm.dia, E434, _xlpm.thk, Z434, _xlpm.temp, I434,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4" s="397" t="str" cm="1">
        <f t="array" ref="AB434">IFERROR(IF($D$3="", "", _xlfn.XLOOKUP(1,($AR$57:$AR$76=Y434)*($AS$57:$AS$76=Z434), INDEX($AT$57:$BJ$76,,_xlfn.XMATCH(E434,$AT$56:$BJ$56)))),"")</f>
        <v/>
      </c>
      <c r="AC434" s="208" t="str">
        <f t="shared" si="135"/>
        <v/>
      </c>
      <c r="AD434" s="397" t="str">
        <f t="shared" si="136"/>
        <v/>
      </c>
      <c r="AE434" s="610" t="str">
        <f t="shared" si="137"/>
        <v/>
      </c>
      <c r="AF434" s="610" t="str">
        <f t="shared" si="138"/>
        <v/>
      </c>
      <c r="AG434" s="610" t="str">
        <f t="shared" si="139"/>
        <v/>
      </c>
      <c r="AH434" s="608" t="str">
        <f t="shared" si="140"/>
        <v/>
      </c>
      <c r="AI434" s="610" t="str">
        <f t="shared" si="141"/>
        <v/>
      </c>
    </row>
    <row r="435" spans="2:35" x14ac:dyDescent="0.25">
      <c r="B435" s="209">
        <v>402</v>
      </c>
      <c r="C435" s="480"/>
      <c r="D435" s="480"/>
      <c r="E435" s="481"/>
      <c r="F435" s="480"/>
      <c r="G435" s="480"/>
      <c r="H435" s="607" t="str">
        <f t="shared" si="126"/>
        <v/>
      </c>
      <c r="I435" s="607" t="str">
        <f t="shared" si="127"/>
        <v/>
      </c>
      <c r="J435" s="607" t="str">
        <f t="shared" si="128"/>
        <v/>
      </c>
      <c r="K435" s="208" t="str">
        <f t="shared" si="129"/>
        <v/>
      </c>
      <c r="L435" s="208" t="str">
        <f t="shared" si="130"/>
        <v/>
      </c>
      <c r="M435" s="208" t="str">
        <f t="shared" si="142"/>
        <v/>
      </c>
      <c r="N435" s="608" t="str">
        <f>IF($D$3="", "", IFERROR(VLOOKUP(L435,'PIPE INCENTIVE'!$B$4:$E$19,2,FALSE),""))</f>
        <v/>
      </c>
      <c r="O435" s="608" t="str">
        <f t="shared" si="143"/>
        <v/>
      </c>
      <c r="P435" s="208" t="str">
        <f t="shared" si="144"/>
        <v/>
      </c>
      <c r="Q435" s="208" t="str">
        <f t="shared" si="131"/>
        <v/>
      </c>
      <c r="R435" s="609" t="str">
        <f t="shared" si="132"/>
        <v/>
      </c>
      <c r="S435" s="609" t="str">
        <f t="shared" si="133"/>
        <v/>
      </c>
      <c r="T435" s="609" t="str">
        <f t="shared" si="134"/>
        <v/>
      </c>
      <c r="U435" s="609" t="str" cm="1">
        <f t="array" ref="U435">IFERROR(IF($D$3="","",_xlfn.LET(_xlpm.Mixed,AND(COUNTIF($G$34:$G$533,"Heating_Hot_Water")&gt;0,(COUNTIF($G$34:$G$533,"Steam_Low_Pressure") + COUNTIF($G$34:$G$533,"Steam_Medium_Pressure") + COUNTIF($G$34:$G$533,"Steam_High_Pressure"))&gt;0),_xlpm.fluid, G435,_xlpm.fuel, K435,_xlpm.load,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5" s="609" t="str">
        <f t="shared" si="145"/>
        <v/>
      </c>
      <c r="W435" s="482"/>
      <c r="X435" s="397" t="str" cm="1">
        <f t="array" ref="X435">IFERROR(IF($D$3="","", _xlfn.XLOOKUP(1,($AR$36:$AR$53=F435)*($AS$36:$AS$53=G435), INDEX($AT$36:$BJ$53,,_xlfn.XMATCH(E435,$AT$35:$BJ$35)))),"")</f>
        <v/>
      </c>
      <c r="Y435" s="480"/>
      <c r="Z435" s="482"/>
      <c r="AA435" s="607" t="str" cm="1">
        <f t="array" ref="AA435">IFERROR(IF($D$3="", "", _xlfn.LET(_xlpm.dia, E435, _xlpm.thk, Z435, _xlpm.temp, I435,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5" s="397" t="str" cm="1">
        <f t="array" ref="AB435">IFERROR(IF($D$3="", "", _xlfn.XLOOKUP(1,($AR$57:$AR$76=Y435)*($AS$57:$AS$76=Z435), INDEX($AT$57:$BJ$76,,_xlfn.XMATCH(E435,$AT$56:$BJ$56)))),"")</f>
        <v/>
      </c>
      <c r="AC435" s="208" t="str">
        <f t="shared" si="135"/>
        <v/>
      </c>
      <c r="AD435" s="397" t="str">
        <f t="shared" si="136"/>
        <v/>
      </c>
      <c r="AE435" s="610" t="str">
        <f t="shared" si="137"/>
        <v/>
      </c>
      <c r="AF435" s="610" t="str">
        <f t="shared" si="138"/>
        <v/>
      </c>
      <c r="AG435" s="610" t="str">
        <f t="shared" si="139"/>
        <v/>
      </c>
      <c r="AH435" s="608" t="str">
        <f t="shared" si="140"/>
        <v/>
      </c>
      <c r="AI435" s="610" t="str">
        <f t="shared" si="141"/>
        <v/>
      </c>
    </row>
    <row r="436" spans="2:35" x14ac:dyDescent="0.25">
      <c r="B436" s="209">
        <v>403</v>
      </c>
      <c r="C436" s="480"/>
      <c r="D436" s="480"/>
      <c r="E436" s="481"/>
      <c r="F436" s="480"/>
      <c r="G436" s="480"/>
      <c r="H436" s="607" t="str">
        <f t="shared" si="126"/>
        <v/>
      </c>
      <c r="I436" s="607" t="str">
        <f t="shared" si="127"/>
        <v/>
      </c>
      <c r="J436" s="607" t="str">
        <f t="shared" si="128"/>
        <v/>
      </c>
      <c r="K436" s="208" t="str">
        <f t="shared" si="129"/>
        <v/>
      </c>
      <c r="L436" s="208" t="str">
        <f t="shared" si="130"/>
        <v/>
      </c>
      <c r="M436" s="208" t="str">
        <f t="shared" si="142"/>
        <v/>
      </c>
      <c r="N436" s="608" t="str">
        <f>IF($D$3="", "", IFERROR(VLOOKUP(L436,'PIPE INCENTIVE'!$B$4:$E$19,2,FALSE),""))</f>
        <v/>
      </c>
      <c r="O436" s="608" t="str">
        <f t="shared" si="143"/>
        <v/>
      </c>
      <c r="P436" s="208" t="str">
        <f t="shared" si="144"/>
        <v/>
      </c>
      <c r="Q436" s="208" t="str">
        <f t="shared" si="131"/>
        <v/>
      </c>
      <c r="R436" s="609" t="str">
        <f t="shared" si="132"/>
        <v/>
      </c>
      <c r="S436" s="609" t="str">
        <f t="shared" si="133"/>
        <v/>
      </c>
      <c r="T436" s="609" t="str">
        <f t="shared" si="134"/>
        <v/>
      </c>
      <c r="U436" s="609" t="str" cm="1">
        <f t="array" ref="U436">IFERROR(IF($D$3="","",_xlfn.LET(_xlpm.Mixed,AND(COUNTIF($G$34:$G$533,"Heating_Hot_Water")&gt;0,(COUNTIF($G$34:$G$533,"Steam_Low_Pressure") + COUNTIF($G$34:$G$533,"Steam_Medium_Pressure") + COUNTIF($G$34:$G$533,"Steam_High_Pressure"))&gt;0),_xlpm.fluid, G436,_xlpm.fuel, K436,_xlpm.load,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6" s="609" t="str">
        <f t="shared" si="145"/>
        <v/>
      </c>
      <c r="W436" s="482"/>
      <c r="X436" s="397" t="str" cm="1">
        <f t="array" ref="X436">IFERROR(IF($D$3="","", _xlfn.XLOOKUP(1,($AR$36:$AR$53=F436)*($AS$36:$AS$53=G436), INDEX($AT$36:$BJ$53,,_xlfn.XMATCH(E436,$AT$35:$BJ$35)))),"")</f>
        <v/>
      </c>
      <c r="Y436" s="480"/>
      <c r="Z436" s="482"/>
      <c r="AA436" s="607" t="str" cm="1">
        <f t="array" ref="AA436">IFERROR(IF($D$3="", "", _xlfn.LET(_xlpm.dia, E436, _xlpm.thk, Z436, _xlpm.temp, I436,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6" s="397" t="str" cm="1">
        <f t="array" ref="AB436">IFERROR(IF($D$3="", "", _xlfn.XLOOKUP(1,($AR$57:$AR$76=Y436)*($AS$57:$AS$76=Z436), INDEX($AT$57:$BJ$76,,_xlfn.XMATCH(E436,$AT$56:$BJ$56)))),"")</f>
        <v/>
      </c>
      <c r="AC436" s="208" t="str">
        <f t="shared" si="135"/>
        <v/>
      </c>
      <c r="AD436" s="397" t="str">
        <f t="shared" si="136"/>
        <v/>
      </c>
      <c r="AE436" s="610" t="str">
        <f t="shared" si="137"/>
        <v/>
      </c>
      <c r="AF436" s="610" t="str">
        <f t="shared" si="138"/>
        <v/>
      </c>
      <c r="AG436" s="610" t="str">
        <f t="shared" si="139"/>
        <v/>
      </c>
      <c r="AH436" s="608" t="str">
        <f t="shared" si="140"/>
        <v/>
      </c>
      <c r="AI436" s="610" t="str">
        <f t="shared" si="141"/>
        <v/>
      </c>
    </row>
    <row r="437" spans="2:35" x14ac:dyDescent="0.25">
      <c r="B437" s="209">
        <v>404</v>
      </c>
      <c r="C437" s="480"/>
      <c r="D437" s="480"/>
      <c r="E437" s="481"/>
      <c r="F437" s="480"/>
      <c r="G437" s="480"/>
      <c r="H437" s="607" t="str">
        <f t="shared" si="126"/>
        <v/>
      </c>
      <c r="I437" s="607" t="str">
        <f t="shared" si="127"/>
        <v/>
      </c>
      <c r="J437" s="607" t="str">
        <f t="shared" si="128"/>
        <v/>
      </c>
      <c r="K437" s="208" t="str">
        <f t="shared" si="129"/>
        <v/>
      </c>
      <c r="L437" s="208" t="str">
        <f t="shared" si="130"/>
        <v/>
      </c>
      <c r="M437" s="208" t="str">
        <f t="shared" si="142"/>
        <v/>
      </c>
      <c r="N437" s="608" t="str">
        <f>IF($D$3="", "", IFERROR(VLOOKUP(L437,'PIPE INCENTIVE'!$B$4:$E$19,2,FALSE),""))</f>
        <v/>
      </c>
      <c r="O437" s="608" t="str">
        <f t="shared" si="143"/>
        <v/>
      </c>
      <c r="P437" s="208" t="str">
        <f t="shared" si="144"/>
        <v/>
      </c>
      <c r="Q437" s="208" t="str">
        <f t="shared" si="131"/>
        <v/>
      </c>
      <c r="R437" s="609" t="str">
        <f t="shared" si="132"/>
        <v/>
      </c>
      <c r="S437" s="609" t="str">
        <f t="shared" si="133"/>
        <v/>
      </c>
      <c r="T437" s="609" t="str">
        <f t="shared" si="134"/>
        <v/>
      </c>
      <c r="U437" s="609" t="str" cm="1">
        <f t="array" ref="U437">IFERROR(IF($D$3="","",_xlfn.LET(_xlpm.Mixed,AND(COUNTIF($G$34:$G$533,"Heating_Hot_Water")&gt;0,(COUNTIF($G$34:$G$533,"Steam_Low_Pressure") + COUNTIF($G$34:$G$533,"Steam_Medium_Pressure") + COUNTIF($G$34:$G$533,"Steam_High_Pressure"))&gt;0),_xlpm.fluid, G437,_xlpm.fuel, K437,_xlpm.load,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7" s="609" t="str">
        <f t="shared" si="145"/>
        <v/>
      </c>
      <c r="W437" s="482"/>
      <c r="X437" s="397" t="str" cm="1">
        <f t="array" ref="X437">IFERROR(IF($D$3="","", _xlfn.XLOOKUP(1,($AR$36:$AR$53=F437)*($AS$36:$AS$53=G437), INDEX($AT$36:$BJ$53,,_xlfn.XMATCH(E437,$AT$35:$BJ$35)))),"")</f>
        <v/>
      </c>
      <c r="Y437" s="480"/>
      <c r="Z437" s="482"/>
      <c r="AA437" s="607" t="str" cm="1">
        <f t="array" ref="AA437">IFERROR(IF($D$3="", "", _xlfn.LET(_xlpm.dia, E437, _xlpm.thk, Z437, _xlpm.temp, I437,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7" s="397" t="str" cm="1">
        <f t="array" ref="AB437">IFERROR(IF($D$3="", "", _xlfn.XLOOKUP(1,($AR$57:$AR$76=Y437)*($AS$57:$AS$76=Z437), INDEX($AT$57:$BJ$76,,_xlfn.XMATCH(E437,$AT$56:$BJ$56)))),"")</f>
        <v/>
      </c>
      <c r="AC437" s="208" t="str">
        <f t="shared" si="135"/>
        <v/>
      </c>
      <c r="AD437" s="397" t="str">
        <f t="shared" si="136"/>
        <v/>
      </c>
      <c r="AE437" s="610" t="str">
        <f t="shared" si="137"/>
        <v/>
      </c>
      <c r="AF437" s="610" t="str">
        <f t="shared" si="138"/>
        <v/>
      </c>
      <c r="AG437" s="610" t="str">
        <f t="shared" si="139"/>
        <v/>
      </c>
      <c r="AH437" s="608" t="str">
        <f t="shared" si="140"/>
        <v/>
      </c>
      <c r="AI437" s="610" t="str">
        <f t="shared" si="141"/>
        <v/>
      </c>
    </row>
    <row r="438" spans="2:35" x14ac:dyDescent="0.25">
      <c r="B438" s="209">
        <v>405</v>
      </c>
      <c r="C438" s="480"/>
      <c r="D438" s="480"/>
      <c r="E438" s="481"/>
      <c r="F438" s="480"/>
      <c r="G438" s="480"/>
      <c r="H438" s="607" t="str">
        <f t="shared" si="126"/>
        <v/>
      </c>
      <c r="I438" s="607" t="str">
        <f t="shared" si="127"/>
        <v/>
      </c>
      <c r="J438" s="607" t="str">
        <f t="shared" si="128"/>
        <v/>
      </c>
      <c r="K438" s="208" t="str">
        <f t="shared" si="129"/>
        <v/>
      </c>
      <c r="L438" s="208" t="str">
        <f t="shared" si="130"/>
        <v/>
      </c>
      <c r="M438" s="208" t="str">
        <f t="shared" si="142"/>
        <v/>
      </c>
      <c r="N438" s="608" t="str">
        <f>IF($D$3="", "", IFERROR(VLOOKUP(L438,'PIPE INCENTIVE'!$B$4:$E$19,2,FALSE),""))</f>
        <v/>
      </c>
      <c r="O438" s="608" t="str">
        <f t="shared" si="143"/>
        <v/>
      </c>
      <c r="P438" s="208" t="str">
        <f t="shared" si="144"/>
        <v/>
      </c>
      <c r="Q438" s="208" t="str">
        <f t="shared" si="131"/>
        <v/>
      </c>
      <c r="R438" s="609" t="str">
        <f t="shared" si="132"/>
        <v/>
      </c>
      <c r="S438" s="609" t="str">
        <f t="shared" si="133"/>
        <v/>
      </c>
      <c r="T438" s="609" t="str">
        <f t="shared" si="134"/>
        <v/>
      </c>
      <c r="U438" s="609" t="str" cm="1">
        <f t="array" ref="U438">IFERROR(IF($D$3="","",_xlfn.LET(_xlpm.Mixed,AND(COUNTIF($G$34:$G$533,"Heating_Hot_Water")&gt;0,(COUNTIF($G$34:$G$533,"Steam_Low_Pressure") + COUNTIF($G$34:$G$533,"Steam_Medium_Pressure") + COUNTIF($G$34:$G$533,"Steam_High_Pressure"))&gt;0),_xlpm.fluid, G438,_xlpm.fuel, K438,_xlpm.load,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8" s="609" t="str">
        <f t="shared" si="145"/>
        <v/>
      </c>
      <c r="W438" s="482"/>
      <c r="X438" s="397" t="str" cm="1">
        <f t="array" ref="X438">IFERROR(IF($D$3="","", _xlfn.XLOOKUP(1,($AR$36:$AR$53=F438)*($AS$36:$AS$53=G438), INDEX($AT$36:$BJ$53,,_xlfn.XMATCH(E438,$AT$35:$BJ$35)))),"")</f>
        <v/>
      </c>
      <c r="Y438" s="480"/>
      <c r="Z438" s="482"/>
      <c r="AA438" s="607" t="str" cm="1">
        <f t="array" ref="AA438">IFERROR(IF($D$3="", "", _xlfn.LET(_xlpm.dia, E438, _xlpm.thk, Z438, _xlpm.temp, I438,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8" s="397" t="str" cm="1">
        <f t="array" ref="AB438">IFERROR(IF($D$3="", "", _xlfn.XLOOKUP(1,($AR$57:$AR$76=Y438)*($AS$57:$AS$76=Z438), INDEX($AT$57:$BJ$76,,_xlfn.XMATCH(E438,$AT$56:$BJ$56)))),"")</f>
        <v/>
      </c>
      <c r="AC438" s="208" t="str">
        <f t="shared" si="135"/>
        <v/>
      </c>
      <c r="AD438" s="397" t="str">
        <f t="shared" si="136"/>
        <v/>
      </c>
      <c r="AE438" s="610" t="str">
        <f t="shared" si="137"/>
        <v/>
      </c>
      <c r="AF438" s="610" t="str">
        <f t="shared" si="138"/>
        <v/>
      </c>
      <c r="AG438" s="610" t="str">
        <f t="shared" si="139"/>
        <v/>
      </c>
      <c r="AH438" s="608" t="str">
        <f t="shared" si="140"/>
        <v/>
      </c>
      <c r="AI438" s="610" t="str">
        <f t="shared" si="141"/>
        <v/>
      </c>
    </row>
    <row r="439" spans="2:35" x14ac:dyDescent="0.25">
      <c r="B439" s="209">
        <v>406</v>
      </c>
      <c r="C439" s="480"/>
      <c r="D439" s="480"/>
      <c r="E439" s="481"/>
      <c r="F439" s="480"/>
      <c r="G439" s="480"/>
      <c r="H439" s="607" t="str">
        <f t="shared" si="126"/>
        <v/>
      </c>
      <c r="I439" s="607" t="str">
        <f t="shared" si="127"/>
        <v/>
      </c>
      <c r="J439" s="607" t="str">
        <f t="shared" si="128"/>
        <v/>
      </c>
      <c r="K439" s="208" t="str">
        <f t="shared" si="129"/>
        <v/>
      </c>
      <c r="L439" s="208" t="str">
        <f t="shared" si="130"/>
        <v/>
      </c>
      <c r="M439" s="208" t="str">
        <f t="shared" si="142"/>
        <v/>
      </c>
      <c r="N439" s="608" t="str">
        <f>IF($D$3="", "", IFERROR(VLOOKUP(L439,'PIPE INCENTIVE'!$B$4:$E$19,2,FALSE),""))</f>
        <v/>
      </c>
      <c r="O439" s="608" t="str">
        <f t="shared" si="143"/>
        <v/>
      </c>
      <c r="P439" s="208" t="str">
        <f t="shared" si="144"/>
        <v/>
      </c>
      <c r="Q439" s="208" t="str">
        <f t="shared" si="131"/>
        <v/>
      </c>
      <c r="R439" s="609" t="str">
        <f t="shared" si="132"/>
        <v/>
      </c>
      <c r="S439" s="609" t="str">
        <f t="shared" si="133"/>
        <v/>
      </c>
      <c r="T439" s="609" t="str">
        <f t="shared" si="134"/>
        <v/>
      </c>
      <c r="U439" s="609" t="str" cm="1">
        <f t="array" ref="U439">IFERROR(IF($D$3="","",_xlfn.LET(_xlpm.Mixed,AND(COUNTIF($G$34:$G$533,"Heating_Hot_Water")&gt;0,(COUNTIF($G$34:$G$533,"Steam_Low_Pressure") + COUNTIF($G$34:$G$533,"Steam_Medium_Pressure") + COUNTIF($G$34:$G$533,"Steam_High_Pressure"))&gt;0),_xlpm.fluid, G439,_xlpm.fuel, K439,_xlpm.load,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39" s="609" t="str">
        <f t="shared" si="145"/>
        <v/>
      </c>
      <c r="W439" s="482"/>
      <c r="X439" s="397" t="str" cm="1">
        <f t="array" ref="X439">IFERROR(IF($D$3="","", _xlfn.XLOOKUP(1,($AR$36:$AR$53=F439)*($AS$36:$AS$53=G439), INDEX($AT$36:$BJ$53,,_xlfn.XMATCH(E439,$AT$35:$BJ$35)))),"")</f>
        <v/>
      </c>
      <c r="Y439" s="480"/>
      <c r="Z439" s="482"/>
      <c r="AA439" s="607" t="str" cm="1">
        <f t="array" ref="AA439">IFERROR(IF($D$3="", "", _xlfn.LET(_xlpm.dia, E439, _xlpm.thk, Z439, _xlpm.temp, I439,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39" s="397" t="str" cm="1">
        <f t="array" ref="AB439">IFERROR(IF($D$3="", "", _xlfn.XLOOKUP(1,($AR$57:$AR$76=Y439)*($AS$57:$AS$76=Z439), INDEX($AT$57:$BJ$76,,_xlfn.XMATCH(E439,$AT$56:$BJ$56)))),"")</f>
        <v/>
      </c>
      <c r="AC439" s="208" t="str">
        <f t="shared" si="135"/>
        <v/>
      </c>
      <c r="AD439" s="397" t="str">
        <f t="shared" si="136"/>
        <v/>
      </c>
      <c r="AE439" s="610" t="str">
        <f t="shared" si="137"/>
        <v/>
      </c>
      <c r="AF439" s="610" t="str">
        <f t="shared" si="138"/>
        <v/>
      </c>
      <c r="AG439" s="610" t="str">
        <f t="shared" si="139"/>
        <v/>
      </c>
      <c r="AH439" s="608" t="str">
        <f t="shared" si="140"/>
        <v/>
      </c>
      <c r="AI439" s="610" t="str">
        <f t="shared" si="141"/>
        <v/>
      </c>
    </row>
    <row r="440" spans="2:35" x14ac:dyDescent="0.25">
      <c r="B440" s="209">
        <v>407</v>
      </c>
      <c r="C440" s="480"/>
      <c r="D440" s="480"/>
      <c r="E440" s="481"/>
      <c r="F440" s="480"/>
      <c r="G440" s="480"/>
      <c r="H440" s="607" t="str">
        <f t="shared" si="126"/>
        <v/>
      </c>
      <c r="I440" s="607" t="str">
        <f t="shared" si="127"/>
        <v/>
      </c>
      <c r="J440" s="607" t="str">
        <f t="shared" si="128"/>
        <v/>
      </c>
      <c r="K440" s="208" t="str">
        <f t="shared" si="129"/>
        <v/>
      </c>
      <c r="L440" s="208" t="str">
        <f t="shared" si="130"/>
        <v/>
      </c>
      <c r="M440" s="208" t="str">
        <f t="shared" si="142"/>
        <v/>
      </c>
      <c r="N440" s="608" t="str">
        <f>IF($D$3="", "", IFERROR(VLOOKUP(L440,'PIPE INCENTIVE'!$B$4:$E$19,2,FALSE),""))</f>
        <v/>
      </c>
      <c r="O440" s="608" t="str">
        <f t="shared" si="143"/>
        <v/>
      </c>
      <c r="P440" s="208" t="str">
        <f t="shared" si="144"/>
        <v/>
      </c>
      <c r="Q440" s="208" t="str">
        <f t="shared" si="131"/>
        <v/>
      </c>
      <c r="R440" s="609" t="str">
        <f t="shared" si="132"/>
        <v/>
      </c>
      <c r="S440" s="609" t="str">
        <f t="shared" si="133"/>
        <v/>
      </c>
      <c r="T440" s="609" t="str">
        <f t="shared" si="134"/>
        <v/>
      </c>
      <c r="U440" s="609" t="str" cm="1">
        <f t="array" ref="U440">IFERROR(IF($D$3="","",_xlfn.LET(_xlpm.Mixed,AND(COUNTIF($G$34:$G$533,"Heating_Hot_Water")&gt;0,(COUNTIF($G$34:$G$533,"Steam_Low_Pressure") + COUNTIF($G$34:$G$533,"Steam_Medium_Pressure") + COUNTIF($G$34:$G$533,"Steam_High_Pressure"))&gt;0),_xlpm.fluid, G440,_xlpm.fuel, K440,_xlpm.load,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0" s="609" t="str">
        <f t="shared" si="145"/>
        <v/>
      </c>
      <c r="W440" s="482"/>
      <c r="X440" s="397" t="str" cm="1">
        <f t="array" ref="X440">IFERROR(IF($D$3="","", _xlfn.XLOOKUP(1,($AR$36:$AR$53=F440)*($AS$36:$AS$53=G440), INDEX($AT$36:$BJ$53,,_xlfn.XMATCH(E440,$AT$35:$BJ$35)))),"")</f>
        <v/>
      </c>
      <c r="Y440" s="480"/>
      <c r="Z440" s="482"/>
      <c r="AA440" s="607" t="str" cm="1">
        <f t="array" ref="AA440">IFERROR(IF($D$3="", "", _xlfn.LET(_xlpm.dia, E440, _xlpm.thk, Z440, _xlpm.temp, I440,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0" s="397" t="str" cm="1">
        <f t="array" ref="AB440">IFERROR(IF($D$3="", "", _xlfn.XLOOKUP(1,($AR$57:$AR$76=Y440)*($AS$57:$AS$76=Z440), INDEX($AT$57:$BJ$76,,_xlfn.XMATCH(E440,$AT$56:$BJ$56)))),"")</f>
        <v/>
      </c>
      <c r="AC440" s="208" t="str">
        <f t="shared" si="135"/>
        <v/>
      </c>
      <c r="AD440" s="397" t="str">
        <f t="shared" si="136"/>
        <v/>
      </c>
      <c r="AE440" s="610" t="str">
        <f t="shared" si="137"/>
        <v/>
      </c>
      <c r="AF440" s="610" t="str">
        <f t="shared" si="138"/>
        <v/>
      </c>
      <c r="AG440" s="610" t="str">
        <f t="shared" si="139"/>
        <v/>
      </c>
      <c r="AH440" s="608" t="str">
        <f t="shared" si="140"/>
        <v/>
      </c>
      <c r="AI440" s="610" t="str">
        <f t="shared" si="141"/>
        <v/>
      </c>
    </row>
    <row r="441" spans="2:35" x14ac:dyDescent="0.25">
      <c r="B441" s="209">
        <v>408</v>
      </c>
      <c r="C441" s="480"/>
      <c r="D441" s="480"/>
      <c r="E441" s="481"/>
      <c r="F441" s="480"/>
      <c r="G441" s="480"/>
      <c r="H441" s="607" t="str">
        <f t="shared" si="126"/>
        <v/>
      </c>
      <c r="I441" s="607" t="str">
        <f t="shared" si="127"/>
        <v/>
      </c>
      <c r="J441" s="607" t="str">
        <f t="shared" si="128"/>
        <v/>
      </c>
      <c r="K441" s="208" t="str">
        <f t="shared" si="129"/>
        <v/>
      </c>
      <c r="L441" s="208" t="str">
        <f t="shared" si="130"/>
        <v/>
      </c>
      <c r="M441" s="208" t="str">
        <f t="shared" si="142"/>
        <v/>
      </c>
      <c r="N441" s="608" t="str">
        <f>IF($D$3="", "", IFERROR(VLOOKUP(L441,'PIPE INCENTIVE'!$B$4:$E$19,2,FALSE),""))</f>
        <v/>
      </c>
      <c r="O441" s="608" t="str">
        <f t="shared" si="143"/>
        <v/>
      </c>
      <c r="P441" s="208" t="str">
        <f t="shared" si="144"/>
        <v/>
      </c>
      <c r="Q441" s="208" t="str">
        <f t="shared" si="131"/>
        <v/>
      </c>
      <c r="R441" s="609" t="str">
        <f t="shared" si="132"/>
        <v/>
      </c>
      <c r="S441" s="609" t="str">
        <f t="shared" si="133"/>
        <v/>
      </c>
      <c r="T441" s="609" t="str">
        <f t="shared" si="134"/>
        <v/>
      </c>
      <c r="U441" s="609" t="str" cm="1">
        <f t="array" ref="U441">IFERROR(IF($D$3="","",_xlfn.LET(_xlpm.Mixed,AND(COUNTIF($G$34:$G$533,"Heating_Hot_Water")&gt;0,(COUNTIF($G$34:$G$533,"Steam_Low_Pressure") + COUNTIF($G$34:$G$533,"Steam_Medium_Pressure") + COUNTIF($G$34:$G$533,"Steam_High_Pressure"))&gt;0),_xlpm.fluid, G441,_xlpm.fuel, K441,_xlpm.load,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1" s="609" t="str">
        <f t="shared" si="145"/>
        <v/>
      </c>
      <c r="W441" s="482"/>
      <c r="X441" s="397" t="str" cm="1">
        <f t="array" ref="X441">IFERROR(IF($D$3="","", _xlfn.XLOOKUP(1,($AR$36:$AR$53=F441)*($AS$36:$AS$53=G441), INDEX($AT$36:$BJ$53,,_xlfn.XMATCH(E441,$AT$35:$BJ$35)))),"")</f>
        <v/>
      </c>
      <c r="Y441" s="480"/>
      <c r="Z441" s="482"/>
      <c r="AA441" s="607" t="str" cm="1">
        <f t="array" ref="AA441">IFERROR(IF($D$3="", "", _xlfn.LET(_xlpm.dia, E441, _xlpm.thk, Z441, _xlpm.temp, I441,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1" s="397" t="str" cm="1">
        <f t="array" ref="AB441">IFERROR(IF($D$3="", "", _xlfn.XLOOKUP(1,($AR$57:$AR$76=Y441)*($AS$57:$AS$76=Z441), INDEX($AT$57:$BJ$76,,_xlfn.XMATCH(E441,$AT$56:$BJ$56)))),"")</f>
        <v/>
      </c>
      <c r="AC441" s="208" t="str">
        <f t="shared" si="135"/>
        <v/>
      </c>
      <c r="AD441" s="397" t="str">
        <f t="shared" si="136"/>
        <v/>
      </c>
      <c r="AE441" s="610" t="str">
        <f t="shared" si="137"/>
        <v/>
      </c>
      <c r="AF441" s="610" t="str">
        <f t="shared" si="138"/>
        <v/>
      </c>
      <c r="AG441" s="610" t="str">
        <f t="shared" si="139"/>
        <v/>
      </c>
      <c r="AH441" s="608" t="str">
        <f t="shared" si="140"/>
        <v/>
      </c>
      <c r="AI441" s="610" t="str">
        <f t="shared" si="141"/>
        <v/>
      </c>
    </row>
    <row r="442" spans="2:35" x14ac:dyDescent="0.25">
      <c r="B442" s="209">
        <v>409</v>
      </c>
      <c r="C442" s="480"/>
      <c r="D442" s="480"/>
      <c r="E442" s="481"/>
      <c r="F442" s="480"/>
      <c r="G442" s="480"/>
      <c r="H442" s="607" t="str">
        <f t="shared" si="126"/>
        <v/>
      </c>
      <c r="I442" s="607" t="str">
        <f t="shared" si="127"/>
        <v/>
      </c>
      <c r="J442" s="607" t="str">
        <f t="shared" si="128"/>
        <v/>
      </c>
      <c r="K442" s="208" t="str">
        <f t="shared" si="129"/>
        <v/>
      </c>
      <c r="L442" s="208" t="str">
        <f t="shared" si="130"/>
        <v/>
      </c>
      <c r="M442" s="208" t="str">
        <f t="shared" si="142"/>
        <v/>
      </c>
      <c r="N442" s="608" t="str">
        <f>IF($D$3="", "", IFERROR(VLOOKUP(L442,'PIPE INCENTIVE'!$B$4:$E$19,2,FALSE),""))</f>
        <v/>
      </c>
      <c r="O442" s="608" t="str">
        <f t="shared" si="143"/>
        <v/>
      </c>
      <c r="P442" s="208" t="str">
        <f t="shared" si="144"/>
        <v/>
      </c>
      <c r="Q442" s="208" t="str">
        <f t="shared" si="131"/>
        <v/>
      </c>
      <c r="R442" s="609" t="str">
        <f t="shared" si="132"/>
        <v/>
      </c>
      <c r="S442" s="609" t="str">
        <f t="shared" si="133"/>
        <v/>
      </c>
      <c r="T442" s="609" t="str">
        <f t="shared" si="134"/>
        <v/>
      </c>
      <c r="U442" s="609" t="str" cm="1">
        <f t="array" ref="U442">IFERROR(IF($D$3="","",_xlfn.LET(_xlpm.Mixed,AND(COUNTIF($G$34:$G$533,"Heating_Hot_Water")&gt;0,(COUNTIF($G$34:$G$533,"Steam_Low_Pressure") + COUNTIF($G$34:$G$533,"Steam_Medium_Pressure") + COUNTIF($G$34:$G$533,"Steam_High_Pressure"))&gt;0),_xlpm.fluid, G442,_xlpm.fuel, K442,_xlpm.load,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2" s="609" t="str">
        <f t="shared" si="145"/>
        <v/>
      </c>
      <c r="W442" s="482"/>
      <c r="X442" s="397" t="str" cm="1">
        <f t="array" ref="X442">IFERROR(IF($D$3="","", _xlfn.XLOOKUP(1,($AR$36:$AR$53=F442)*($AS$36:$AS$53=G442), INDEX($AT$36:$BJ$53,,_xlfn.XMATCH(E442,$AT$35:$BJ$35)))),"")</f>
        <v/>
      </c>
      <c r="Y442" s="480"/>
      <c r="Z442" s="482"/>
      <c r="AA442" s="607" t="str" cm="1">
        <f t="array" ref="AA442">IFERROR(IF($D$3="", "", _xlfn.LET(_xlpm.dia, E442, _xlpm.thk, Z442, _xlpm.temp, I442,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2" s="397" t="str" cm="1">
        <f t="array" ref="AB442">IFERROR(IF($D$3="", "", _xlfn.XLOOKUP(1,($AR$57:$AR$76=Y442)*($AS$57:$AS$76=Z442), INDEX($AT$57:$BJ$76,,_xlfn.XMATCH(E442,$AT$56:$BJ$56)))),"")</f>
        <v/>
      </c>
      <c r="AC442" s="208" t="str">
        <f t="shared" si="135"/>
        <v/>
      </c>
      <c r="AD442" s="397" t="str">
        <f t="shared" si="136"/>
        <v/>
      </c>
      <c r="AE442" s="610" t="str">
        <f t="shared" si="137"/>
        <v/>
      </c>
      <c r="AF442" s="610" t="str">
        <f t="shared" si="138"/>
        <v/>
      </c>
      <c r="AG442" s="610" t="str">
        <f t="shared" si="139"/>
        <v/>
      </c>
      <c r="AH442" s="608" t="str">
        <f t="shared" si="140"/>
        <v/>
      </c>
      <c r="AI442" s="610" t="str">
        <f t="shared" si="141"/>
        <v/>
      </c>
    </row>
    <row r="443" spans="2:35" x14ac:dyDescent="0.25">
      <c r="B443" s="209">
        <v>410</v>
      </c>
      <c r="C443" s="480"/>
      <c r="D443" s="480"/>
      <c r="E443" s="481"/>
      <c r="F443" s="480"/>
      <c r="G443" s="480"/>
      <c r="H443" s="607" t="str">
        <f t="shared" si="126"/>
        <v/>
      </c>
      <c r="I443" s="607" t="str">
        <f t="shared" si="127"/>
        <v/>
      </c>
      <c r="J443" s="607" t="str">
        <f t="shared" si="128"/>
        <v/>
      </c>
      <c r="K443" s="208" t="str">
        <f t="shared" si="129"/>
        <v/>
      </c>
      <c r="L443" s="208" t="str">
        <f t="shared" si="130"/>
        <v/>
      </c>
      <c r="M443" s="208" t="str">
        <f t="shared" si="142"/>
        <v/>
      </c>
      <c r="N443" s="608" t="str">
        <f>IF($D$3="", "", IFERROR(VLOOKUP(L443,'PIPE INCENTIVE'!$B$4:$E$19,2,FALSE),""))</f>
        <v/>
      </c>
      <c r="O443" s="608" t="str">
        <f t="shared" si="143"/>
        <v/>
      </c>
      <c r="P443" s="208" t="str">
        <f t="shared" si="144"/>
        <v/>
      </c>
      <c r="Q443" s="208" t="str">
        <f t="shared" si="131"/>
        <v/>
      </c>
      <c r="R443" s="609" t="str">
        <f t="shared" si="132"/>
        <v/>
      </c>
      <c r="S443" s="609" t="str">
        <f t="shared" si="133"/>
        <v/>
      </c>
      <c r="T443" s="609" t="str">
        <f t="shared" si="134"/>
        <v/>
      </c>
      <c r="U443" s="609" t="str" cm="1">
        <f t="array" ref="U443">IFERROR(IF($D$3="","",_xlfn.LET(_xlpm.Mixed,AND(COUNTIF($G$34:$G$533,"Heating_Hot_Water")&gt;0,(COUNTIF($G$34:$G$533,"Steam_Low_Pressure") + COUNTIF($G$34:$G$533,"Steam_Medium_Pressure") + COUNTIF($G$34:$G$533,"Steam_High_Pressure"))&gt;0),_xlpm.fluid, G443,_xlpm.fuel, K443,_xlpm.load,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3" s="609" t="str">
        <f t="shared" si="145"/>
        <v/>
      </c>
      <c r="W443" s="482"/>
      <c r="X443" s="397" t="str" cm="1">
        <f t="array" ref="X443">IFERROR(IF($D$3="","", _xlfn.XLOOKUP(1,($AR$36:$AR$53=F443)*($AS$36:$AS$53=G443), INDEX($AT$36:$BJ$53,,_xlfn.XMATCH(E443,$AT$35:$BJ$35)))),"")</f>
        <v/>
      </c>
      <c r="Y443" s="480"/>
      <c r="Z443" s="482"/>
      <c r="AA443" s="607" t="str" cm="1">
        <f t="array" ref="AA443">IFERROR(IF($D$3="", "", _xlfn.LET(_xlpm.dia, E443, _xlpm.thk, Z443, _xlpm.temp, I443,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3" s="397" t="str" cm="1">
        <f t="array" ref="AB443">IFERROR(IF($D$3="", "", _xlfn.XLOOKUP(1,($AR$57:$AR$76=Y443)*($AS$57:$AS$76=Z443), INDEX($AT$57:$BJ$76,,_xlfn.XMATCH(E443,$AT$56:$BJ$56)))),"")</f>
        <v/>
      </c>
      <c r="AC443" s="208" t="str">
        <f t="shared" si="135"/>
        <v/>
      </c>
      <c r="AD443" s="397" t="str">
        <f t="shared" si="136"/>
        <v/>
      </c>
      <c r="AE443" s="610" t="str">
        <f t="shared" si="137"/>
        <v/>
      </c>
      <c r="AF443" s="610" t="str">
        <f t="shared" si="138"/>
        <v/>
      </c>
      <c r="AG443" s="610" t="str">
        <f t="shared" si="139"/>
        <v/>
      </c>
      <c r="AH443" s="608" t="str">
        <f t="shared" si="140"/>
        <v/>
      </c>
      <c r="AI443" s="610" t="str">
        <f t="shared" si="141"/>
        <v/>
      </c>
    </row>
    <row r="444" spans="2:35" x14ac:dyDescent="0.25">
      <c r="B444" s="209">
        <v>411</v>
      </c>
      <c r="C444" s="480"/>
      <c r="D444" s="480"/>
      <c r="E444" s="481"/>
      <c r="F444" s="480"/>
      <c r="G444" s="480"/>
      <c r="H444" s="607" t="str">
        <f t="shared" si="126"/>
        <v/>
      </c>
      <c r="I444" s="607" t="str">
        <f t="shared" si="127"/>
        <v/>
      </c>
      <c r="J444" s="607" t="str">
        <f t="shared" si="128"/>
        <v/>
      </c>
      <c r="K444" s="208" t="str">
        <f t="shared" si="129"/>
        <v/>
      </c>
      <c r="L444" s="208" t="str">
        <f t="shared" si="130"/>
        <v/>
      </c>
      <c r="M444" s="208" t="str">
        <f t="shared" si="142"/>
        <v/>
      </c>
      <c r="N444" s="608" t="str">
        <f>IF($D$3="", "", IFERROR(VLOOKUP(L444,'PIPE INCENTIVE'!$B$4:$E$19,2,FALSE),""))</f>
        <v/>
      </c>
      <c r="O444" s="608" t="str">
        <f t="shared" si="143"/>
        <v/>
      </c>
      <c r="P444" s="208" t="str">
        <f t="shared" si="144"/>
        <v/>
      </c>
      <c r="Q444" s="208" t="str">
        <f t="shared" si="131"/>
        <v/>
      </c>
      <c r="R444" s="609" t="str">
        <f t="shared" si="132"/>
        <v/>
      </c>
      <c r="S444" s="609" t="str">
        <f t="shared" si="133"/>
        <v/>
      </c>
      <c r="T444" s="609" t="str">
        <f t="shared" si="134"/>
        <v/>
      </c>
      <c r="U444" s="609" t="str" cm="1">
        <f t="array" ref="U444">IFERROR(IF($D$3="","",_xlfn.LET(_xlpm.Mixed,AND(COUNTIF($G$34:$G$533,"Heating_Hot_Water")&gt;0,(COUNTIF($G$34:$G$533,"Steam_Low_Pressure") + COUNTIF($G$34:$G$533,"Steam_Medium_Pressure") + COUNTIF($G$34:$G$533,"Steam_High_Pressure"))&gt;0),_xlpm.fluid, G444,_xlpm.fuel, K444,_xlpm.load,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4" s="609" t="str">
        <f t="shared" si="145"/>
        <v/>
      </c>
      <c r="W444" s="482"/>
      <c r="X444" s="397" t="str" cm="1">
        <f t="array" ref="X444">IFERROR(IF($D$3="","", _xlfn.XLOOKUP(1,($AR$36:$AR$53=F444)*($AS$36:$AS$53=G444), INDEX($AT$36:$BJ$53,,_xlfn.XMATCH(E444,$AT$35:$BJ$35)))),"")</f>
        <v/>
      </c>
      <c r="Y444" s="480"/>
      <c r="Z444" s="482"/>
      <c r="AA444" s="607" t="str" cm="1">
        <f t="array" ref="AA444">IFERROR(IF($D$3="", "", _xlfn.LET(_xlpm.dia, E444, _xlpm.thk, Z444, _xlpm.temp, I444,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4" s="397" t="str" cm="1">
        <f t="array" ref="AB444">IFERROR(IF($D$3="", "", _xlfn.XLOOKUP(1,($AR$57:$AR$76=Y444)*($AS$57:$AS$76=Z444), INDEX($AT$57:$BJ$76,,_xlfn.XMATCH(E444,$AT$56:$BJ$56)))),"")</f>
        <v/>
      </c>
      <c r="AC444" s="208" t="str">
        <f t="shared" si="135"/>
        <v/>
      </c>
      <c r="AD444" s="397" t="str">
        <f t="shared" si="136"/>
        <v/>
      </c>
      <c r="AE444" s="610" t="str">
        <f t="shared" si="137"/>
        <v/>
      </c>
      <c r="AF444" s="610" t="str">
        <f t="shared" si="138"/>
        <v/>
      </c>
      <c r="AG444" s="610" t="str">
        <f t="shared" si="139"/>
        <v/>
      </c>
      <c r="AH444" s="608" t="str">
        <f t="shared" si="140"/>
        <v/>
      </c>
      <c r="AI444" s="610" t="str">
        <f t="shared" si="141"/>
        <v/>
      </c>
    </row>
    <row r="445" spans="2:35" x14ac:dyDescent="0.25">
      <c r="B445" s="209">
        <v>412</v>
      </c>
      <c r="C445" s="480"/>
      <c r="D445" s="480"/>
      <c r="E445" s="481"/>
      <c r="F445" s="480"/>
      <c r="G445" s="480"/>
      <c r="H445" s="607" t="str">
        <f t="shared" si="126"/>
        <v/>
      </c>
      <c r="I445" s="607" t="str">
        <f t="shared" si="127"/>
        <v/>
      </c>
      <c r="J445" s="607" t="str">
        <f t="shared" si="128"/>
        <v/>
      </c>
      <c r="K445" s="208" t="str">
        <f t="shared" si="129"/>
        <v/>
      </c>
      <c r="L445" s="208" t="str">
        <f t="shared" si="130"/>
        <v/>
      </c>
      <c r="M445" s="208" t="str">
        <f t="shared" si="142"/>
        <v/>
      </c>
      <c r="N445" s="608" t="str">
        <f>IF($D$3="", "", IFERROR(VLOOKUP(L445,'PIPE INCENTIVE'!$B$4:$E$19,2,FALSE),""))</f>
        <v/>
      </c>
      <c r="O445" s="608" t="str">
        <f t="shared" si="143"/>
        <v/>
      </c>
      <c r="P445" s="208" t="str">
        <f t="shared" si="144"/>
        <v/>
      </c>
      <c r="Q445" s="208" t="str">
        <f t="shared" si="131"/>
        <v/>
      </c>
      <c r="R445" s="609" t="str">
        <f t="shared" si="132"/>
        <v/>
      </c>
      <c r="S445" s="609" t="str">
        <f t="shared" si="133"/>
        <v/>
      </c>
      <c r="T445" s="609" t="str">
        <f t="shared" si="134"/>
        <v/>
      </c>
      <c r="U445" s="609" t="str" cm="1">
        <f t="array" ref="U445">IFERROR(IF($D$3="","",_xlfn.LET(_xlpm.Mixed,AND(COUNTIF($G$34:$G$533,"Heating_Hot_Water")&gt;0,(COUNTIF($G$34:$G$533,"Steam_Low_Pressure") + COUNTIF($G$34:$G$533,"Steam_Medium_Pressure") + COUNTIF($G$34:$G$533,"Steam_High_Pressure"))&gt;0),_xlpm.fluid, G445,_xlpm.fuel, K445,_xlpm.load,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5" s="609" t="str">
        <f t="shared" si="145"/>
        <v/>
      </c>
      <c r="W445" s="482"/>
      <c r="X445" s="397" t="str" cm="1">
        <f t="array" ref="X445">IFERROR(IF($D$3="","", _xlfn.XLOOKUP(1,($AR$36:$AR$53=F445)*($AS$36:$AS$53=G445), INDEX($AT$36:$BJ$53,,_xlfn.XMATCH(E445,$AT$35:$BJ$35)))),"")</f>
        <v/>
      </c>
      <c r="Y445" s="480"/>
      <c r="Z445" s="482"/>
      <c r="AA445" s="607" t="str" cm="1">
        <f t="array" ref="AA445">IFERROR(IF($D$3="", "", _xlfn.LET(_xlpm.dia, E445, _xlpm.thk, Z445, _xlpm.temp, I445,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5" s="397" t="str" cm="1">
        <f t="array" ref="AB445">IFERROR(IF($D$3="", "", _xlfn.XLOOKUP(1,($AR$57:$AR$76=Y445)*($AS$57:$AS$76=Z445), INDEX($AT$57:$BJ$76,,_xlfn.XMATCH(E445,$AT$56:$BJ$56)))),"")</f>
        <v/>
      </c>
      <c r="AC445" s="208" t="str">
        <f t="shared" si="135"/>
        <v/>
      </c>
      <c r="AD445" s="397" t="str">
        <f t="shared" si="136"/>
        <v/>
      </c>
      <c r="AE445" s="610" t="str">
        <f t="shared" si="137"/>
        <v/>
      </c>
      <c r="AF445" s="610" t="str">
        <f t="shared" si="138"/>
        <v/>
      </c>
      <c r="AG445" s="610" t="str">
        <f t="shared" si="139"/>
        <v/>
      </c>
      <c r="AH445" s="608" t="str">
        <f t="shared" si="140"/>
        <v/>
      </c>
      <c r="AI445" s="610" t="str">
        <f t="shared" si="141"/>
        <v/>
      </c>
    </row>
    <row r="446" spans="2:35" x14ac:dyDescent="0.25">
      <c r="B446" s="209">
        <v>413</v>
      </c>
      <c r="C446" s="480"/>
      <c r="D446" s="480"/>
      <c r="E446" s="481"/>
      <c r="F446" s="480"/>
      <c r="G446" s="480"/>
      <c r="H446" s="607" t="str">
        <f t="shared" si="126"/>
        <v/>
      </c>
      <c r="I446" s="607" t="str">
        <f t="shared" si="127"/>
        <v/>
      </c>
      <c r="J446" s="607" t="str">
        <f t="shared" si="128"/>
        <v/>
      </c>
      <c r="K446" s="208" t="str">
        <f t="shared" si="129"/>
        <v/>
      </c>
      <c r="L446" s="208" t="str">
        <f t="shared" si="130"/>
        <v/>
      </c>
      <c r="M446" s="208" t="str">
        <f t="shared" si="142"/>
        <v/>
      </c>
      <c r="N446" s="608" t="str">
        <f>IF($D$3="", "", IFERROR(VLOOKUP(L446,'PIPE INCENTIVE'!$B$4:$E$19,2,FALSE),""))</f>
        <v/>
      </c>
      <c r="O446" s="608" t="str">
        <f t="shared" si="143"/>
        <v/>
      </c>
      <c r="P446" s="208" t="str">
        <f t="shared" si="144"/>
        <v/>
      </c>
      <c r="Q446" s="208" t="str">
        <f t="shared" si="131"/>
        <v/>
      </c>
      <c r="R446" s="609" t="str">
        <f t="shared" si="132"/>
        <v/>
      </c>
      <c r="S446" s="609" t="str">
        <f t="shared" si="133"/>
        <v/>
      </c>
      <c r="T446" s="609" t="str">
        <f t="shared" si="134"/>
        <v/>
      </c>
      <c r="U446" s="609" t="str" cm="1">
        <f t="array" ref="U446">IFERROR(IF($D$3="","",_xlfn.LET(_xlpm.Mixed,AND(COUNTIF($G$34:$G$533,"Heating_Hot_Water")&gt;0,(COUNTIF($G$34:$G$533,"Steam_Low_Pressure") + COUNTIF($G$34:$G$533,"Steam_Medium_Pressure") + COUNTIF($G$34:$G$533,"Steam_High_Pressure"))&gt;0),_xlpm.fluid, G446,_xlpm.fuel, K446,_xlpm.load,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6" s="609" t="str">
        <f t="shared" si="145"/>
        <v/>
      </c>
      <c r="W446" s="482"/>
      <c r="X446" s="397" t="str" cm="1">
        <f t="array" ref="X446">IFERROR(IF($D$3="","", _xlfn.XLOOKUP(1,($AR$36:$AR$53=F446)*($AS$36:$AS$53=G446), INDEX($AT$36:$BJ$53,,_xlfn.XMATCH(E446,$AT$35:$BJ$35)))),"")</f>
        <v/>
      </c>
      <c r="Y446" s="480"/>
      <c r="Z446" s="482"/>
      <c r="AA446" s="607" t="str" cm="1">
        <f t="array" ref="AA446">IFERROR(IF($D$3="", "", _xlfn.LET(_xlpm.dia, E446, _xlpm.thk, Z446, _xlpm.temp, I446,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6" s="397" t="str" cm="1">
        <f t="array" ref="AB446">IFERROR(IF($D$3="", "", _xlfn.XLOOKUP(1,($AR$57:$AR$76=Y446)*($AS$57:$AS$76=Z446), INDEX($AT$57:$BJ$76,,_xlfn.XMATCH(E446,$AT$56:$BJ$56)))),"")</f>
        <v/>
      </c>
      <c r="AC446" s="208" t="str">
        <f t="shared" si="135"/>
        <v/>
      </c>
      <c r="AD446" s="397" t="str">
        <f t="shared" si="136"/>
        <v/>
      </c>
      <c r="AE446" s="610" t="str">
        <f t="shared" si="137"/>
        <v/>
      </c>
      <c r="AF446" s="610" t="str">
        <f t="shared" si="138"/>
        <v/>
      </c>
      <c r="AG446" s="610" t="str">
        <f t="shared" si="139"/>
        <v/>
      </c>
      <c r="AH446" s="608" t="str">
        <f t="shared" si="140"/>
        <v/>
      </c>
      <c r="AI446" s="610" t="str">
        <f t="shared" si="141"/>
        <v/>
      </c>
    </row>
    <row r="447" spans="2:35" x14ac:dyDescent="0.25">
      <c r="B447" s="209">
        <v>414</v>
      </c>
      <c r="C447" s="480"/>
      <c r="D447" s="480"/>
      <c r="E447" s="481"/>
      <c r="F447" s="480"/>
      <c r="G447" s="480"/>
      <c r="H447" s="607" t="str">
        <f t="shared" si="126"/>
        <v/>
      </c>
      <c r="I447" s="607" t="str">
        <f t="shared" si="127"/>
        <v/>
      </c>
      <c r="J447" s="607" t="str">
        <f t="shared" si="128"/>
        <v/>
      </c>
      <c r="K447" s="208" t="str">
        <f t="shared" si="129"/>
        <v/>
      </c>
      <c r="L447" s="208" t="str">
        <f t="shared" si="130"/>
        <v/>
      </c>
      <c r="M447" s="208" t="str">
        <f t="shared" si="142"/>
        <v/>
      </c>
      <c r="N447" s="608" t="str">
        <f>IF($D$3="", "", IFERROR(VLOOKUP(L447,'PIPE INCENTIVE'!$B$4:$E$19,2,FALSE),""))</f>
        <v/>
      </c>
      <c r="O447" s="608" t="str">
        <f t="shared" si="143"/>
        <v/>
      </c>
      <c r="P447" s="208" t="str">
        <f t="shared" si="144"/>
        <v/>
      </c>
      <c r="Q447" s="208" t="str">
        <f t="shared" si="131"/>
        <v/>
      </c>
      <c r="R447" s="609" t="str">
        <f t="shared" si="132"/>
        <v/>
      </c>
      <c r="S447" s="609" t="str">
        <f t="shared" si="133"/>
        <v/>
      </c>
      <c r="T447" s="609" t="str">
        <f t="shared" si="134"/>
        <v/>
      </c>
      <c r="U447" s="609" t="str" cm="1">
        <f t="array" ref="U447">IFERROR(IF($D$3="","",_xlfn.LET(_xlpm.Mixed,AND(COUNTIF($G$34:$G$533,"Heating_Hot_Water")&gt;0,(COUNTIF($G$34:$G$533,"Steam_Low_Pressure") + COUNTIF($G$34:$G$533,"Steam_Medium_Pressure") + COUNTIF($G$34:$G$533,"Steam_High_Pressure"))&gt;0),_xlpm.fluid, G447,_xlpm.fuel, K447,_xlpm.load,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7" s="609" t="str">
        <f t="shared" si="145"/>
        <v/>
      </c>
      <c r="W447" s="482"/>
      <c r="X447" s="397" t="str" cm="1">
        <f t="array" ref="X447">IFERROR(IF($D$3="","", _xlfn.XLOOKUP(1,($AR$36:$AR$53=F447)*($AS$36:$AS$53=G447), INDEX($AT$36:$BJ$53,,_xlfn.XMATCH(E447,$AT$35:$BJ$35)))),"")</f>
        <v/>
      </c>
      <c r="Y447" s="480"/>
      <c r="Z447" s="482"/>
      <c r="AA447" s="607" t="str" cm="1">
        <f t="array" ref="AA447">IFERROR(IF($D$3="", "", _xlfn.LET(_xlpm.dia, E447, _xlpm.thk, Z447, _xlpm.temp, I447,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7" s="397" t="str" cm="1">
        <f t="array" ref="AB447">IFERROR(IF($D$3="", "", _xlfn.XLOOKUP(1,($AR$57:$AR$76=Y447)*($AS$57:$AS$76=Z447), INDEX($AT$57:$BJ$76,,_xlfn.XMATCH(E447,$AT$56:$BJ$56)))),"")</f>
        <v/>
      </c>
      <c r="AC447" s="208" t="str">
        <f t="shared" si="135"/>
        <v/>
      </c>
      <c r="AD447" s="397" t="str">
        <f t="shared" si="136"/>
        <v/>
      </c>
      <c r="AE447" s="610" t="str">
        <f t="shared" si="137"/>
        <v/>
      </c>
      <c r="AF447" s="610" t="str">
        <f t="shared" si="138"/>
        <v/>
      </c>
      <c r="AG447" s="610" t="str">
        <f t="shared" si="139"/>
        <v/>
      </c>
      <c r="AH447" s="608" t="str">
        <f t="shared" si="140"/>
        <v/>
      </c>
      <c r="AI447" s="610" t="str">
        <f t="shared" si="141"/>
        <v/>
      </c>
    </row>
    <row r="448" spans="2:35" x14ac:dyDescent="0.25">
      <c r="B448" s="209">
        <v>415</v>
      </c>
      <c r="C448" s="480"/>
      <c r="D448" s="480"/>
      <c r="E448" s="481"/>
      <c r="F448" s="480"/>
      <c r="G448" s="480"/>
      <c r="H448" s="607" t="str">
        <f t="shared" si="126"/>
        <v/>
      </c>
      <c r="I448" s="607" t="str">
        <f t="shared" si="127"/>
        <v/>
      </c>
      <c r="J448" s="607" t="str">
        <f t="shared" si="128"/>
        <v/>
      </c>
      <c r="K448" s="208" t="str">
        <f t="shared" si="129"/>
        <v/>
      </c>
      <c r="L448" s="208" t="str">
        <f t="shared" si="130"/>
        <v/>
      </c>
      <c r="M448" s="208" t="str">
        <f t="shared" si="142"/>
        <v/>
      </c>
      <c r="N448" s="608" t="str">
        <f>IF($D$3="", "", IFERROR(VLOOKUP(L448,'PIPE INCENTIVE'!$B$4:$E$19,2,FALSE),""))</f>
        <v/>
      </c>
      <c r="O448" s="608" t="str">
        <f t="shared" si="143"/>
        <v/>
      </c>
      <c r="P448" s="208" t="str">
        <f t="shared" si="144"/>
        <v/>
      </c>
      <c r="Q448" s="208" t="str">
        <f t="shared" si="131"/>
        <v/>
      </c>
      <c r="R448" s="609" t="str">
        <f t="shared" si="132"/>
        <v/>
      </c>
      <c r="S448" s="609" t="str">
        <f t="shared" si="133"/>
        <v/>
      </c>
      <c r="T448" s="609" t="str">
        <f t="shared" si="134"/>
        <v/>
      </c>
      <c r="U448" s="609" t="str" cm="1">
        <f t="array" ref="U448">IFERROR(IF($D$3="","",_xlfn.LET(_xlpm.Mixed,AND(COUNTIF($G$34:$G$533,"Heating_Hot_Water")&gt;0,(COUNTIF($G$34:$G$533,"Steam_Low_Pressure") + COUNTIF($G$34:$G$533,"Steam_Medium_Pressure") + COUNTIF($G$34:$G$533,"Steam_High_Pressure"))&gt;0),_xlpm.fluid, G448,_xlpm.fuel, K448,_xlpm.load,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8" s="609" t="str">
        <f t="shared" si="145"/>
        <v/>
      </c>
      <c r="W448" s="482"/>
      <c r="X448" s="397" t="str" cm="1">
        <f t="array" ref="X448">IFERROR(IF($D$3="","", _xlfn.XLOOKUP(1,($AR$36:$AR$53=F448)*($AS$36:$AS$53=G448), INDEX($AT$36:$BJ$53,,_xlfn.XMATCH(E448,$AT$35:$BJ$35)))),"")</f>
        <v/>
      </c>
      <c r="Y448" s="480"/>
      <c r="Z448" s="482"/>
      <c r="AA448" s="607" t="str" cm="1">
        <f t="array" ref="AA448">IFERROR(IF($D$3="", "", _xlfn.LET(_xlpm.dia, E448, _xlpm.thk, Z448, _xlpm.temp, I448,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8" s="397" t="str" cm="1">
        <f t="array" ref="AB448">IFERROR(IF($D$3="", "", _xlfn.XLOOKUP(1,($AR$57:$AR$76=Y448)*($AS$57:$AS$76=Z448), INDEX($AT$57:$BJ$76,,_xlfn.XMATCH(E448,$AT$56:$BJ$56)))),"")</f>
        <v/>
      </c>
      <c r="AC448" s="208" t="str">
        <f t="shared" si="135"/>
        <v/>
      </c>
      <c r="AD448" s="397" t="str">
        <f t="shared" si="136"/>
        <v/>
      </c>
      <c r="AE448" s="610" t="str">
        <f t="shared" si="137"/>
        <v/>
      </c>
      <c r="AF448" s="610" t="str">
        <f t="shared" si="138"/>
        <v/>
      </c>
      <c r="AG448" s="610" t="str">
        <f t="shared" si="139"/>
        <v/>
      </c>
      <c r="AH448" s="608" t="str">
        <f t="shared" si="140"/>
        <v/>
      </c>
      <c r="AI448" s="610" t="str">
        <f t="shared" si="141"/>
        <v/>
      </c>
    </row>
    <row r="449" spans="2:35" x14ac:dyDescent="0.25">
      <c r="B449" s="209">
        <v>416</v>
      </c>
      <c r="C449" s="480"/>
      <c r="D449" s="480"/>
      <c r="E449" s="481"/>
      <c r="F449" s="480"/>
      <c r="G449" s="480"/>
      <c r="H449" s="607" t="str">
        <f t="shared" si="126"/>
        <v/>
      </c>
      <c r="I449" s="607" t="str">
        <f t="shared" si="127"/>
        <v/>
      </c>
      <c r="J449" s="607" t="str">
        <f t="shared" si="128"/>
        <v/>
      </c>
      <c r="K449" s="208" t="str">
        <f t="shared" si="129"/>
        <v/>
      </c>
      <c r="L449" s="208" t="str">
        <f t="shared" si="130"/>
        <v/>
      </c>
      <c r="M449" s="208" t="str">
        <f t="shared" si="142"/>
        <v/>
      </c>
      <c r="N449" s="608" t="str">
        <f>IF($D$3="", "", IFERROR(VLOOKUP(L449,'PIPE INCENTIVE'!$B$4:$E$19,2,FALSE),""))</f>
        <v/>
      </c>
      <c r="O449" s="608" t="str">
        <f t="shared" si="143"/>
        <v/>
      </c>
      <c r="P449" s="208" t="str">
        <f t="shared" si="144"/>
        <v/>
      </c>
      <c r="Q449" s="208" t="str">
        <f t="shared" si="131"/>
        <v/>
      </c>
      <c r="R449" s="609" t="str">
        <f t="shared" si="132"/>
        <v/>
      </c>
      <c r="S449" s="609" t="str">
        <f t="shared" si="133"/>
        <v/>
      </c>
      <c r="T449" s="609" t="str">
        <f t="shared" si="134"/>
        <v/>
      </c>
      <c r="U449" s="609" t="str" cm="1">
        <f t="array" ref="U449">IFERROR(IF($D$3="","",_xlfn.LET(_xlpm.Mixed,AND(COUNTIF($G$34:$G$533,"Heating_Hot_Water")&gt;0,(COUNTIF($G$34:$G$533,"Steam_Low_Pressure") + COUNTIF($G$34:$G$533,"Steam_Medium_Pressure") + COUNTIF($G$34:$G$533,"Steam_High_Pressure"))&gt;0),_xlpm.fluid, G449,_xlpm.fuel, K449,_xlpm.load,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49" s="609" t="str">
        <f t="shared" si="145"/>
        <v/>
      </c>
      <c r="W449" s="482"/>
      <c r="X449" s="397" t="str" cm="1">
        <f t="array" ref="X449">IFERROR(IF($D$3="","", _xlfn.XLOOKUP(1,($AR$36:$AR$53=F449)*($AS$36:$AS$53=G449), INDEX($AT$36:$BJ$53,,_xlfn.XMATCH(E449,$AT$35:$BJ$35)))),"")</f>
        <v/>
      </c>
      <c r="Y449" s="480"/>
      <c r="Z449" s="482"/>
      <c r="AA449" s="607" t="str" cm="1">
        <f t="array" ref="AA449">IFERROR(IF($D$3="", "", _xlfn.LET(_xlpm.dia, E449, _xlpm.thk, Z449, _xlpm.temp, I449,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49" s="397" t="str" cm="1">
        <f t="array" ref="AB449">IFERROR(IF($D$3="", "", _xlfn.XLOOKUP(1,($AR$57:$AR$76=Y449)*($AS$57:$AS$76=Z449), INDEX($AT$57:$BJ$76,,_xlfn.XMATCH(E449,$AT$56:$BJ$56)))),"")</f>
        <v/>
      </c>
      <c r="AC449" s="208" t="str">
        <f t="shared" si="135"/>
        <v/>
      </c>
      <c r="AD449" s="397" t="str">
        <f t="shared" si="136"/>
        <v/>
      </c>
      <c r="AE449" s="610" t="str">
        <f t="shared" si="137"/>
        <v/>
      </c>
      <c r="AF449" s="610" t="str">
        <f t="shared" si="138"/>
        <v/>
      </c>
      <c r="AG449" s="610" t="str">
        <f t="shared" si="139"/>
        <v/>
      </c>
      <c r="AH449" s="608" t="str">
        <f t="shared" si="140"/>
        <v/>
      </c>
      <c r="AI449" s="610" t="str">
        <f t="shared" si="141"/>
        <v/>
      </c>
    </row>
    <row r="450" spans="2:35" x14ac:dyDescent="0.25">
      <c r="B450" s="209">
        <v>417</v>
      </c>
      <c r="C450" s="480"/>
      <c r="D450" s="480"/>
      <c r="E450" s="481"/>
      <c r="F450" s="480"/>
      <c r="G450" s="480"/>
      <c r="H450" s="607" t="str">
        <f t="shared" si="126"/>
        <v/>
      </c>
      <c r="I450" s="607" t="str">
        <f t="shared" si="127"/>
        <v/>
      </c>
      <c r="J450" s="607" t="str">
        <f t="shared" si="128"/>
        <v/>
      </c>
      <c r="K450" s="208" t="str">
        <f t="shared" si="129"/>
        <v/>
      </c>
      <c r="L450" s="208" t="str">
        <f t="shared" si="130"/>
        <v/>
      </c>
      <c r="M450" s="208" t="str">
        <f t="shared" si="142"/>
        <v/>
      </c>
      <c r="N450" s="608" t="str">
        <f>IF($D$3="", "", IFERROR(VLOOKUP(L450,'PIPE INCENTIVE'!$B$4:$E$19,2,FALSE),""))</f>
        <v/>
      </c>
      <c r="O450" s="608" t="str">
        <f t="shared" si="143"/>
        <v/>
      </c>
      <c r="P450" s="208" t="str">
        <f t="shared" si="144"/>
        <v/>
      </c>
      <c r="Q450" s="208" t="str">
        <f t="shared" si="131"/>
        <v/>
      </c>
      <c r="R450" s="609" t="str">
        <f t="shared" si="132"/>
        <v/>
      </c>
      <c r="S450" s="609" t="str">
        <f t="shared" si="133"/>
        <v/>
      </c>
      <c r="T450" s="609" t="str">
        <f t="shared" si="134"/>
        <v/>
      </c>
      <c r="U450" s="609" t="str" cm="1">
        <f t="array" ref="U450">IFERROR(IF($D$3="","",_xlfn.LET(_xlpm.Mixed,AND(COUNTIF($G$34:$G$533,"Heating_Hot_Water")&gt;0,(COUNTIF($G$34:$G$533,"Steam_Low_Pressure") + COUNTIF($G$34:$G$533,"Steam_Medium_Pressure") + COUNTIF($G$34:$G$533,"Steam_High_Pressure"))&gt;0),_xlpm.fluid, G450,_xlpm.fuel, K450,_xlpm.load,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0" s="609" t="str">
        <f t="shared" si="145"/>
        <v/>
      </c>
      <c r="W450" s="482"/>
      <c r="X450" s="397" t="str" cm="1">
        <f t="array" ref="X450">IFERROR(IF($D$3="","", _xlfn.XLOOKUP(1,($AR$36:$AR$53=F450)*($AS$36:$AS$53=G450), INDEX($AT$36:$BJ$53,,_xlfn.XMATCH(E450,$AT$35:$BJ$35)))),"")</f>
        <v/>
      </c>
      <c r="Y450" s="480"/>
      <c r="Z450" s="482"/>
      <c r="AA450" s="607" t="str" cm="1">
        <f t="array" ref="AA450">IFERROR(IF($D$3="", "", _xlfn.LET(_xlpm.dia, E450, _xlpm.thk, Z450, _xlpm.temp, I450,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0" s="397" t="str" cm="1">
        <f t="array" ref="AB450">IFERROR(IF($D$3="", "", _xlfn.XLOOKUP(1,($AR$57:$AR$76=Y450)*($AS$57:$AS$76=Z450), INDEX($AT$57:$BJ$76,,_xlfn.XMATCH(E450,$AT$56:$BJ$56)))),"")</f>
        <v/>
      </c>
      <c r="AC450" s="208" t="str">
        <f t="shared" si="135"/>
        <v/>
      </c>
      <c r="AD450" s="397" t="str">
        <f t="shared" si="136"/>
        <v/>
      </c>
      <c r="AE450" s="610" t="str">
        <f t="shared" si="137"/>
        <v/>
      </c>
      <c r="AF450" s="610" t="str">
        <f t="shared" si="138"/>
        <v/>
      </c>
      <c r="AG450" s="610" t="str">
        <f t="shared" si="139"/>
        <v/>
      </c>
      <c r="AH450" s="608" t="str">
        <f t="shared" si="140"/>
        <v/>
      </c>
      <c r="AI450" s="610" t="str">
        <f t="shared" si="141"/>
        <v/>
      </c>
    </row>
    <row r="451" spans="2:35" x14ac:dyDescent="0.25">
      <c r="B451" s="209">
        <v>418</v>
      </c>
      <c r="C451" s="480"/>
      <c r="D451" s="480"/>
      <c r="E451" s="481"/>
      <c r="F451" s="480"/>
      <c r="G451" s="480"/>
      <c r="H451" s="607" t="str">
        <f t="shared" si="126"/>
        <v/>
      </c>
      <c r="I451" s="607" t="str">
        <f t="shared" si="127"/>
        <v/>
      </c>
      <c r="J451" s="607" t="str">
        <f t="shared" si="128"/>
        <v/>
      </c>
      <c r="K451" s="208" t="str">
        <f t="shared" si="129"/>
        <v/>
      </c>
      <c r="L451" s="208" t="str">
        <f t="shared" si="130"/>
        <v/>
      </c>
      <c r="M451" s="208" t="str">
        <f t="shared" si="142"/>
        <v/>
      </c>
      <c r="N451" s="608" t="str">
        <f>IF($D$3="", "", IFERROR(VLOOKUP(L451,'PIPE INCENTIVE'!$B$4:$E$19,2,FALSE),""))</f>
        <v/>
      </c>
      <c r="O451" s="608" t="str">
        <f t="shared" si="143"/>
        <v/>
      </c>
      <c r="P451" s="208" t="str">
        <f t="shared" si="144"/>
        <v/>
      </c>
      <c r="Q451" s="208" t="str">
        <f t="shared" si="131"/>
        <v/>
      </c>
      <c r="R451" s="609" t="str">
        <f t="shared" si="132"/>
        <v/>
      </c>
      <c r="S451" s="609" t="str">
        <f t="shared" si="133"/>
        <v/>
      </c>
      <c r="T451" s="609" t="str">
        <f t="shared" si="134"/>
        <v/>
      </c>
      <c r="U451" s="609" t="str" cm="1">
        <f t="array" ref="U451">IFERROR(IF($D$3="","",_xlfn.LET(_xlpm.Mixed,AND(COUNTIF($G$34:$G$533,"Heating_Hot_Water")&gt;0,(COUNTIF($G$34:$G$533,"Steam_Low_Pressure") + COUNTIF($G$34:$G$533,"Steam_Medium_Pressure") + COUNTIF($G$34:$G$533,"Steam_High_Pressure"))&gt;0),_xlpm.fluid, G451,_xlpm.fuel, K451,_xlpm.load,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1" s="609" t="str">
        <f t="shared" si="145"/>
        <v/>
      </c>
      <c r="W451" s="482"/>
      <c r="X451" s="397" t="str" cm="1">
        <f t="array" ref="X451">IFERROR(IF($D$3="","", _xlfn.XLOOKUP(1,($AR$36:$AR$53=F451)*($AS$36:$AS$53=G451), INDEX($AT$36:$BJ$53,,_xlfn.XMATCH(E451,$AT$35:$BJ$35)))),"")</f>
        <v/>
      </c>
      <c r="Y451" s="480"/>
      <c r="Z451" s="482"/>
      <c r="AA451" s="607" t="str" cm="1">
        <f t="array" ref="AA451">IFERROR(IF($D$3="", "", _xlfn.LET(_xlpm.dia, E451, _xlpm.thk, Z451, _xlpm.temp, I451,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1" s="397" t="str" cm="1">
        <f t="array" ref="AB451">IFERROR(IF($D$3="", "", _xlfn.XLOOKUP(1,($AR$57:$AR$76=Y451)*($AS$57:$AS$76=Z451), INDEX($AT$57:$BJ$76,,_xlfn.XMATCH(E451,$AT$56:$BJ$56)))),"")</f>
        <v/>
      </c>
      <c r="AC451" s="208" t="str">
        <f t="shared" si="135"/>
        <v/>
      </c>
      <c r="AD451" s="397" t="str">
        <f t="shared" si="136"/>
        <v/>
      </c>
      <c r="AE451" s="610" t="str">
        <f t="shared" si="137"/>
        <v/>
      </c>
      <c r="AF451" s="610" t="str">
        <f t="shared" si="138"/>
        <v/>
      </c>
      <c r="AG451" s="610" t="str">
        <f t="shared" si="139"/>
        <v/>
      </c>
      <c r="AH451" s="608" t="str">
        <f t="shared" si="140"/>
        <v/>
      </c>
      <c r="AI451" s="610" t="str">
        <f t="shared" si="141"/>
        <v/>
      </c>
    </row>
    <row r="452" spans="2:35" x14ac:dyDescent="0.25">
      <c r="B452" s="209">
        <v>419</v>
      </c>
      <c r="C452" s="480"/>
      <c r="D452" s="480"/>
      <c r="E452" s="481"/>
      <c r="F452" s="480"/>
      <c r="G452" s="480"/>
      <c r="H452" s="607" t="str">
        <f t="shared" si="126"/>
        <v/>
      </c>
      <c r="I452" s="607" t="str">
        <f t="shared" si="127"/>
        <v/>
      </c>
      <c r="J452" s="607" t="str">
        <f t="shared" si="128"/>
        <v/>
      </c>
      <c r="K452" s="208" t="str">
        <f t="shared" si="129"/>
        <v/>
      </c>
      <c r="L452" s="208" t="str">
        <f t="shared" si="130"/>
        <v/>
      </c>
      <c r="M452" s="208" t="str">
        <f t="shared" si="142"/>
        <v/>
      </c>
      <c r="N452" s="608" t="str">
        <f>IF($D$3="", "", IFERROR(VLOOKUP(L452,'PIPE INCENTIVE'!$B$4:$E$19,2,FALSE),""))</f>
        <v/>
      </c>
      <c r="O452" s="608" t="str">
        <f t="shared" si="143"/>
        <v/>
      </c>
      <c r="P452" s="208" t="str">
        <f t="shared" si="144"/>
        <v/>
      </c>
      <c r="Q452" s="208" t="str">
        <f t="shared" si="131"/>
        <v/>
      </c>
      <c r="R452" s="609" t="str">
        <f t="shared" si="132"/>
        <v/>
      </c>
      <c r="S452" s="609" t="str">
        <f t="shared" si="133"/>
        <v/>
      </c>
      <c r="T452" s="609" t="str">
        <f t="shared" si="134"/>
        <v/>
      </c>
      <c r="U452" s="609" t="str" cm="1">
        <f t="array" ref="U452">IFERROR(IF($D$3="","",_xlfn.LET(_xlpm.Mixed,AND(COUNTIF($G$34:$G$533,"Heating_Hot_Water")&gt;0,(COUNTIF($G$34:$G$533,"Steam_Low_Pressure") + COUNTIF($G$34:$G$533,"Steam_Medium_Pressure") + COUNTIF($G$34:$G$533,"Steam_High_Pressure"))&gt;0),_xlpm.fluid, G452,_xlpm.fuel, K452,_xlpm.load,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2" s="609" t="str">
        <f t="shared" si="145"/>
        <v/>
      </c>
      <c r="W452" s="482"/>
      <c r="X452" s="397" t="str" cm="1">
        <f t="array" ref="X452">IFERROR(IF($D$3="","", _xlfn.XLOOKUP(1,($AR$36:$AR$53=F452)*($AS$36:$AS$53=G452), INDEX($AT$36:$BJ$53,,_xlfn.XMATCH(E452,$AT$35:$BJ$35)))),"")</f>
        <v/>
      </c>
      <c r="Y452" s="480"/>
      <c r="Z452" s="482"/>
      <c r="AA452" s="607" t="str" cm="1">
        <f t="array" ref="AA452">IFERROR(IF($D$3="", "", _xlfn.LET(_xlpm.dia, E452, _xlpm.thk, Z452, _xlpm.temp, I452,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2" s="397" t="str" cm="1">
        <f t="array" ref="AB452">IFERROR(IF($D$3="", "", _xlfn.XLOOKUP(1,($AR$57:$AR$76=Y452)*($AS$57:$AS$76=Z452), INDEX($AT$57:$BJ$76,,_xlfn.XMATCH(E452,$AT$56:$BJ$56)))),"")</f>
        <v/>
      </c>
      <c r="AC452" s="208" t="str">
        <f t="shared" si="135"/>
        <v/>
      </c>
      <c r="AD452" s="397" t="str">
        <f t="shared" si="136"/>
        <v/>
      </c>
      <c r="AE452" s="610" t="str">
        <f t="shared" si="137"/>
        <v/>
      </c>
      <c r="AF452" s="610" t="str">
        <f t="shared" si="138"/>
        <v/>
      </c>
      <c r="AG452" s="610" t="str">
        <f t="shared" si="139"/>
        <v/>
      </c>
      <c r="AH452" s="608" t="str">
        <f t="shared" si="140"/>
        <v/>
      </c>
      <c r="AI452" s="610" t="str">
        <f t="shared" si="141"/>
        <v/>
      </c>
    </row>
    <row r="453" spans="2:35" x14ac:dyDescent="0.25">
      <c r="B453" s="209">
        <v>420</v>
      </c>
      <c r="C453" s="480"/>
      <c r="D453" s="480"/>
      <c r="E453" s="481"/>
      <c r="F453" s="480"/>
      <c r="G453" s="480"/>
      <c r="H453" s="607" t="str">
        <f t="shared" si="126"/>
        <v/>
      </c>
      <c r="I453" s="607" t="str">
        <f t="shared" si="127"/>
        <v/>
      </c>
      <c r="J453" s="607" t="str">
        <f t="shared" si="128"/>
        <v/>
      </c>
      <c r="K453" s="208" t="str">
        <f t="shared" si="129"/>
        <v/>
      </c>
      <c r="L453" s="208" t="str">
        <f t="shared" si="130"/>
        <v/>
      </c>
      <c r="M453" s="208" t="str">
        <f t="shared" si="142"/>
        <v/>
      </c>
      <c r="N453" s="608" t="str">
        <f>IF($D$3="", "", IFERROR(VLOOKUP(L453,'PIPE INCENTIVE'!$B$4:$E$19,2,FALSE),""))</f>
        <v/>
      </c>
      <c r="O453" s="608" t="str">
        <f t="shared" si="143"/>
        <v/>
      </c>
      <c r="P453" s="208" t="str">
        <f t="shared" si="144"/>
        <v/>
      </c>
      <c r="Q453" s="208" t="str">
        <f t="shared" si="131"/>
        <v/>
      </c>
      <c r="R453" s="609" t="str">
        <f t="shared" si="132"/>
        <v/>
      </c>
      <c r="S453" s="609" t="str">
        <f t="shared" si="133"/>
        <v/>
      </c>
      <c r="T453" s="609" t="str">
        <f t="shared" si="134"/>
        <v/>
      </c>
      <c r="U453" s="609" t="str" cm="1">
        <f t="array" ref="U453">IFERROR(IF($D$3="","",_xlfn.LET(_xlpm.Mixed,AND(COUNTIF($G$34:$G$533,"Heating_Hot_Water")&gt;0,(COUNTIF($G$34:$G$533,"Steam_Low_Pressure") + COUNTIF($G$34:$G$533,"Steam_Medium_Pressure") + COUNTIF($G$34:$G$533,"Steam_High_Pressure"))&gt;0),_xlpm.fluid, G453,_xlpm.fuel, K453,_xlpm.load,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3" s="609" t="str">
        <f t="shared" si="145"/>
        <v/>
      </c>
      <c r="W453" s="482"/>
      <c r="X453" s="397" t="str" cm="1">
        <f t="array" ref="X453">IFERROR(IF($D$3="","", _xlfn.XLOOKUP(1,($AR$36:$AR$53=F453)*($AS$36:$AS$53=G453), INDEX($AT$36:$BJ$53,,_xlfn.XMATCH(E453,$AT$35:$BJ$35)))),"")</f>
        <v/>
      </c>
      <c r="Y453" s="480"/>
      <c r="Z453" s="482"/>
      <c r="AA453" s="607" t="str" cm="1">
        <f t="array" ref="AA453">IFERROR(IF($D$3="", "", _xlfn.LET(_xlpm.dia, E453, _xlpm.thk, Z453, _xlpm.temp, I453,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3" s="397" t="str" cm="1">
        <f t="array" ref="AB453">IFERROR(IF($D$3="", "", _xlfn.XLOOKUP(1,($AR$57:$AR$76=Y453)*($AS$57:$AS$76=Z453), INDEX($AT$57:$BJ$76,,_xlfn.XMATCH(E453,$AT$56:$BJ$56)))),"")</f>
        <v/>
      </c>
      <c r="AC453" s="208" t="str">
        <f t="shared" si="135"/>
        <v/>
      </c>
      <c r="AD453" s="397" t="str">
        <f t="shared" si="136"/>
        <v/>
      </c>
      <c r="AE453" s="610" t="str">
        <f t="shared" si="137"/>
        <v/>
      </c>
      <c r="AF453" s="610" t="str">
        <f t="shared" si="138"/>
        <v/>
      </c>
      <c r="AG453" s="610" t="str">
        <f t="shared" si="139"/>
        <v/>
      </c>
      <c r="AH453" s="608" t="str">
        <f t="shared" si="140"/>
        <v/>
      </c>
      <c r="AI453" s="610" t="str">
        <f t="shared" si="141"/>
        <v/>
      </c>
    </row>
    <row r="454" spans="2:35" x14ac:dyDescent="0.25">
      <c r="B454" s="209">
        <v>421</v>
      </c>
      <c r="C454" s="480"/>
      <c r="D454" s="480"/>
      <c r="E454" s="481"/>
      <c r="F454" s="480"/>
      <c r="G454" s="480"/>
      <c r="H454" s="607" t="str">
        <f t="shared" si="126"/>
        <v/>
      </c>
      <c r="I454" s="607" t="str">
        <f t="shared" si="127"/>
        <v/>
      </c>
      <c r="J454" s="607" t="str">
        <f t="shared" si="128"/>
        <v/>
      </c>
      <c r="K454" s="208" t="str">
        <f t="shared" si="129"/>
        <v/>
      </c>
      <c r="L454" s="208" t="str">
        <f t="shared" si="130"/>
        <v/>
      </c>
      <c r="M454" s="208" t="str">
        <f t="shared" si="142"/>
        <v/>
      </c>
      <c r="N454" s="608" t="str">
        <f>IF($D$3="", "", IFERROR(VLOOKUP(L454,'PIPE INCENTIVE'!$B$4:$E$19,2,FALSE),""))</f>
        <v/>
      </c>
      <c r="O454" s="608" t="str">
        <f t="shared" si="143"/>
        <v/>
      </c>
      <c r="P454" s="208" t="str">
        <f t="shared" si="144"/>
        <v/>
      </c>
      <c r="Q454" s="208" t="str">
        <f t="shared" si="131"/>
        <v/>
      </c>
      <c r="R454" s="609" t="str">
        <f t="shared" si="132"/>
        <v/>
      </c>
      <c r="S454" s="609" t="str">
        <f t="shared" si="133"/>
        <v/>
      </c>
      <c r="T454" s="609" t="str">
        <f t="shared" si="134"/>
        <v/>
      </c>
      <c r="U454" s="609" t="str" cm="1">
        <f t="array" ref="U454">IFERROR(IF($D$3="","",_xlfn.LET(_xlpm.Mixed,AND(COUNTIF($G$34:$G$533,"Heating_Hot_Water")&gt;0,(COUNTIF($G$34:$G$533,"Steam_Low_Pressure") + COUNTIF($G$34:$G$533,"Steam_Medium_Pressure") + COUNTIF($G$34:$G$533,"Steam_High_Pressure"))&gt;0),_xlpm.fluid, G454,_xlpm.fuel, K454,_xlpm.load,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4" s="609" t="str">
        <f t="shared" si="145"/>
        <v/>
      </c>
      <c r="W454" s="482"/>
      <c r="X454" s="397" t="str" cm="1">
        <f t="array" ref="X454">IFERROR(IF($D$3="","", _xlfn.XLOOKUP(1,($AR$36:$AR$53=F454)*($AS$36:$AS$53=G454), INDEX($AT$36:$BJ$53,,_xlfn.XMATCH(E454,$AT$35:$BJ$35)))),"")</f>
        <v/>
      </c>
      <c r="Y454" s="480"/>
      <c r="Z454" s="482"/>
      <c r="AA454" s="607" t="str" cm="1">
        <f t="array" ref="AA454">IFERROR(IF($D$3="", "", _xlfn.LET(_xlpm.dia, E454, _xlpm.thk, Z454, _xlpm.temp, I454,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4" s="397" t="str" cm="1">
        <f t="array" ref="AB454">IFERROR(IF($D$3="", "", _xlfn.XLOOKUP(1,($AR$57:$AR$76=Y454)*($AS$57:$AS$76=Z454), INDEX($AT$57:$BJ$76,,_xlfn.XMATCH(E454,$AT$56:$BJ$56)))),"")</f>
        <v/>
      </c>
      <c r="AC454" s="208" t="str">
        <f t="shared" si="135"/>
        <v/>
      </c>
      <c r="AD454" s="397" t="str">
        <f t="shared" si="136"/>
        <v/>
      </c>
      <c r="AE454" s="610" t="str">
        <f t="shared" si="137"/>
        <v/>
      </c>
      <c r="AF454" s="610" t="str">
        <f t="shared" si="138"/>
        <v/>
      </c>
      <c r="AG454" s="610" t="str">
        <f t="shared" si="139"/>
        <v/>
      </c>
      <c r="AH454" s="608" t="str">
        <f t="shared" si="140"/>
        <v/>
      </c>
      <c r="AI454" s="610" t="str">
        <f t="shared" si="141"/>
        <v/>
      </c>
    </row>
    <row r="455" spans="2:35" x14ac:dyDescent="0.25">
      <c r="B455" s="209">
        <v>422</v>
      </c>
      <c r="C455" s="480"/>
      <c r="D455" s="480"/>
      <c r="E455" s="481"/>
      <c r="F455" s="480"/>
      <c r="G455" s="480"/>
      <c r="H455" s="607" t="str">
        <f t="shared" si="126"/>
        <v/>
      </c>
      <c r="I455" s="607" t="str">
        <f t="shared" si="127"/>
        <v/>
      </c>
      <c r="J455" s="607" t="str">
        <f t="shared" si="128"/>
        <v/>
      </c>
      <c r="K455" s="208" t="str">
        <f t="shared" si="129"/>
        <v/>
      </c>
      <c r="L455" s="208" t="str">
        <f t="shared" si="130"/>
        <v/>
      </c>
      <c r="M455" s="208" t="str">
        <f t="shared" si="142"/>
        <v/>
      </c>
      <c r="N455" s="608" t="str">
        <f>IF($D$3="", "", IFERROR(VLOOKUP(L455,'PIPE INCENTIVE'!$B$4:$E$19,2,FALSE),""))</f>
        <v/>
      </c>
      <c r="O455" s="608" t="str">
        <f t="shared" si="143"/>
        <v/>
      </c>
      <c r="P455" s="208" t="str">
        <f t="shared" si="144"/>
        <v/>
      </c>
      <c r="Q455" s="208" t="str">
        <f t="shared" si="131"/>
        <v/>
      </c>
      <c r="R455" s="609" t="str">
        <f t="shared" si="132"/>
        <v/>
      </c>
      <c r="S455" s="609" t="str">
        <f t="shared" si="133"/>
        <v/>
      </c>
      <c r="T455" s="609" t="str">
        <f t="shared" si="134"/>
        <v/>
      </c>
      <c r="U455" s="609" t="str" cm="1">
        <f t="array" ref="U455">IFERROR(IF($D$3="","",_xlfn.LET(_xlpm.Mixed,AND(COUNTIF($G$34:$G$533,"Heating_Hot_Water")&gt;0,(COUNTIF($G$34:$G$533,"Steam_Low_Pressure") + COUNTIF($G$34:$G$533,"Steam_Medium_Pressure") + COUNTIF($G$34:$G$533,"Steam_High_Pressure"))&gt;0),_xlpm.fluid, G455,_xlpm.fuel, K455,_xlpm.load,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5" s="609" t="str">
        <f t="shared" si="145"/>
        <v/>
      </c>
      <c r="W455" s="482"/>
      <c r="X455" s="397" t="str" cm="1">
        <f t="array" ref="X455">IFERROR(IF($D$3="","", _xlfn.XLOOKUP(1,($AR$36:$AR$53=F455)*($AS$36:$AS$53=G455), INDEX($AT$36:$BJ$53,,_xlfn.XMATCH(E455,$AT$35:$BJ$35)))),"")</f>
        <v/>
      </c>
      <c r="Y455" s="480"/>
      <c r="Z455" s="482"/>
      <c r="AA455" s="607" t="str" cm="1">
        <f t="array" ref="AA455">IFERROR(IF($D$3="", "", _xlfn.LET(_xlpm.dia, E455, _xlpm.thk, Z455, _xlpm.temp, I455,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5" s="397" t="str" cm="1">
        <f t="array" ref="AB455">IFERROR(IF($D$3="", "", _xlfn.XLOOKUP(1,($AR$57:$AR$76=Y455)*($AS$57:$AS$76=Z455), INDEX($AT$57:$BJ$76,,_xlfn.XMATCH(E455,$AT$56:$BJ$56)))),"")</f>
        <v/>
      </c>
      <c r="AC455" s="208" t="str">
        <f t="shared" si="135"/>
        <v/>
      </c>
      <c r="AD455" s="397" t="str">
        <f t="shared" si="136"/>
        <v/>
      </c>
      <c r="AE455" s="610" t="str">
        <f t="shared" si="137"/>
        <v/>
      </c>
      <c r="AF455" s="610" t="str">
        <f t="shared" si="138"/>
        <v/>
      </c>
      <c r="AG455" s="610" t="str">
        <f t="shared" si="139"/>
        <v/>
      </c>
      <c r="AH455" s="608" t="str">
        <f t="shared" si="140"/>
        <v/>
      </c>
      <c r="AI455" s="610" t="str">
        <f t="shared" si="141"/>
        <v/>
      </c>
    </row>
    <row r="456" spans="2:35" x14ac:dyDescent="0.25">
      <c r="B456" s="209">
        <v>423</v>
      </c>
      <c r="C456" s="480"/>
      <c r="D456" s="480"/>
      <c r="E456" s="481"/>
      <c r="F456" s="480"/>
      <c r="G456" s="480"/>
      <c r="H456" s="607" t="str">
        <f t="shared" si="126"/>
        <v/>
      </c>
      <c r="I456" s="607" t="str">
        <f t="shared" si="127"/>
        <v/>
      </c>
      <c r="J456" s="607" t="str">
        <f t="shared" si="128"/>
        <v/>
      </c>
      <c r="K456" s="208" t="str">
        <f t="shared" si="129"/>
        <v/>
      </c>
      <c r="L456" s="208" t="str">
        <f t="shared" si="130"/>
        <v/>
      </c>
      <c r="M456" s="208" t="str">
        <f t="shared" si="142"/>
        <v/>
      </c>
      <c r="N456" s="608" t="str">
        <f>IF($D$3="", "", IFERROR(VLOOKUP(L456,'PIPE INCENTIVE'!$B$4:$E$19,2,FALSE),""))</f>
        <v/>
      </c>
      <c r="O456" s="608" t="str">
        <f t="shared" si="143"/>
        <v/>
      </c>
      <c r="P456" s="208" t="str">
        <f t="shared" si="144"/>
        <v/>
      </c>
      <c r="Q456" s="208" t="str">
        <f t="shared" si="131"/>
        <v/>
      </c>
      <c r="R456" s="609" t="str">
        <f t="shared" si="132"/>
        <v/>
      </c>
      <c r="S456" s="609" t="str">
        <f t="shared" si="133"/>
        <v/>
      </c>
      <c r="T456" s="609" t="str">
        <f t="shared" si="134"/>
        <v/>
      </c>
      <c r="U456" s="609" t="str" cm="1">
        <f t="array" ref="U456">IFERROR(IF($D$3="","",_xlfn.LET(_xlpm.Mixed,AND(COUNTIF($G$34:$G$533,"Heating_Hot_Water")&gt;0,(COUNTIF($G$34:$G$533,"Steam_Low_Pressure") + COUNTIF($G$34:$G$533,"Steam_Medium_Pressure") + COUNTIF($G$34:$G$533,"Steam_High_Pressure"))&gt;0),_xlpm.fluid, G456,_xlpm.fuel, K456,_xlpm.load,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6" s="609" t="str">
        <f t="shared" si="145"/>
        <v/>
      </c>
      <c r="W456" s="482"/>
      <c r="X456" s="397" t="str" cm="1">
        <f t="array" ref="X456">IFERROR(IF($D$3="","", _xlfn.XLOOKUP(1,($AR$36:$AR$53=F456)*($AS$36:$AS$53=G456), INDEX($AT$36:$BJ$53,,_xlfn.XMATCH(E456,$AT$35:$BJ$35)))),"")</f>
        <v/>
      </c>
      <c r="Y456" s="480"/>
      <c r="Z456" s="482"/>
      <c r="AA456" s="607" t="str" cm="1">
        <f t="array" ref="AA456">IFERROR(IF($D$3="", "", _xlfn.LET(_xlpm.dia, E456, _xlpm.thk, Z456, _xlpm.temp, I456,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6" s="397" t="str" cm="1">
        <f t="array" ref="AB456">IFERROR(IF($D$3="", "", _xlfn.XLOOKUP(1,($AR$57:$AR$76=Y456)*($AS$57:$AS$76=Z456), INDEX($AT$57:$BJ$76,,_xlfn.XMATCH(E456,$AT$56:$BJ$56)))),"")</f>
        <v/>
      </c>
      <c r="AC456" s="208" t="str">
        <f t="shared" si="135"/>
        <v/>
      </c>
      <c r="AD456" s="397" t="str">
        <f t="shared" si="136"/>
        <v/>
      </c>
      <c r="AE456" s="610" t="str">
        <f t="shared" si="137"/>
        <v/>
      </c>
      <c r="AF456" s="610" t="str">
        <f t="shared" si="138"/>
        <v/>
      </c>
      <c r="AG456" s="610" t="str">
        <f t="shared" si="139"/>
        <v/>
      </c>
      <c r="AH456" s="608" t="str">
        <f t="shared" si="140"/>
        <v/>
      </c>
      <c r="AI456" s="610" t="str">
        <f t="shared" si="141"/>
        <v/>
      </c>
    </row>
    <row r="457" spans="2:35" x14ac:dyDescent="0.25">
      <c r="B457" s="209">
        <v>424</v>
      </c>
      <c r="C457" s="480"/>
      <c r="D457" s="480"/>
      <c r="E457" s="481"/>
      <c r="F457" s="480"/>
      <c r="G457" s="480"/>
      <c r="H457" s="607" t="str">
        <f t="shared" si="126"/>
        <v/>
      </c>
      <c r="I457" s="607" t="str">
        <f t="shared" si="127"/>
        <v/>
      </c>
      <c r="J457" s="607" t="str">
        <f t="shared" si="128"/>
        <v/>
      </c>
      <c r="K457" s="208" t="str">
        <f t="shared" si="129"/>
        <v/>
      </c>
      <c r="L457" s="208" t="str">
        <f t="shared" si="130"/>
        <v/>
      </c>
      <c r="M457" s="208" t="str">
        <f t="shared" si="142"/>
        <v/>
      </c>
      <c r="N457" s="608" t="str">
        <f>IF($D$3="", "", IFERROR(VLOOKUP(L457,'PIPE INCENTIVE'!$B$4:$E$19,2,FALSE),""))</f>
        <v/>
      </c>
      <c r="O457" s="608" t="str">
        <f t="shared" si="143"/>
        <v/>
      </c>
      <c r="P457" s="208" t="str">
        <f t="shared" si="144"/>
        <v/>
      </c>
      <c r="Q457" s="208" t="str">
        <f t="shared" si="131"/>
        <v/>
      </c>
      <c r="R457" s="609" t="str">
        <f t="shared" si="132"/>
        <v/>
      </c>
      <c r="S457" s="609" t="str">
        <f t="shared" si="133"/>
        <v/>
      </c>
      <c r="T457" s="609" t="str">
        <f t="shared" si="134"/>
        <v/>
      </c>
      <c r="U457" s="609" t="str" cm="1">
        <f t="array" ref="U457">IFERROR(IF($D$3="","",_xlfn.LET(_xlpm.Mixed,AND(COUNTIF($G$34:$G$533,"Heating_Hot_Water")&gt;0,(COUNTIF($G$34:$G$533,"Steam_Low_Pressure") + COUNTIF($G$34:$G$533,"Steam_Medium_Pressure") + COUNTIF($G$34:$G$533,"Steam_High_Pressure"))&gt;0),_xlpm.fluid, G457,_xlpm.fuel, K457,_xlpm.load,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7" s="609" t="str">
        <f t="shared" si="145"/>
        <v/>
      </c>
      <c r="W457" s="482"/>
      <c r="X457" s="397" t="str" cm="1">
        <f t="array" ref="X457">IFERROR(IF($D$3="","", _xlfn.XLOOKUP(1,($AR$36:$AR$53=F457)*($AS$36:$AS$53=G457), INDEX($AT$36:$BJ$53,,_xlfn.XMATCH(E457,$AT$35:$BJ$35)))),"")</f>
        <v/>
      </c>
      <c r="Y457" s="480"/>
      <c r="Z457" s="482"/>
      <c r="AA457" s="607" t="str" cm="1">
        <f t="array" ref="AA457">IFERROR(IF($D$3="", "", _xlfn.LET(_xlpm.dia, E457, _xlpm.thk, Z457, _xlpm.temp, I457,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7" s="397" t="str" cm="1">
        <f t="array" ref="AB457">IFERROR(IF($D$3="", "", _xlfn.XLOOKUP(1,($AR$57:$AR$76=Y457)*($AS$57:$AS$76=Z457), INDEX($AT$57:$BJ$76,,_xlfn.XMATCH(E457,$AT$56:$BJ$56)))),"")</f>
        <v/>
      </c>
      <c r="AC457" s="208" t="str">
        <f t="shared" si="135"/>
        <v/>
      </c>
      <c r="AD457" s="397" t="str">
        <f t="shared" si="136"/>
        <v/>
      </c>
      <c r="AE457" s="610" t="str">
        <f t="shared" si="137"/>
        <v/>
      </c>
      <c r="AF457" s="610" t="str">
        <f t="shared" si="138"/>
        <v/>
      </c>
      <c r="AG457" s="610" t="str">
        <f t="shared" si="139"/>
        <v/>
      </c>
      <c r="AH457" s="608" t="str">
        <f t="shared" si="140"/>
        <v/>
      </c>
      <c r="AI457" s="610" t="str">
        <f t="shared" si="141"/>
        <v/>
      </c>
    </row>
    <row r="458" spans="2:35" x14ac:dyDescent="0.25">
      <c r="B458" s="209">
        <v>425</v>
      </c>
      <c r="C458" s="480"/>
      <c r="D458" s="480"/>
      <c r="E458" s="481"/>
      <c r="F458" s="480"/>
      <c r="G458" s="480"/>
      <c r="H458" s="607" t="str">
        <f t="shared" si="126"/>
        <v/>
      </c>
      <c r="I458" s="607" t="str">
        <f t="shared" si="127"/>
        <v/>
      </c>
      <c r="J458" s="607" t="str">
        <f t="shared" si="128"/>
        <v/>
      </c>
      <c r="K458" s="208" t="str">
        <f t="shared" si="129"/>
        <v/>
      </c>
      <c r="L458" s="208" t="str">
        <f t="shared" si="130"/>
        <v/>
      </c>
      <c r="M458" s="208" t="str">
        <f t="shared" si="142"/>
        <v/>
      </c>
      <c r="N458" s="608" t="str">
        <f>IF($D$3="", "", IFERROR(VLOOKUP(L458,'PIPE INCENTIVE'!$B$4:$E$19,2,FALSE),""))</f>
        <v/>
      </c>
      <c r="O458" s="608" t="str">
        <f t="shared" si="143"/>
        <v/>
      </c>
      <c r="P458" s="208" t="str">
        <f t="shared" si="144"/>
        <v/>
      </c>
      <c r="Q458" s="208" t="str">
        <f t="shared" si="131"/>
        <v/>
      </c>
      <c r="R458" s="609" t="str">
        <f t="shared" si="132"/>
        <v/>
      </c>
      <c r="S458" s="609" t="str">
        <f t="shared" si="133"/>
        <v/>
      </c>
      <c r="T458" s="609" t="str">
        <f t="shared" si="134"/>
        <v/>
      </c>
      <c r="U458" s="609" t="str" cm="1">
        <f t="array" ref="U458">IFERROR(IF($D$3="","",_xlfn.LET(_xlpm.Mixed,AND(COUNTIF($G$34:$G$533,"Heating_Hot_Water")&gt;0,(COUNTIF($G$34:$G$533,"Steam_Low_Pressure") + COUNTIF($G$34:$G$533,"Steam_Medium_Pressure") + COUNTIF($G$34:$G$533,"Steam_High_Pressure"))&gt;0),_xlpm.fluid, G458,_xlpm.fuel, K458,_xlpm.load,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8" s="609" t="str">
        <f t="shared" si="145"/>
        <v/>
      </c>
      <c r="W458" s="482"/>
      <c r="X458" s="397" t="str" cm="1">
        <f t="array" ref="X458">IFERROR(IF($D$3="","", _xlfn.XLOOKUP(1,($AR$36:$AR$53=F458)*($AS$36:$AS$53=G458), INDEX($AT$36:$BJ$53,,_xlfn.XMATCH(E458,$AT$35:$BJ$35)))),"")</f>
        <v/>
      </c>
      <c r="Y458" s="480"/>
      <c r="Z458" s="482"/>
      <c r="AA458" s="607" t="str" cm="1">
        <f t="array" ref="AA458">IFERROR(IF($D$3="", "", _xlfn.LET(_xlpm.dia, E458, _xlpm.thk, Z458, _xlpm.temp, I458,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8" s="397" t="str" cm="1">
        <f t="array" ref="AB458">IFERROR(IF($D$3="", "", _xlfn.XLOOKUP(1,($AR$57:$AR$76=Y458)*($AS$57:$AS$76=Z458), INDEX($AT$57:$BJ$76,,_xlfn.XMATCH(E458,$AT$56:$BJ$56)))),"")</f>
        <v/>
      </c>
      <c r="AC458" s="208" t="str">
        <f t="shared" si="135"/>
        <v/>
      </c>
      <c r="AD458" s="397" t="str">
        <f t="shared" si="136"/>
        <v/>
      </c>
      <c r="AE458" s="610" t="str">
        <f t="shared" si="137"/>
        <v/>
      </c>
      <c r="AF458" s="610" t="str">
        <f t="shared" si="138"/>
        <v/>
      </c>
      <c r="AG458" s="610" t="str">
        <f t="shared" si="139"/>
        <v/>
      </c>
      <c r="AH458" s="608" t="str">
        <f t="shared" si="140"/>
        <v/>
      </c>
      <c r="AI458" s="610" t="str">
        <f t="shared" si="141"/>
        <v/>
      </c>
    </row>
    <row r="459" spans="2:35" x14ac:dyDescent="0.25">
      <c r="B459" s="209">
        <v>426</v>
      </c>
      <c r="C459" s="480"/>
      <c r="D459" s="480"/>
      <c r="E459" s="481"/>
      <c r="F459" s="480"/>
      <c r="G459" s="480"/>
      <c r="H459" s="607" t="str">
        <f t="shared" si="126"/>
        <v/>
      </c>
      <c r="I459" s="607" t="str">
        <f t="shared" si="127"/>
        <v/>
      </c>
      <c r="J459" s="607" t="str">
        <f t="shared" si="128"/>
        <v/>
      </c>
      <c r="K459" s="208" t="str">
        <f t="shared" si="129"/>
        <v/>
      </c>
      <c r="L459" s="208" t="str">
        <f t="shared" si="130"/>
        <v/>
      </c>
      <c r="M459" s="208" t="str">
        <f t="shared" si="142"/>
        <v/>
      </c>
      <c r="N459" s="608" t="str">
        <f>IF($D$3="", "", IFERROR(VLOOKUP(L459,'PIPE INCENTIVE'!$B$4:$E$19,2,FALSE),""))</f>
        <v/>
      </c>
      <c r="O459" s="608" t="str">
        <f t="shared" si="143"/>
        <v/>
      </c>
      <c r="P459" s="208" t="str">
        <f t="shared" si="144"/>
        <v/>
      </c>
      <c r="Q459" s="208" t="str">
        <f t="shared" si="131"/>
        <v/>
      </c>
      <c r="R459" s="609" t="str">
        <f t="shared" si="132"/>
        <v/>
      </c>
      <c r="S459" s="609" t="str">
        <f t="shared" si="133"/>
        <v/>
      </c>
      <c r="T459" s="609" t="str">
        <f t="shared" si="134"/>
        <v/>
      </c>
      <c r="U459" s="609" t="str" cm="1">
        <f t="array" ref="U459">IFERROR(IF($D$3="","",_xlfn.LET(_xlpm.Mixed,AND(COUNTIF($G$34:$G$533,"Heating_Hot_Water")&gt;0,(COUNTIF($G$34:$G$533,"Steam_Low_Pressure") + COUNTIF($G$34:$G$533,"Steam_Medium_Pressure") + COUNTIF($G$34:$G$533,"Steam_High_Pressure"))&gt;0),_xlpm.fluid, G459,_xlpm.fuel, K459,_xlpm.load,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59" s="609" t="str">
        <f t="shared" si="145"/>
        <v/>
      </c>
      <c r="W459" s="482"/>
      <c r="X459" s="397" t="str" cm="1">
        <f t="array" ref="X459">IFERROR(IF($D$3="","", _xlfn.XLOOKUP(1,($AR$36:$AR$53=F459)*($AS$36:$AS$53=G459), INDEX($AT$36:$BJ$53,,_xlfn.XMATCH(E459,$AT$35:$BJ$35)))),"")</f>
        <v/>
      </c>
      <c r="Y459" s="480"/>
      <c r="Z459" s="482"/>
      <c r="AA459" s="607" t="str" cm="1">
        <f t="array" ref="AA459">IFERROR(IF($D$3="", "", _xlfn.LET(_xlpm.dia, E459, _xlpm.thk, Z459, _xlpm.temp, I459,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59" s="397" t="str" cm="1">
        <f t="array" ref="AB459">IFERROR(IF($D$3="", "", _xlfn.XLOOKUP(1,($AR$57:$AR$76=Y459)*($AS$57:$AS$76=Z459), INDEX($AT$57:$BJ$76,,_xlfn.XMATCH(E459,$AT$56:$BJ$56)))),"")</f>
        <v/>
      </c>
      <c r="AC459" s="208" t="str">
        <f t="shared" si="135"/>
        <v/>
      </c>
      <c r="AD459" s="397" t="str">
        <f t="shared" si="136"/>
        <v/>
      </c>
      <c r="AE459" s="610" t="str">
        <f t="shared" si="137"/>
        <v/>
      </c>
      <c r="AF459" s="610" t="str">
        <f t="shared" si="138"/>
        <v/>
      </c>
      <c r="AG459" s="610" t="str">
        <f t="shared" si="139"/>
        <v/>
      </c>
      <c r="AH459" s="608" t="str">
        <f t="shared" si="140"/>
        <v/>
      </c>
      <c r="AI459" s="610" t="str">
        <f t="shared" si="141"/>
        <v/>
      </c>
    </row>
    <row r="460" spans="2:35" x14ac:dyDescent="0.25">
      <c r="B460" s="209">
        <v>427</v>
      </c>
      <c r="C460" s="480"/>
      <c r="D460" s="480"/>
      <c r="E460" s="481"/>
      <c r="F460" s="480"/>
      <c r="G460" s="480"/>
      <c r="H460" s="607" t="str">
        <f t="shared" si="126"/>
        <v/>
      </c>
      <c r="I460" s="607" t="str">
        <f t="shared" si="127"/>
        <v/>
      </c>
      <c r="J460" s="607" t="str">
        <f t="shared" si="128"/>
        <v/>
      </c>
      <c r="K460" s="208" t="str">
        <f t="shared" si="129"/>
        <v/>
      </c>
      <c r="L460" s="208" t="str">
        <f t="shared" si="130"/>
        <v/>
      </c>
      <c r="M460" s="208" t="str">
        <f t="shared" si="142"/>
        <v/>
      </c>
      <c r="N460" s="608" t="str">
        <f>IF($D$3="", "", IFERROR(VLOOKUP(L460,'PIPE INCENTIVE'!$B$4:$E$19,2,FALSE),""))</f>
        <v/>
      </c>
      <c r="O460" s="608" t="str">
        <f t="shared" si="143"/>
        <v/>
      </c>
      <c r="P460" s="208" t="str">
        <f t="shared" si="144"/>
        <v/>
      </c>
      <c r="Q460" s="208" t="str">
        <f t="shared" si="131"/>
        <v/>
      </c>
      <c r="R460" s="609" t="str">
        <f t="shared" si="132"/>
        <v/>
      </c>
      <c r="S460" s="609" t="str">
        <f t="shared" si="133"/>
        <v/>
      </c>
      <c r="T460" s="609" t="str">
        <f t="shared" si="134"/>
        <v/>
      </c>
      <c r="U460" s="609" t="str" cm="1">
        <f t="array" ref="U460">IFERROR(IF($D$3="","",_xlfn.LET(_xlpm.Mixed,AND(COUNTIF($G$34:$G$533,"Heating_Hot_Water")&gt;0,(COUNTIF($G$34:$G$533,"Steam_Low_Pressure") + COUNTIF($G$34:$G$533,"Steam_Medium_Pressure") + COUNTIF($G$34:$G$533,"Steam_High_Pressure"))&gt;0),_xlpm.fluid, G460,_xlpm.fuel, K460,_xlpm.load,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0" s="609" t="str">
        <f t="shared" si="145"/>
        <v/>
      </c>
      <c r="W460" s="482"/>
      <c r="X460" s="397" t="str" cm="1">
        <f t="array" ref="X460">IFERROR(IF($D$3="","", _xlfn.XLOOKUP(1,($AR$36:$AR$53=F460)*($AS$36:$AS$53=G460), INDEX($AT$36:$BJ$53,,_xlfn.XMATCH(E460,$AT$35:$BJ$35)))),"")</f>
        <v/>
      </c>
      <c r="Y460" s="480"/>
      <c r="Z460" s="482"/>
      <c r="AA460" s="607" t="str" cm="1">
        <f t="array" ref="AA460">IFERROR(IF($D$3="", "", _xlfn.LET(_xlpm.dia, E460, _xlpm.thk, Z460, _xlpm.temp, I460,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0" s="397" t="str" cm="1">
        <f t="array" ref="AB460">IFERROR(IF($D$3="", "", _xlfn.XLOOKUP(1,($AR$57:$AR$76=Y460)*($AS$57:$AS$76=Z460), INDEX($AT$57:$BJ$76,,_xlfn.XMATCH(E460,$AT$56:$BJ$56)))),"")</f>
        <v/>
      </c>
      <c r="AC460" s="208" t="str">
        <f t="shared" si="135"/>
        <v/>
      </c>
      <c r="AD460" s="397" t="str">
        <f t="shared" si="136"/>
        <v/>
      </c>
      <c r="AE460" s="610" t="str">
        <f t="shared" si="137"/>
        <v/>
      </c>
      <c r="AF460" s="610" t="str">
        <f t="shared" si="138"/>
        <v/>
      </c>
      <c r="AG460" s="610" t="str">
        <f t="shared" si="139"/>
        <v/>
      </c>
      <c r="AH460" s="608" t="str">
        <f t="shared" si="140"/>
        <v/>
      </c>
      <c r="AI460" s="610" t="str">
        <f t="shared" si="141"/>
        <v/>
      </c>
    </row>
    <row r="461" spans="2:35" x14ac:dyDescent="0.25">
      <c r="B461" s="209">
        <v>428</v>
      </c>
      <c r="C461" s="480"/>
      <c r="D461" s="480"/>
      <c r="E461" s="481"/>
      <c r="F461" s="480"/>
      <c r="G461" s="480"/>
      <c r="H461" s="607" t="str">
        <f t="shared" si="126"/>
        <v/>
      </c>
      <c r="I461" s="607" t="str">
        <f t="shared" si="127"/>
        <v/>
      </c>
      <c r="J461" s="607" t="str">
        <f t="shared" si="128"/>
        <v/>
      </c>
      <c r="K461" s="208" t="str">
        <f t="shared" si="129"/>
        <v/>
      </c>
      <c r="L461" s="208" t="str">
        <f t="shared" si="130"/>
        <v/>
      </c>
      <c r="M461" s="208" t="str">
        <f t="shared" si="142"/>
        <v/>
      </c>
      <c r="N461" s="608" t="str">
        <f>IF($D$3="", "", IFERROR(VLOOKUP(L461,'PIPE INCENTIVE'!$B$4:$E$19,2,FALSE),""))</f>
        <v/>
      </c>
      <c r="O461" s="608" t="str">
        <f t="shared" si="143"/>
        <v/>
      </c>
      <c r="P461" s="208" t="str">
        <f t="shared" si="144"/>
        <v/>
      </c>
      <c r="Q461" s="208" t="str">
        <f t="shared" si="131"/>
        <v/>
      </c>
      <c r="R461" s="609" t="str">
        <f t="shared" si="132"/>
        <v/>
      </c>
      <c r="S461" s="609" t="str">
        <f t="shared" si="133"/>
        <v/>
      </c>
      <c r="T461" s="609" t="str">
        <f t="shared" si="134"/>
        <v/>
      </c>
      <c r="U461" s="609" t="str" cm="1">
        <f t="array" ref="U461">IFERROR(IF($D$3="","",_xlfn.LET(_xlpm.Mixed,AND(COUNTIF($G$34:$G$533,"Heating_Hot_Water")&gt;0,(COUNTIF($G$34:$G$533,"Steam_Low_Pressure") + COUNTIF($G$34:$G$533,"Steam_Medium_Pressure") + COUNTIF($G$34:$G$533,"Steam_High_Pressure"))&gt;0),_xlpm.fluid, G461,_xlpm.fuel, K461,_xlpm.load,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1" s="609" t="str">
        <f t="shared" si="145"/>
        <v/>
      </c>
      <c r="W461" s="482"/>
      <c r="X461" s="397" t="str" cm="1">
        <f t="array" ref="X461">IFERROR(IF($D$3="","", _xlfn.XLOOKUP(1,($AR$36:$AR$53=F461)*($AS$36:$AS$53=G461), INDEX($AT$36:$BJ$53,,_xlfn.XMATCH(E461,$AT$35:$BJ$35)))),"")</f>
        <v/>
      </c>
      <c r="Y461" s="480"/>
      <c r="Z461" s="482"/>
      <c r="AA461" s="607" t="str" cm="1">
        <f t="array" ref="AA461">IFERROR(IF($D$3="", "", _xlfn.LET(_xlpm.dia, E461, _xlpm.thk, Z461, _xlpm.temp, I461,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1" s="397" t="str" cm="1">
        <f t="array" ref="AB461">IFERROR(IF($D$3="", "", _xlfn.XLOOKUP(1,($AR$57:$AR$76=Y461)*($AS$57:$AS$76=Z461), INDEX($AT$57:$BJ$76,,_xlfn.XMATCH(E461,$AT$56:$BJ$56)))),"")</f>
        <v/>
      </c>
      <c r="AC461" s="208" t="str">
        <f t="shared" si="135"/>
        <v/>
      </c>
      <c r="AD461" s="397" t="str">
        <f t="shared" si="136"/>
        <v/>
      </c>
      <c r="AE461" s="610" t="str">
        <f t="shared" si="137"/>
        <v/>
      </c>
      <c r="AF461" s="610" t="str">
        <f t="shared" si="138"/>
        <v/>
      </c>
      <c r="AG461" s="610" t="str">
        <f t="shared" si="139"/>
        <v/>
      </c>
      <c r="AH461" s="608" t="str">
        <f t="shared" si="140"/>
        <v/>
      </c>
      <c r="AI461" s="610" t="str">
        <f t="shared" si="141"/>
        <v/>
      </c>
    </row>
    <row r="462" spans="2:35" x14ac:dyDescent="0.25">
      <c r="B462" s="209">
        <v>429</v>
      </c>
      <c r="C462" s="480"/>
      <c r="D462" s="480"/>
      <c r="E462" s="481"/>
      <c r="F462" s="480"/>
      <c r="G462" s="480"/>
      <c r="H462" s="607" t="str">
        <f t="shared" si="126"/>
        <v/>
      </c>
      <c r="I462" s="607" t="str">
        <f t="shared" si="127"/>
        <v/>
      </c>
      <c r="J462" s="607" t="str">
        <f t="shared" si="128"/>
        <v/>
      </c>
      <c r="K462" s="208" t="str">
        <f t="shared" si="129"/>
        <v/>
      </c>
      <c r="L462" s="208" t="str">
        <f t="shared" si="130"/>
        <v/>
      </c>
      <c r="M462" s="208" t="str">
        <f t="shared" si="142"/>
        <v/>
      </c>
      <c r="N462" s="608" t="str">
        <f>IF($D$3="", "", IFERROR(VLOOKUP(L462,'PIPE INCENTIVE'!$B$4:$E$19,2,FALSE),""))</f>
        <v/>
      </c>
      <c r="O462" s="608" t="str">
        <f t="shared" si="143"/>
        <v/>
      </c>
      <c r="P462" s="208" t="str">
        <f t="shared" si="144"/>
        <v/>
      </c>
      <c r="Q462" s="208" t="str">
        <f t="shared" si="131"/>
        <v/>
      </c>
      <c r="R462" s="609" t="str">
        <f t="shared" si="132"/>
        <v/>
      </c>
      <c r="S462" s="609" t="str">
        <f t="shared" si="133"/>
        <v/>
      </c>
      <c r="T462" s="609" t="str">
        <f t="shared" si="134"/>
        <v/>
      </c>
      <c r="U462" s="609" t="str" cm="1">
        <f t="array" ref="U462">IFERROR(IF($D$3="","",_xlfn.LET(_xlpm.Mixed,AND(COUNTIF($G$34:$G$533,"Heating_Hot_Water")&gt;0,(COUNTIF($G$34:$G$533,"Steam_Low_Pressure") + COUNTIF($G$34:$G$533,"Steam_Medium_Pressure") + COUNTIF($G$34:$G$533,"Steam_High_Pressure"))&gt;0),_xlpm.fluid, G462,_xlpm.fuel, K462,_xlpm.load,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2" s="609" t="str">
        <f t="shared" si="145"/>
        <v/>
      </c>
      <c r="W462" s="482"/>
      <c r="X462" s="397" t="str" cm="1">
        <f t="array" ref="X462">IFERROR(IF($D$3="","", _xlfn.XLOOKUP(1,($AR$36:$AR$53=F462)*($AS$36:$AS$53=G462), INDEX($AT$36:$BJ$53,,_xlfn.XMATCH(E462,$AT$35:$BJ$35)))),"")</f>
        <v/>
      </c>
      <c r="Y462" s="480"/>
      <c r="Z462" s="482"/>
      <c r="AA462" s="607" t="str" cm="1">
        <f t="array" ref="AA462">IFERROR(IF($D$3="", "", _xlfn.LET(_xlpm.dia, E462, _xlpm.thk, Z462, _xlpm.temp, I462,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2" s="397" t="str" cm="1">
        <f t="array" ref="AB462">IFERROR(IF($D$3="", "", _xlfn.XLOOKUP(1,($AR$57:$AR$76=Y462)*($AS$57:$AS$76=Z462), INDEX($AT$57:$BJ$76,,_xlfn.XMATCH(E462,$AT$56:$BJ$56)))),"")</f>
        <v/>
      </c>
      <c r="AC462" s="208" t="str">
        <f t="shared" si="135"/>
        <v/>
      </c>
      <c r="AD462" s="397" t="str">
        <f t="shared" si="136"/>
        <v/>
      </c>
      <c r="AE462" s="610" t="str">
        <f t="shared" si="137"/>
        <v/>
      </c>
      <c r="AF462" s="610" t="str">
        <f t="shared" si="138"/>
        <v/>
      </c>
      <c r="AG462" s="610" t="str">
        <f t="shared" si="139"/>
        <v/>
      </c>
      <c r="AH462" s="608" t="str">
        <f t="shared" si="140"/>
        <v/>
      </c>
      <c r="AI462" s="610" t="str">
        <f t="shared" si="141"/>
        <v/>
      </c>
    </row>
    <row r="463" spans="2:35" x14ac:dyDescent="0.25">
      <c r="B463" s="209">
        <v>430</v>
      </c>
      <c r="C463" s="480"/>
      <c r="D463" s="480"/>
      <c r="E463" s="481"/>
      <c r="F463" s="480"/>
      <c r="G463" s="480"/>
      <c r="H463" s="607" t="str">
        <f t="shared" si="126"/>
        <v/>
      </c>
      <c r="I463" s="607" t="str">
        <f t="shared" si="127"/>
        <v/>
      </c>
      <c r="J463" s="607" t="str">
        <f t="shared" si="128"/>
        <v/>
      </c>
      <c r="K463" s="208" t="str">
        <f t="shared" si="129"/>
        <v/>
      </c>
      <c r="L463" s="208" t="str">
        <f t="shared" si="130"/>
        <v/>
      </c>
      <c r="M463" s="208" t="str">
        <f t="shared" si="142"/>
        <v/>
      </c>
      <c r="N463" s="608" t="str">
        <f>IF($D$3="", "", IFERROR(VLOOKUP(L463,'PIPE INCENTIVE'!$B$4:$E$19,2,FALSE),""))</f>
        <v/>
      </c>
      <c r="O463" s="608" t="str">
        <f t="shared" si="143"/>
        <v/>
      </c>
      <c r="P463" s="208" t="str">
        <f t="shared" si="144"/>
        <v/>
      </c>
      <c r="Q463" s="208" t="str">
        <f t="shared" si="131"/>
        <v/>
      </c>
      <c r="R463" s="609" t="str">
        <f t="shared" si="132"/>
        <v/>
      </c>
      <c r="S463" s="609" t="str">
        <f t="shared" si="133"/>
        <v/>
      </c>
      <c r="T463" s="609" t="str">
        <f t="shared" si="134"/>
        <v/>
      </c>
      <c r="U463" s="609" t="str" cm="1">
        <f t="array" ref="U463">IFERROR(IF($D$3="","",_xlfn.LET(_xlpm.Mixed,AND(COUNTIF($G$34:$G$533,"Heating_Hot_Water")&gt;0,(COUNTIF($G$34:$G$533,"Steam_Low_Pressure") + COUNTIF($G$34:$G$533,"Steam_Medium_Pressure") + COUNTIF($G$34:$G$533,"Steam_High_Pressure"))&gt;0),_xlpm.fluid, G463,_xlpm.fuel, K463,_xlpm.load,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3" s="609" t="str">
        <f t="shared" si="145"/>
        <v/>
      </c>
      <c r="W463" s="482"/>
      <c r="X463" s="397" t="str" cm="1">
        <f t="array" ref="X463">IFERROR(IF($D$3="","", _xlfn.XLOOKUP(1,($AR$36:$AR$53=F463)*($AS$36:$AS$53=G463), INDEX($AT$36:$BJ$53,,_xlfn.XMATCH(E463,$AT$35:$BJ$35)))),"")</f>
        <v/>
      </c>
      <c r="Y463" s="480"/>
      <c r="Z463" s="482"/>
      <c r="AA463" s="607" t="str" cm="1">
        <f t="array" ref="AA463">IFERROR(IF($D$3="", "", _xlfn.LET(_xlpm.dia, E463, _xlpm.thk, Z463, _xlpm.temp, I463,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3" s="397" t="str" cm="1">
        <f t="array" ref="AB463">IFERROR(IF($D$3="", "", _xlfn.XLOOKUP(1,($AR$57:$AR$76=Y463)*($AS$57:$AS$76=Z463), INDEX($AT$57:$BJ$76,,_xlfn.XMATCH(E463,$AT$56:$BJ$56)))),"")</f>
        <v/>
      </c>
      <c r="AC463" s="208" t="str">
        <f t="shared" si="135"/>
        <v/>
      </c>
      <c r="AD463" s="397" t="str">
        <f t="shared" si="136"/>
        <v/>
      </c>
      <c r="AE463" s="610" t="str">
        <f t="shared" si="137"/>
        <v/>
      </c>
      <c r="AF463" s="610" t="str">
        <f t="shared" si="138"/>
        <v/>
      </c>
      <c r="AG463" s="610" t="str">
        <f t="shared" si="139"/>
        <v/>
      </c>
      <c r="AH463" s="608" t="str">
        <f t="shared" si="140"/>
        <v/>
      </c>
      <c r="AI463" s="610" t="str">
        <f t="shared" si="141"/>
        <v/>
      </c>
    </row>
    <row r="464" spans="2:35" x14ac:dyDescent="0.25">
      <c r="B464" s="209">
        <v>431</v>
      </c>
      <c r="C464" s="480"/>
      <c r="D464" s="480"/>
      <c r="E464" s="481"/>
      <c r="F464" s="480"/>
      <c r="G464" s="480"/>
      <c r="H464" s="607" t="str">
        <f t="shared" si="126"/>
        <v/>
      </c>
      <c r="I464" s="607" t="str">
        <f t="shared" si="127"/>
        <v/>
      </c>
      <c r="J464" s="607" t="str">
        <f t="shared" si="128"/>
        <v/>
      </c>
      <c r="K464" s="208" t="str">
        <f t="shared" si="129"/>
        <v/>
      </c>
      <c r="L464" s="208" t="str">
        <f t="shared" si="130"/>
        <v/>
      </c>
      <c r="M464" s="208" t="str">
        <f t="shared" si="142"/>
        <v/>
      </c>
      <c r="N464" s="608" t="str">
        <f>IF($D$3="", "", IFERROR(VLOOKUP(L464,'PIPE INCENTIVE'!$B$4:$E$19,2,FALSE),""))</f>
        <v/>
      </c>
      <c r="O464" s="608" t="str">
        <f t="shared" si="143"/>
        <v/>
      </c>
      <c r="P464" s="208" t="str">
        <f t="shared" si="144"/>
        <v/>
      </c>
      <c r="Q464" s="208" t="str">
        <f t="shared" si="131"/>
        <v/>
      </c>
      <c r="R464" s="609" t="str">
        <f t="shared" si="132"/>
        <v/>
      </c>
      <c r="S464" s="609" t="str">
        <f t="shared" si="133"/>
        <v/>
      </c>
      <c r="T464" s="609" t="str">
        <f t="shared" si="134"/>
        <v/>
      </c>
      <c r="U464" s="609" t="str" cm="1">
        <f t="array" ref="U464">IFERROR(IF($D$3="","",_xlfn.LET(_xlpm.Mixed,AND(COUNTIF($G$34:$G$533,"Heating_Hot_Water")&gt;0,(COUNTIF($G$34:$G$533,"Steam_Low_Pressure") + COUNTIF($G$34:$G$533,"Steam_Medium_Pressure") + COUNTIF($G$34:$G$533,"Steam_High_Pressure"))&gt;0),_xlpm.fluid, G464,_xlpm.fuel, K464,_xlpm.load,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4" s="609" t="str">
        <f t="shared" si="145"/>
        <v/>
      </c>
      <c r="W464" s="482"/>
      <c r="X464" s="397" t="str" cm="1">
        <f t="array" ref="X464">IFERROR(IF($D$3="","", _xlfn.XLOOKUP(1,($AR$36:$AR$53=F464)*($AS$36:$AS$53=G464), INDEX($AT$36:$BJ$53,,_xlfn.XMATCH(E464,$AT$35:$BJ$35)))),"")</f>
        <v/>
      </c>
      <c r="Y464" s="480"/>
      <c r="Z464" s="482"/>
      <c r="AA464" s="607" t="str" cm="1">
        <f t="array" ref="AA464">IFERROR(IF($D$3="", "", _xlfn.LET(_xlpm.dia, E464, _xlpm.thk, Z464, _xlpm.temp, I464,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4" s="397" t="str" cm="1">
        <f t="array" ref="AB464">IFERROR(IF($D$3="", "", _xlfn.XLOOKUP(1,($AR$57:$AR$76=Y464)*($AS$57:$AS$76=Z464), INDEX($AT$57:$BJ$76,,_xlfn.XMATCH(E464,$AT$56:$BJ$56)))),"")</f>
        <v/>
      </c>
      <c r="AC464" s="208" t="str">
        <f t="shared" si="135"/>
        <v/>
      </c>
      <c r="AD464" s="397" t="str">
        <f t="shared" si="136"/>
        <v/>
      </c>
      <c r="AE464" s="610" t="str">
        <f t="shared" si="137"/>
        <v/>
      </c>
      <c r="AF464" s="610" t="str">
        <f t="shared" si="138"/>
        <v/>
      </c>
      <c r="AG464" s="610" t="str">
        <f t="shared" si="139"/>
        <v/>
      </c>
      <c r="AH464" s="608" t="str">
        <f t="shared" si="140"/>
        <v/>
      </c>
      <c r="AI464" s="610" t="str">
        <f t="shared" si="141"/>
        <v/>
      </c>
    </row>
    <row r="465" spans="2:35" x14ac:dyDescent="0.25">
      <c r="B465" s="209">
        <v>432</v>
      </c>
      <c r="C465" s="480"/>
      <c r="D465" s="480"/>
      <c r="E465" s="481"/>
      <c r="F465" s="480"/>
      <c r="G465" s="480"/>
      <c r="H465" s="607" t="str">
        <f t="shared" si="126"/>
        <v/>
      </c>
      <c r="I465" s="607" t="str">
        <f t="shared" si="127"/>
        <v/>
      </c>
      <c r="J465" s="607" t="str">
        <f t="shared" si="128"/>
        <v/>
      </c>
      <c r="K465" s="208" t="str">
        <f t="shared" si="129"/>
        <v/>
      </c>
      <c r="L465" s="208" t="str">
        <f t="shared" si="130"/>
        <v/>
      </c>
      <c r="M465" s="208" t="str">
        <f t="shared" si="142"/>
        <v/>
      </c>
      <c r="N465" s="608" t="str">
        <f>IF($D$3="", "", IFERROR(VLOOKUP(L465,'PIPE INCENTIVE'!$B$4:$E$19,2,FALSE),""))</f>
        <v/>
      </c>
      <c r="O465" s="608" t="str">
        <f t="shared" si="143"/>
        <v/>
      </c>
      <c r="P465" s="208" t="str">
        <f t="shared" si="144"/>
        <v/>
      </c>
      <c r="Q465" s="208" t="str">
        <f t="shared" si="131"/>
        <v/>
      </c>
      <c r="R465" s="609" t="str">
        <f t="shared" si="132"/>
        <v/>
      </c>
      <c r="S465" s="609" t="str">
        <f t="shared" si="133"/>
        <v/>
      </c>
      <c r="T465" s="609" t="str">
        <f t="shared" si="134"/>
        <v/>
      </c>
      <c r="U465" s="609" t="str" cm="1">
        <f t="array" ref="U465">IFERROR(IF($D$3="","",_xlfn.LET(_xlpm.Mixed,AND(COUNTIF($G$34:$G$533,"Heating_Hot_Water")&gt;0,(COUNTIF($G$34:$G$533,"Steam_Low_Pressure") + COUNTIF($G$34:$G$533,"Steam_Medium_Pressure") + COUNTIF($G$34:$G$533,"Steam_High_Pressure"))&gt;0),_xlpm.fluid, G465,_xlpm.fuel, K465,_xlpm.load,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5" s="609" t="str">
        <f t="shared" si="145"/>
        <v/>
      </c>
      <c r="W465" s="482"/>
      <c r="X465" s="397" t="str" cm="1">
        <f t="array" ref="X465">IFERROR(IF($D$3="","", _xlfn.XLOOKUP(1,($AR$36:$AR$53=F465)*($AS$36:$AS$53=G465), INDEX($AT$36:$BJ$53,,_xlfn.XMATCH(E465,$AT$35:$BJ$35)))),"")</f>
        <v/>
      </c>
      <c r="Y465" s="480"/>
      <c r="Z465" s="482"/>
      <c r="AA465" s="607" t="str" cm="1">
        <f t="array" ref="AA465">IFERROR(IF($D$3="", "", _xlfn.LET(_xlpm.dia, E465, _xlpm.thk, Z465, _xlpm.temp, I465,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5" s="397" t="str" cm="1">
        <f t="array" ref="AB465">IFERROR(IF($D$3="", "", _xlfn.XLOOKUP(1,($AR$57:$AR$76=Y465)*($AS$57:$AS$76=Z465), INDEX($AT$57:$BJ$76,,_xlfn.XMATCH(E465,$AT$56:$BJ$56)))),"")</f>
        <v/>
      </c>
      <c r="AC465" s="208" t="str">
        <f t="shared" si="135"/>
        <v/>
      </c>
      <c r="AD465" s="397" t="str">
        <f t="shared" si="136"/>
        <v/>
      </c>
      <c r="AE465" s="610" t="str">
        <f t="shared" si="137"/>
        <v/>
      </c>
      <c r="AF465" s="610" t="str">
        <f t="shared" si="138"/>
        <v/>
      </c>
      <c r="AG465" s="610" t="str">
        <f t="shared" si="139"/>
        <v/>
      </c>
      <c r="AH465" s="608" t="str">
        <f t="shared" si="140"/>
        <v/>
      </c>
      <c r="AI465" s="610" t="str">
        <f t="shared" si="141"/>
        <v/>
      </c>
    </row>
    <row r="466" spans="2:35" x14ac:dyDescent="0.25">
      <c r="B466" s="209">
        <v>433</v>
      </c>
      <c r="C466" s="480"/>
      <c r="D466" s="480"/>
      <c r="E466" s="481"/>
      <c r="F466" s="480"/>
      <c r="G466" s="480"/>
      <c r="H466" s="607" t="str">
        <f t="shared" si="126"/>
        <v/>
      </c>
      <c r="I466" s="607" t="str">
        <f t="shared" si="127"/>
        <v/>
      </c>
      <c r="J466" s="607" t="str">
        <f t="shared" si="128"/>
        <v/>
      </c>
      <c r="K466" s="208" t="str">
        <f t="shared" si="129"/>
        <v/>
      </c>
      <c r="L466" s="208" t="str">
        <f t="shared" si="130"/>
        <v/>
      </c>
      <c r="M466" s="208" t="str">
        <f t="shared" si="142"/>
        <v/>
      </c>
      <c r="N466" s="608" t="str">
        <f>IF($D$3="", "", IFERROR(VLOOKUP(L466,'PIPE INCENTIVE'!$B$4:$E$19,2,FALSE),""))</f>
        <v/>
      </c>
      <c r="O466" s="608" t="str">
        <f t="shared" si="143"/>
        <v/>
      </c>
      <c r="P466" s="208" t="str">
        <f t="shared" si="144"/>
        <v/>
      </c>
      <c r="Q466" s="208" t="str">
        <f t="shared" si="131"/>
        <v/>
      </c>
      <c r="R466" s="609" t="str">
        <f t="shared" si="132"/>
        <v/>
      </c>
      <c r="S466" s="609" t="str">
        <f t="shared" si="133"/>
        <v/>
      </c>
      <c r="T466" s="609" t="str">
        <f t="shared" si="134"/>
        <v/>
      </c>
      <c r="U466" s="609" t="str" cm="1">
        <f t="array" ref="U466">IFERROR(IF($D$3="","",_xlfn.LET(_xlpm.Mixed,AND(COUNTIF($G$34:$G$533,"Heating_Hot_Water")&gt;0,(COUNTIF($G$34:$G$533,"Steam_Low_Pressure") + COUNTIF($G$34:$G$533,"Steam_Medium_Pressure") + COUNTIF($G$34:$G$533,"Steam_High_Pressure"))&gt;0),_xlpm.fluid, G466,_xlpm.fuel, K466,_xlpm.load,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6" s="609" t="str">
        <f t="shared" si="145"/>
        <v/>
      </c>
      <c r="W466" s="482"/>
      <c r="X466" s="397" t="str" cm="1">
        <f t="array" ref="X466">IFERROR(IF($D$3="","", _xlfn.XLOOKUP(1,($AR$36:$AR$53=F466)*($AS$36:$AS$53=G466), INDEX($AT$36:$BJ$53,,_xlfn.XMATCH(E466,$AT$35:$BJ$35)))),"")</f>
        <v/>
      </c>
      <c r="Y466" s="480"/>
      <c r="Z466" s="482"/>
      <c r="AA466" s="607" t="str" cm="1">
        <f t="array" ref="AA466">IFERROR(IF($D$3="", "", _xlfn.LET(_xlpm.dia, E466, _xlpm.thk, Z466, _xlpm.temp, I466,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6" s="397" t="str" cm="1">
        <f t="array" ref="AB466">IFERROR(IF($D$3="", "", _xlfn.XLOOKUP(1,($AR$57:$AR$76=Y466)*($AS$57:$AS$76=Z466), INDEX($AT$57:$BJ$76,,_xlfn.XMATCH(E466,$AT$56:$BJ$56)))),"")</f>
        <v/>
      </c>
      <c r="AC466" s="208" t="str">
        <f t="shared" si="135"/>
        <v/>
      </c>
      <c r="AD466" s="397" t="str">
        <f t="shared" si="136"/>
        <v/>
      </c>
      <c r="AE466" s="610" t="str">
        <f t="shared" si="137"/>
        <v/>
      </c>
      <c r="AF466" s="610" t="str">
        <f t="shared" si="138"/>
        <v/>
      </c>
      <c r="AG466" s="610" t="str">
        <f t="shared" si="139"/>
        <v/>
      </c>
      <c r="AH466" s="608" t="str">
        <f t="shared" si="140"/>
        <v/>
      </c>
      <c r="AI466" s="610" t="str">
        <f t="shared" si="141"/>
        <v/>
      </c>
    </row>
    <row r="467" spans="2:35" x14ac:dyDescent="0.25">
      <c r="B467" s="209">
        <v>434</v>
      </c>
      <c r="C467" s="480"/>
      <c r="D467" s="480"/>
      <c r="E467" s="481"/>
      <c r="F467" s="480"/>
      <c r="G467" s="480"/>
      <c r="H467" s="607" t="str">
        <f t="shared" si="126"/>
        <v/>
      </c>
      <c r="I467" s="607" t="str">
        <f t="shared" si="127"/>
        <v/>
      </c>
      <c r="J467" s="607" t="str">
        <f t="shared" si="128"/>
        <v/>
      </c>
      <c r="K467" s="208" t="str">
        <f t="shared" si="129"/>
        <v/>
      </c>
      <c r="L467" s="208" t="str">
        <f t="shared" si="130"/>
        <v/>
      </c>
      <c r="M467" s="208" t="str">
        <f t="shared" si="142"/>
        <v/>
      </c>
      <c r="N467" s="608" t="str">
        <f>IF($D$3="", "", IFERROR(VLOOKUP(L467,'PIPE INCENTIVE'!$B$4:$E$19,2,FALSE),""))</f>
        <v/>
      </c>
      <c r="O467" s="608" t="str">
        <f t="shared" si="143"/>
        <v/>
      </c>
      <c r="P467" s="208" t="str">
        <f t="shared" si="144"/>
        <v/>
      </c>
      <c r="Q467" s="208" t="str">
        <f t="shared" si="131"/>
        <v/>
      </c>
      <c r="R467" s="609" t="str">
        <f t="shared" si="132"/>
        <v/>
      </c>
      <c r="S467" s="609" t="str">
        <f t="shared" si="133"/>
        <v/>
      </c>
      <c r="T467" s="609" t="str">
        <f t="shared" si="134"/>
        <v/>
      </c>
      <c r="U467" s="609" t="str" cm="1">
        <f t="array" ref="U467">IFERROR(IF($D$3="","",_xlfn.LET(_xlpm.Mixed,AND(COUNTIF($G$34:$G$533,"Heating_Hot_Water")&gt;0,(COUNTIF($G$34:$G$533,"Steam_Low_Pressure") + COUNTIF($G$34:$G$533,"Steam_Medium_Pressure") + COUNTIF($G$34:$G$533,"Steam_High_Pressure"))&gt;0),_xlpm.fluid, G467,_xlpm.fuel, K467,_xlpm.load,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7" s="609" t="str">
        <f t="shared" si="145"/>
        <v/>
      </c>
      <c r="W467" s="482"/>
      <c r="X467" s="397" t="str" cm="1">
        <f t="array" ref="X467">IFERROR(IF($D$3="","", _xlfn.XLOOKUP(1,($AR$36:$AR$53=F467)*($AS$36:$AS$53=G467), INDEX($AT$36:$BJ$53,,_xlfn.XMATCH(E467,$AT$35:$BJ$35)))),"")</f>
        <v/>
      </c>
      <c r="Y467" s="480"/>
      <c r="Z467" s="482"/>
      <c r="AA467" s="607" t="str" cm="1">
        <f t="array" ref="AA467">IFERROR(IF($D$3="", "", _xlfn.LET(_xlpm.dia, E467, _xlpm.thk, Z467, _xlpm.temp, I467,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7" s="397" t="str" cm="1">
        <f t="array" ref="AB467">IFERROR(IF($D$3="", "", _xlfn.XLOOKUP(1,($AR$57:$AR$76=Y467)*($AS$57:$AS$76=Z467), INDEX($AT$57:$BJ$76,,_xlfn.XMATCH(E467,$AT$56:$BJ$56)))),"")</f>
        <v/>
      </c>
      <c r="AC467" s="208" t="str">
        <f t="shared" si="135"/>
        <v/>
      </c>
      <c r="AD467" s="397" t="str">
        <f t="shared" si="136"/>
        <v/>
      </c>
      <c r="AE467" s="610" t="str">
        <f t="shared" si="137"/>
        <v/>
      </c>
      <c r="AF467" s="610" t="str">
        <f t="shared" si="138"/>
        <v/>
      </c>
      <c r="AG467" s="610" t="str">
        <f t="shared" si="139"/>
        <v/>
      </c>
      <c r="AH467" s="608" t="str">
        <f t="shared" si="140"/>
        <v/>
      </c>
      <c r="AI467" s="610" t="str">
        <f t="shared" si="141"/>
        <v/>
      </c>
    </row>
    <row r="468" spans="2:35" x14ac:dyDescent="0.25">
      <c r="B468" s="209">
        <v>435</v>
      </c>
      <c r="C468" s="480"/>
      <c r="D468" s="480"/>
      <c r="E468" s="481"/>
      <c r="F468" s="480"/>
      <c r="G468" s="480"/>
      <c r="H468" s="607" t="str">
        <f t="shared" si="126"/>
        <v/>
      </c>
      <c r="I468" s="607" t="str">
        <f t="shared" si="127"/>
        <v/>
      </c>
      <c r="J468" s="607" t="str">
        <f t="shared" si="128"/>
        <v/>
      </c>
      <c r="K468" s="208" t="str">
        <f t="shared" si="129"/>
        <v/>
      </c>
      <c r="L468" s="208" t="str">
        <f t="shared" si="130"/>
        <v/>
      </c>
      <c r="M468" s="208" t="str">
        <f t="shared" si="142"/>
        <v/>
      </c>
      <c r="N468" s="608" t="str">
        <f>IF($D$3="", "", IFERROR(VLOOKUP(L468,'PIPE INCENTIVE'!$B$4:$E$19,2,FALSE),""))</f>
        <v/>
      </c>
      <c r="O468" s="608" t="str">
        <f t="shared" si="143"/>
        <v/>
      </c>
      <c r="P468" s="208" t="str">
        <f t="shared" si="144"/>
        <v/>
      </c>
      <c r="Q468" s="208" t="str">
        <f t="shared" si="131"/>
        <v/>
      </c>
      <c r="R468" s="609" t="str">
        <f t="shared" si="132"/>
        <v/>
      </c>
      <c r="S468" s="609" t="str">
        <f t="shared" si="133"/>
        <v/>
      </c>
      <c r="T468" s="609" t="str">
        <f t="shared" si="134"/>
        <v/>
      </c>
      <c r="U468" s="609" t="str" cm="1">
        <f t="array" ref="U468">IFERROR(IF($D$3="","",_xlfn.LET(_xlpm.Mixed,AND(COUNTIF($G$34:$G$533,"Heating_Hot_Water")&gt;0,(COUNTIF($G$34:$G$533,"Steam_Low_Pressure") + COUNTIF($G$34:$G$533,"Steam_Medium_Pressure") + COUNTIF($G$34:$G$533,"Steam_High_Pressure"))&gt;0),_xlpm.fluid, G468,_xlpm.fuel, K468,_xlpm.load,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8" s="609" t="str">
        <f t="shared" si="145"/>
        <v/>
      </c>
      <c r="W468" s="482"/>
      <c r="X468" s="397" t="str" cm="1">
        <f t="array" ref="X468">IFERROR(IF($D$3="","", _xlfn.XLOOKUP(1,($AR$36:$AR$53=F468)*($AS$36:$AS$53=G468), INDEX($AT$36:$BJ$53,,_xlfn.XMATCH(E468,$AT$35:$BJ$35)))),"")</f>
        <v/>
      </c>
      <c r="Y468" s="480"/>
      <c r="Z468" s="482"/>
      <c r="AA468" s="607" t="str" cm="1">
        <f t="array" ref="AA468">IFERROR(IF($D$3="", "", _xlfn.LET(_xlpm.dia, E468, _xlpm.thk, Z468, _xlpm.temp, I468,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8" s="397" t="str" cm="1">
        <f t="array" ref="AB468">IFERROR(IF($D$3="", "", _xlfn.XLOOKUP(1,($AR$57:$AR$76=Y468)*($AS$57:$AS$76=Z468), INDEX($AT$57:$BJ$76,,_xlfn.XMATCH(E468,$AT$56:$BJ$56)))),"")</f>
        <v/>
      </c>
      <c r="AC468" s="208" t="str">
        <f t="shared" si="135"/>
        <v/>
      </c>
      <c r="AD468" s="397" t="str">
        <f t="shared" si="136"/>
        <v/>
      </c>
      <c r="AE468" s="610" t="str">
        <f t="shared" si="137"/>
        <v/>
      </c>
      <c r="AF468" s="610" t="str">
        <f t="shared" si="138"/>
        <v/>
      </c>
      <c r="AG468" s="610" t="str">
        <f t="shared" si="139"/>
        <v/>
      </c>
      <c r="AH468" s="608" t="str">
        <f t="shared" si="140"/>
        <v/>
      </c>
      <c r="AI468" s="610" t="str">
        <f t="shared" si="141"/>
        <v/>
      </c>
    </row>
    <row r="469" spans="2:35" x14ac:dyDescent="0.25">
      <c r="B469" s="209">
        <v>436</v>
      </c>
      <c r="C469" s="480"/>
      <c r="D469" s="480"/>
      <c r="E469" s="481"/>
      <c r="F469" s="480"/>
      <c r="G469" s="480"/>
      <c r="H469" s="607" t="str">
        <f t="shared" si="126"/>
        <v/>
      </c>
      <c r="I469" s="607" t="str">
        <f t="shared" si="127"/>
        <v/>
      </c>
      <c r="J469" s="607" t="str">
        <f t="shared" si="128"/>
        <v/>
      </c>
      <c r="K469" s="208" t="str">
        <f t="shared" si="129"/>
        <v/>
      </c>
      <c r="L469" s="208" t="str">
        <f t="shared" si="130"/>
        <v/>
      </c>
      <c r="M469" s="208" t="str">
        <f t="shared" si="142"/>
        <v/>
      </c>
      <c r="N469" s="608" t="str">
        <f>IF($D$3="", "", IFERROR(VLOOKUP(L469,'PIPE INCENTIVE'!$B$4:$E$19,2,FALSE),""))</f>
        <v/>
      </c>
      <c r="O469" s="608" t="str">
        <f t="shared" si="143"/>
        <v/>
      </c>
      <c r="P469" s="208" t="str">
        <f t="shared" si="144"/>
        <v/>
      </c>
      <c r="Q469" s="208" t="str">
        <f t="shared" si="131"/>
        <v/>
      </c>
      <c r="R469" s="609" t="str">
        <f t="shared" si="132"/>
        <v/>
      </c>
      <c r="S469" s="609" t="str">
        <f t="shared" si="133"/>
        <v/>
      </c>
      <c r="T469" s="609" t="str">
        <f t="shared" si="134"/>
        <v/>
      </c>
      <c r="U469" s="609" t="str" cm="1">
        <f t="array" ref="U469">IFERROR(IF($D$3="","",_xlfn.LET(_xlpm.Mixed,AND(COUNTIF($G$34:$G$533,"Heating_Hot_Water")&gt;0,(COUNTIF($G$34:$G$533,"Steam_Low_Pressure") + COUNTIF($G$34:$G$533,"Steam_Medium_Pressure") + COUNTIF($G$34:$G$533,"Steam_High_Pressure"))&gt;0),_xlpm.fluid, G469,_xlpm.fuel, K469,_xlpm.load,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69" s="609" t="str">
        <f t="shared" si="145"/>
        <v/>
      </c>
      <c r="W469" s="482"/>
      <c r="X469" s="397" t="str" cm="1">
        <f t="array" ref="X469">IFERROR(IF($D$3="","", _xlfn.XLOOKUP(1,($AR$36:$AR$53=F469)*($AS$36:$AS$53=G469), INDEX($AT$36:$BJ$53,,_xlfn.XMATCH(E469,$AT$35:$BJ$35)))),"")</f>
        <v/>
      </c>
      <c r="Y469" s="480"/>
      <c r="Z469" s="482"/>
      <c r="AA469" s="607" t="str" cm="1">
        <f t="array" ref="AA469">IFERROR(IF($D$3="", "", _xlfn.LET(_xlpm.dia, E469, _xlpm.thk, Z469, _xlpm.temp, I469,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69" s="397" t="str" cm="1">
        <f t="array" ref="AB469">IFERROR(IF($D$3="", "", _xlfn.XLOOKUP(1,($AR$57:$AR$76=Y469)*($AS$57:$AS$76=Z469), INDEX($AT$57:$BJ$76,,_xlfn.XMATCH(E469,$AT$56:$BJ$56)))),"")</f>
        <v/>
      </c>
      <c r="AC469" s="208" t="str">
        <f t="shared" si="135"/>
        <v/>
      </c>
      <c r="AD469" s="397" t="str">
        <f t="shared" si="136"/>
        <v/>
      </c>
      <c r="AE469" s="610" t="str">
        <f t="shared" si="137"/>
        <v/>
      </c>
      <c r="AF469" s="610" t="str">
        <f t="shared" si="138"/>
        <v/>
      </c>
      <c r="AG469" s="610" t="str">
        <f t="shared" si="139"/>
        <v/>
      </c>
      <c r="AH469" s="608" t="str">
        <f t="shared" si="140"/>
        <v/>
      </c>
      <c r="AI469" s="610" t="str">
        <f t="shared" si="141"/>
        <v/>
      </c>
    </row>
    <row r="470" spans="2:35" x14ac:dyDescent="0.25">
      <c r="B470" s="209">
        <v>437</v>
      </c>
      <c r="C470" s="480"/>
      <c r="D470" s="480"/>
      <c r="E470" s="481"/>
      <c r="F470" s="480"/>
      <c r="G470" s="480"/>
      <c r="H470" s="607" t="str">
        <f t="shared" si="126"/>
        <v/>
      </c>
      <c r="I470" s="607" t="str">
        <f t="shared" si="127"/>
        <v/>
      </c>
      <c r="J470" s="607" t="str">
        <f t="shared" si="128"/>
        <v/>
      </c>
      <c r="K470" s="208" t="str">
        <f t="shared" si="129"/>
        <v/>
      </c>
      <c r="L470" s="208" t="str">
        <f t="shared" si="130"/>
        <v/>
      </c>
      <c r="M470" s="208" t="str">
        <f t="shared" si="142"/>
        <v/>
      </c>
      <c r="N470" s="608" t="str">
        <f>IF($D$3="", "", IFERROR(VLOOKUP(L470,'PIPE INCENTIVE'!$B$4:$E$19,2,FALSE),""))</f>
        <v/>
      </c>
      <c r="O470" s="608" t="str">
        <f t="shared" si="143"/>
        <v/>
      </c>
      <c r="P470" s="208" t="str">
        <f t="shared" si="144"/>
        <v/>
      </c>
      <c r="Q470" s="208" t="str">
        <f t="shared" si="131"/>
        <v/>
      </c>
      <c r="R470" s="609" t="str">
        <f t="shared" si="132"/>
        <v/>
      </c>
      <c r="S470" s="609" t="str">
        <f t="shared" si="133"/>
        <v/>
      </c>
      <c r="T470" s="609" t="str">
        <f t="shared" si="134"/>
        <v/>
      </c>
      <c r="U470" s="609" t="str" cm="1">
        <f t="array" ref="U470">IFERROR(IF($D$3="","",_xlfn.LET(_xlpm.Mixed,AND(COUNTIF($G$34:$G$533,"Heating_Hot_Water")&gt;0,(COUNTIF($G$34:$G$533,"Steam_Low_Pressure") + COUNTIF($G$34:$G$533,"Steam_Medium_Pressure") + COUNTIF($G$34:$G$533,"Steam_High_Pressure"))&gt;0),_xlpm.fluid, G470,_xlpm.fuel, K470,_xlpm.load,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0" s="609" t="str">
        <f t="shared" si="145"/>
        <v/>
      </c>
      <c r="W470" s="482"/>
      <c r="X470" s="397" t="str" cm="1">
        <f t="array" ref="X470">IFERROR(IF($D$3="","", _xlfn.XLOOKUP(1,($AR$36:$AR$53=F470)*($AS$36:$AS$53=G470), INDEX($AT$36:$BJ$53,,_xlfn.XMATCH(E470,$AT$35:$BJ$35)))),"")</f>
        <v/>
      </c>
      <c r="Y470" s="480"/>
      <c r="Z470" s="482"/>
      <c r="AA470" s="607" t="str" cm="1">
        <f t="array" ref="AA470">IFERROR(IF($D$3="", "", _xlfn.LET(_xlpm.dia, E470, _xlpm.thk, Z470, _xlpm.temp, I470,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0" s="397" t="str" cm="1">
        <f t="array" ref="AB470">IFERROR(IF($D$3="", "", _xlfn.XLOOKUP(1,($AR$57:$AR$76=Y470)*($AS$57:$AS$76=Z470), INDEX($AT$57:$BJ$76,,_xlfn.XMATCH(E470,$AT$56:$BJ$56)))),"")</f>
        <v/>
      </c>
      <c r="AC470" s="208" t="str">
        <f t="shared" si="135"/>
        <v/>
      </c>
      <c r="AD470" s="397" t="str">
        <f t="shared" si="136"/>
        <v/>
      </c>
      <c r="AE470" s="610" t="str">
        <f t="shared" si="137"/>
        <v/>
      </c>
      <c r="AF470" s="610" t="str">
        <f t="shared" si="138"/>
        <v/>
      </c>
      <c r="AG470" s="610" t="str">
        <f t="shared" si="139"/>
        <v/>
      </c>
      <c r="AH470" s="608" t="str">
        <f t="shared" si="140"/>
        <v/>
      </c>
      <c r="AI470" s="610" t="str">
        <f t="shared" si="141"/>
        <v/>
      </c>
    </row>
    <row r="471" spans="2:35" x14ac:dyDescent="0.25">
      <c r="B471" s="209">
        <v>438</v>
      </c>
      <c r="C471" s="480"/>
      <c r="D471" s="480"/>
      <c r="E471" s="481"/>
      <c r="F471" s="480"/>
      <c r="G471" s="480"/>
      <c r="H471" s="607" t="str">
        <f t="shared" si="126"/>
        <v/>
      </c>
      <c r="I471" s="607" t="str">
        <f t="shared" si="127"/>
        <v/>
      </c>
      <c r="J471" s="607" t="str">
        <f t="shared" si="128"/>
        <v/>
      </c>
      <c r="K471" s="208" t="str">
        <f t="shared" si="129"/>
        <v/>
      </c>
      <c r="L471" s="208" t="str">
        <f t="shared" si="130"/>
        <v/>
      </c>
      <c r="M471" s="208" t="str">
        <f t="shared" si="142"/>
        <v/>
      </c>
      <c r="N471" s="608" t="str">
        <f>IF($D$3="", "", IFERROR(VLOOKUP(L471,'PIPE INCENTIVE'!$B$4:$E$19,2,FALSE),""))</f>
        <v/>
      </c>
      <c r="O471" s="608" t="str">
        <f t="shared" si="143"/>
        <v/>
      </c>
      <c r="P471" s="208" t="str">
        <f t="shared" si="144"/>
        <v/>
      </c>
      <c r="Q471" s="208" t="str">
        <f t="shared" si="131"/>
        <v/>
      </c>
      <c r="R471" s="609" t="str">
        <f t="shared" si="132"/>
        <v/>
      </c>
      <c r="S471" s="609" t="str">
        <f t="shared" si="133"/>
        <v/>
      </c>
      <c r="T471" s="609" t="str">
        <f t="shared" si="134"/>
        <v/>
      </c>
      <c r="U471" s="609" t="str" cm="1">
        <f t="array" ref="U471">IFERROR(IF($D$3="","",_xlfn.LET(_xlpm.Mixed,AND(COUNTIF($G$34:$G$533,"Heating_Hot_Water")&gt;0,(COUNTIF($G$34:$G$533,"Steam_Low_Pressure") + COUNTIF($G$34:$G$533,"Steam_Medium_Pressure") + COUNTIF($G$34:$G$533,"Steam_High_Pressure"))&gt;0),_xlpm.fluid, G471,_xlpm.fuel, K471,_xlpm.load,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1" s="609" t="str">
        <f t="shared" si="145"/>
        <v/>
      </c>
      <c r="W471" s="482"/>
      <c r="X471" s="397" t="str" cm="1">
        <f t="array" ref="X471">IFERROR(IF($D$3="","", _xlfn.XLOOKUP(1,($AR$36:$AR$53=F471)*($AS$36:$AS$53=G471), INDEX($AT$36:$BJ$53,,_xlfn.XMATCH(E471,$AT$35:$BJ$35)))),"")</f>
        <v/>
      </c>
      <c r="Y471" s="480"/>
      <c r="Z471" s="482"/>
      <c r="AA471" s="607" t="str" cm="1">
        <f t="array" ref="AA471">IFERROR(IF($D$3="", "", _xlfn.LET(_xlpm.dia, E471, _xlpm.thk, Z471, _xlpm.temp, I471,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1" s="397" t="str" cm="1">
        <f t="array" ref="AB471">IFERROR(IF($D$3="", "", _xlfn.XLOOKUP(1,($AR$57:$AR$76=Y471)*($AS$57:$AS$76=Z471), INDEX($AT$57:$BJ$76,,_xlfn.XMATCH(E471,$AT$56:$BJ$56)))),"")</f>
        <v/>
      </c>
      <c r="AC471" s="208" t="str">
        <f t="shared" si="135"/>
        <v/>
      </c>
      <c r="AD471" s="397" t="str">
        <f t="shared" si="136"/>
        <v/>
      </c>
      <c r="AE471" s="610" t="str">
        <f t="shared" si="137"/>
        <v/>
      </c>
      <c r="AF471" s="610" t="str">
        <f t="shared" si="138"/>
        <v/>
      </c>
      <c r="AG471" s="610" t="str">
        <f t="shared" si="139"/>
        <v/>
      </c>
      <c r="AH471" s="608" t="str">
        <f t="shared" si="140"/>
        <v/>
      </c>
      <c r="AI471" s="610" t="str">
        <f t="shared" si="141"/>
        <v/>
      </c>
    </row>
    <row r="472" spans="2:35" x14ac:dyDescent="0.25">
      <c r="B472" s="209">
        <v>439</v>
      </c>
      <c r="C472" s="480"/>
      <c r="D472" s="480"/>
      <c r="E472" s="481"/>
      <c r="F472" s="480"/>
      <c r="G472" s="480"/>
      <c r="H472" s="607" t="str">
        <f t="shared" si="126"/>
        <v/>
      </c>
      <c r="I472" s="607" t="str">
        <f t="shared" si="127"/>
        <v/>
      </c>
      <c r="J472" s="607" t="str">
        <f t="shared" si="128"/>
        <v/>
      </c>
      <c r="K472" s="208" t="str">
        <f t="shared" si="129"/>
        <v/>
      </c>
      <c r="L472" s="208" t="str">
        <f t="shared" si="130"/>
        <v/>
      </c>
      <c r="M472" s="208" t="str">
        <f t="shared" si="142"/>
        <v/>
      </c>
      <c r="N472" s="608" t="str">
        <f>IF($D$3="", "", IFERROR(VLOOKUP(L472,'PIPE INCENTIVE'!$B$4:$E$19,2,FALSE),""))</f>
        <v/>
      </c>
      <c r="O472" s="608" t="str">
        <f t="shared" si="143"/>
        <v/>
      </c>
      <c r="P472" s="208" t="str">
        <f t="shared" si="144"/>
        <v/>
      </c>
      <c r="Q472" s="208" t="str">
        <f t="shared" si="131"/>
        <v/>
      </c>
      <c r="R472" s="609" t="str">
        <f t="shared" si="132"/>
        <v/>
      </c>
      <c r="S472" s="609" t="str">
        <f t="shared" si="133"/>
        <v/>
      </c>
      <c r="T472" s="609" t="str">
        <f t="shared" si="134"/>
        <v/>
      </c>
      <c r="U472" s="609" t="str" cm="1">
        <f t="array" ref="U472">IFERROR(IF($D$3="","",_xlfn.LET(_xlpm.Mixed,AND(COUNTIF($G$34:$G$533,"Heating_Hot_Water")&gt;0,(COUNTIF($G$34:$G$533,"Steam_Low_Pressure") + COUNTIF($G$34:$G$533,"Steam_Medium_Pressure") + COUNTIF($G$34:$G$533,"Steam_High_Pressure"))&gt;0),_xlpm.fluid, G472,_xlpm.fuel, K472,_xlpm.load,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2" s="609" t="str">
        <f t="shared" si="145"/>
        <v/>
      </c>
      <c r="W472" s="482"/>
      <c r="X472" s="397" t="str" cm="1">
        <f t="array" ref="X472">IFERROR(IF($D$3="","", _xlfn.XLOOKUP(1,($AR$36:$AR$53=F472)*($AS$36:$AS$53=G472), INDEX($AT$36:$BJ$53,,_xlfn.XMATCH(E472,$AT$35:$BJ$35)))),"")</f>
        <v/>
      </c>
      <c r="Y472" s="480"/>
      <c r="Z472" s="482"/>
      <c r="AA472" s="607" t="str" cm="1">
        <f t="array" ref="AA472">IFERROR(IF($D$3="", "", _xlfn.LET(_xlpm.dia, E472, _xlpm.thk, Z472, _xlpm.temp, I472,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2" s="397" t="str" cm="1">
        <f t="array" ref="AB472">IFERROR(IF($D$3="", "", _xlfn.XLOOKUP(1,($AR$57:$AR$76=Y472)*($AS$57:$AS$76=Z472), INDEX($AT$57:$BJ$76,,_xlfn.XMATCH(E472,$AT$56:$BJ$56)))),"")</f>
        <v/>
      </c>
      <c r="AC472" s="208" t="str">
        <f t="shared" si="135"/>
        <v/>
      </c>
      <c r="AD472" s="397" t="str">
        <f t="shared" si="136"/>
        <v/>
      </c>
      <c r="AE472" s="610" t="str">
        <f t="shared" si="137"/>
        <v/>
      </c>
      <c r="AF472" s="610" t="str">
        <f t="shared" si="138"/>
        <v/>
      </c>
      <c r="AG472" s="610" t="str">
        <f t="shared" si="139"/>
        <v/>
      </c>
      <c r="AH472" s="608" t="str">
        <f t="shared" si="140"/>
        <v/>
      </c>
      <c r="AI472" s="610" t="str">
        <f t="shared" si="141"/>
        <v/>
      </c>
    </row>
    <row r="473" spans="2:35" x14ac:dyDescent="0.25">
      <c r="B473" s="209">
        <v>440</v>
      </c>
      <c r="C473" s="480"/>
      <c r="D473" s="480"/>
      <c r="E473" s="481"/>
      <c r="F473" s="480"/>
      <c r="G473" s="480"/>
      <c r="H473" s="607" t="str">
        <f t="shared" si="126"/>
        <v/>
      </c>
      <c r="I473" s="607" t="str">
        <f t="shared" si="127"/>
        <v/>
      </c>
      <c r="J473" s="607" t="str">
        <f t="shared" si="128"/>
        <v/>
      </c>
      <c r="K473" s="208" t="str">
        <f t="shared" si="129"/>
        <v/>
      </c>
      <c r="L473" s="208" t="str">
        <f t="shared" si="130"/>
        <v/>
      </c>
      <c r="M473" s="208" t="str">
        <f t="shared" si="142"/>
        <v/>
      </c>
      <c r="N473" s="608" t="str">
        <f>IF($D$3="", "", IFERROR(VLOOKUP(L473,'PIPE INCENTIVE'!$B$4:$E$19,2,FALSE),""))</f>
        <v/>
      </c>
      <c r="O473" s="608" t="str">
        <f t="shared" si="143"/>
        <v/>
      </c>
      <c r="P473" s="208" t="str">
        <f t="shared" si="144"/>
        <v/>
      </c>
      <c r="Q473" s="208" t="str">
        <f t="shared" si="131"/>
        <v/>
      </c>
      <c r="R473" s="609" t="str">
        <f t="shared" si="132"/>
        <v/>
      </c>
      <c r="S473" s="609" t="str">
        <f t="shared" si="133"/>
        <v/>
      </c>
      <c r="T473" s="609" t="str">
        <f t="shared" si="134"/>
        <v/>
      </c>
      <c r="U473" s="609" t="str" cm="1">
        <f t="array" ref="U473">IFERROR(IF($D$3="","",_xlfn.LET(_xlpm.Mixed,AND(COUNTIF($G$34:$G$533,"Heating_Hot_Water")&gt;0,(COUNTIF($G$34:$G$533,"Steam_Low_Pressure") + COUNTIF($G$34:$G$533,"Steam_Medium_Pressure") + COUNTIF($G$34:$G$533,"Steam_High_Pressure"))&gt;0),_xlpm.fluid, G473,_xlpm.fuel, K473,_xlpm.load,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3" s="609" t="str">
        <f t="shared" si="145"/>
        <v/>
      </c>
      <c r="W473" s="482"/>
      <c r="X473" s="397" t="str" cm="1">
        <f t="array" ref="X473">IFERROR(IF($D$3="","", _xlfn.XLOOKUP(1,($AR$36:$AR$53=F473)*($AS$36:$AS$53=G473), INDEX($AT$36:$BJ$53,,_xlfn.XMATCH(E473,$AT$35:$BJ$35)))),"")</f>
        <v/>
      </c>
      <c r="Y473" s="480"/>
      <c r="Z473" s="482"/>
      <c r="AA473" s="607" t="str" cm="1">
        <f t="array" ref="AA473">IFERROR(IF($D$3="", "", _xlfn.LET(_xlpm.dia, E473, _xlpm.thk, Z473, _xlpm.temp, I473,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3" s="397" t="str" cm="1">
        <f t="array" ref="AB473">IFERROR(IF($D$3="", "", _xlfn.XLOOKUP(1,($AR$57:$AR$76=Y473)*($AS$57:$AS$76=Z473), INDEX($AT$57:$BJ$76,,_xlfn.XMATCH(E473,$AT$56:$BJ$56)))),"")</f>
        <v/>
      </c>
      <c r="AC473" s="208" t="str">
        <f t="shared" si="135"/>
        <v/>
      </c>
      <c r="AD473" s="397" t="str">
        <f t="shared" si="136"/>
        <v/>
      </c>
      <c r="AE473" s="610" t="str">
        <f t="shared" si="137"/>
        <v/>
      </c>
      <c r="AF473" s="610" t="str">
        <f t="shared" si="138"/>
        <v/>
      </c>
      <c r="AG473" s="610" t="str">
        <f t="shared" si="139"/>
        <v/>
      </c>
      <c r="AH473" s="608" t="str">
        <f t="shared" si="140"/>
        <v/>
      </c>
      <c r="AI473" s="610" t="str">
        <f t="shared" si="141"/>
        <v/>
      </c>
    </row>
    <row r="474" spans="2:35" x14ac:dyDescent="0.25">
      <c r="B474" s="209">
        <v>441</v>
      </c>
      <c r="C474" s="480"/>
      <c r="D474" s="480"/>
      <c r="E474" s="481"/>
      <c r="F474" s="480"/>
      <c r="G474" s="480"/>
      <c r="H474" s="607" t="str">
        <f t="shared" si="126"/>
        <v/>
      </c>
      <c r="I474" s="607" t="str">
        <f t="shared" si="127"/>
        <v/>
      </c>
      <c r="J474" s="607" t="str">
        <f t="shared" si="128"/>
        <v/>
      </c>
      <c r="K474" s="208" t="str">
        <f t="shared" si="129"/>
        <v/>
      </c>
      <c r="L474" s="208" t="str">
        <f t="shared" si="130"/>
        <v/>
      </c>
      <c r="M474" s="208" t="str">
        <f t="shared" si="142"/>
        <v/>
      </c>
      <c r="N474" s="608" t="str">
        <f>IF($D$3="", "", IFERROR(VLOOKUP(L474,'PIPE INCENTIVE'!$B$4:$E$19,2,FALSE),""))</f>
        <v/>
      </c>
      <c r="O474" s="608" t="str">
        <f t="shared" si="143"/>
        <v/>
      </c>
      <c r="P474" s="208" t="str">
        <f t="shared" si="144"/>
        <v/>
      </c>
      <c r="Q474" s="208" t="str">
        <f t="shared" si="131"/>
        <v/>
      </c>
      <c r="R474" s="609" t="str">
        <f t="shared" si="132"/>
        <v/>
      </c>
      <c r="S474" s="609" t="str">
        <f t="shared" si="133"/>
        <v/>
      </c>
      <c r="T474" s="609" t="str">
        <f t="shared" si="134"/>
        <v/>
      </c>
      <c r="U474" s="609" t="str" cm="1">
        <f t="array" ref="U474">IFERROR(IF($D$3="","",_xlfn.LET(_xlpm.Mixed,AND(COUNTIF($G$34:$G$533,"Heating_Hot_Water")&gt;0,(COUNTIF($G$34:$G$533,"Steam_Low_Pressure") + COUNTIF($G$34:$G$533,"Steam_Medium_Pressure") + COUNTIF($G$34:$G$533,"Steam_High_Pressure"))&gt;0),_xlpm.fluid, G474,_xlpm.fuel, K474,_xlpm.load,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4" s="609" t="str">
        <f t="shared" si="145"/>
        <v/>
      </c>
      <c r="W474" s="482"/>
      <c r="X474" s="397" t="str" cm="1">
        <f t="array" ref="X474">IFERROR(IF($D$3="","", _xlfn.XLOOKUP(1,($AR$36:$AR$53=F474)*($AS$36:$AS$53=G474), INDEX($AT$36:$BJ$53,,_xlfn.XMATCH(E474,$AT$35:$BJ$35)))),"")</f>
        <v/>
      </c>
      <c r="Y474" s="480"/>
      <c r="Z474" s="482"/>
      <c r="AA474" s="607" t="str" cm="1">
        <f t="array" ref="AA474">IFERROR(IF($D$3="", "", _xlfn.LET(_xlpm.dia, E474, _xlpm.thk, Z474, _xlpm.temp, I474,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4" s="397" t="str" cm="1">
        <f t="array" ref="AB474">IFERROR(IF($D$3="", "", _xlfn.XLOOKUP(1,($AR$57:$AR$76=Y474)*($AS$57:$AS$76=Z474), INDEX($AT$57:$BJ$76,,_xlfn.XMATCH(E474,$AT$56:$BJ$56)))),"")</f>
        <v/>
      </c>
      <c r="AC474" s="208" t="str">
        <f t="shared" si="135"/>
        <v/>
      </c>
      <c r="AD474" s="397" t="str">
        <f t="shared" si="136"/>
        <v/>
      </c>
      <c r="AE474" s="610" t="str">
        <f t="shared" si="137"/>
        <v/>
      </c>
      <c r="AF474" s="610" t="str">
        <f t="shared" si="138"/>
        <v/>
      </c>
      <c r="AG474" s="610" t="str">
        <f t="shared" si="139"/>
        <v/>
      </c>
      <c r="AH474" s="608" t="str">
        <f t="shared" si="140"/>
        <v/>
      </c>
      <c r="AI474" s="610" t="str">
        <f t="shared" si="141"/>
        <v/>
      </c>
    </row>
    <row r="475" spans="2:35" x14ac:dyDescent="0.25">
      <c r="B475" s="209">
        <v>442</v>
      </c>
      <c r="C475" s="480"/>
      <c r="D475" s="480"/>
      <c r="E475" s="481"/>
      <c r="F475" s="480"/>
      <c r="G475" s="480"/>
      <c r="H475" s="607" t="str">
        <f t="shared" si="126"/>
        <v/>
      </c>
      <c r="I475" s="607" t="str">
        <f t="shared" si="127"/>
        <v/>
      </c>
      <c r="J475" s="607" t="str">
        <f t="shared" si="128"/>
        <v/>
      </c>
      <c r="K475" s="208" t="str">
        <f t="shared" si="129"/>
        <v/>
      </c>
      <c r="L475" s="208" t="str">
        <f t="shared" si="130"/>
        <v/>
      </c>
      <c r="M475" s="208" t="str">
        <f t="shared" si="142"/>
        <v/>
      </c>
      <c r="N475" s="608" t="str">
        <f>IF($D$3="", "", IFERROR(VLOOKUP(L475,'PIPE INCENTIVE'!$B$4:$E$19,2,FALSE),""))</f>
        <v/>
      </c>
      <c r="O475" s="608" t="str">
        <f t="shared" si="143"/>
        <v/>
      </c>
      <c r="P475" s="208" t="str">
        <f t="shared" si="144"/>
        <v/>
      </c>
      <c r="Q475" s="208" t="str">
        <f t="shared" si="131"/>
        <v/>
      </c>
      <c r="R475" s="609" t="str">
        <f t="shared" si="132"/>
        <v/>
      </c>
      <c r="S475" s="609" t="str">
        <f t="shared" si="133"/>
        <v/>
      </c>
      <c r="T475" s="609" t="str">
        <f t="shared" si="134"/>
        <v/>
      </c>
      <c r="U475" s="609" t="str" cm="1">
        <f t="array" ref="U475">IFERROR(IF($D$3="","",_xlfn.LET(_xlpm.Mixed,AND(COUNTIF($G$34:$G$533,"Heating_Hot_Water")&gt;0,(COUNTIF($G$34:$G$533,"Steam_Low_Pressure") + COUNTIF($G$34:$G$533,"Steam_Medium_Pressure") + COUNTIF($G$34:$G$533,"Steam_High_Pressure"))&gt;0),_xlpm.fluid, G475,_xlpm.fuel, K475,_xlpm.load,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5" s="609" t="str">
        <f t="shared" si="145"/>
        <v/>
      </c>
      <c r="W475" s="482"/>
      <c r="X475" s="397" t="str" cm="1">
        <f t="array" ref="X475">IFERROR(IF($D$3="","", _xlfn.XLOOKUP(1,($AR$36:$AR$53=F475)*($AS$36:$AS$53=G475), INDEX($AT$36:$BJ$53,,_xlfn.XMATCH(E475,$AT$35:$BJ$35)))),"")</f>
        <v/>
      </c>
      <c r="Y475" s="480"/>
      <c r="Z475" s="482"/>
      <c r="AA475" s="607" t="str" cm="1">
        <f t="array" ref="AA475">IFERROR(IF($D$3="", "", _xlfn.LET(_xlpm.dia, E475, _xlpm.thk, Z475, _xlpm.temp, I475,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5" s="397" t="str" cm="1">
        <f t="array" ref="AB475">IFERROR(IF($D$3="", "", _xlfn.XLOOKUP(1,($AR$57:$AR$76=Y475)*($AS$57:$AS$76=Z475), INDEX($AT$57:$BJ$76,,_xlfn.XMATCH(E475,$AT$56:$BJ$56)))),"")</f>
        <v/>
      </c>
      <c r="AC475" s="208" t="str">
        <f t="shared" si="135"/>
        <v/>
      </c>
      <c r="AD475" s="397" t="str">
        <f t="shared" si="136"/>
        <v/>
      </c>
      <c r="AE475" s="610" t="str">
        <f t="shared" si="137"/>
        <v/>
      </c>
      <c r="AF475" s="610" t="str">
        <f t="shared" si="138"/>
        <v/>
      </c>
      <c r="AG475" s="610" t="str">
        <f t="shared" si="139"/>
        <v/>
      </c>
      <c r="AH475" s="608" t="str">
        <f t="shared" si="140"/>
        <v/>
      </c>
      <c r="AI475" s="610" t="str">
        <f t="shared" si="141"/>
        <v/>
      </c>
    </row>
    <row r="476" spans="2:35" x14ac:dyDescent="0.25">
      <c r="B476" s="209">
        <v>443</v>
      </c>
      <c r="C476" s="480"/>
      <c r="D476" s="480"/>
      <c r="E476" s="481"/>
      <c r="F476" s="480"/>
      <c r="G476" s="480"/>
      <c r="H476" s="607" t="str">
        <f t="shared" si="126"/>
        <v/>
      </c>
      <c r="I476" s="607" t="str">
        <f t="shared" si="127"/>
        <v/>
      </c>
      <c r="J476" s="607" t="str">
        <f t="shared" si="128"/>
        <v/>
      </c>
      <c r="K476" s="208" t="str">
        <f t="shared" si="129"/>
        <v/>
      </c>
      <c r="L476" s="208" t="str">
        <f t="shared" si="130"/>
        <v/>
      </c>
      <c r="M476" s="208" t="str">
        <f t="shared" si="142"/>
        <v/>
      </c>
      <c r="N476" s="608" t="str">
        <f>IF($D$3="", "", IFERROR(VLOOKUP(L476,'PIPE INCENTIVE'!$B$4:$E$19,2,FALSE),""))</f>
        <v/>
      </c>
      <c r="O476" s="608" t="str">
        <f t="shared" si="143"/>
        <v/>
      </c>
      <c r="P476" s="208" t="str">
        <f t="shared" si="144"/>
        <v/>
      </c>
      <c r="Q476" s="208" t="str">
        <f t="shared" si="131"/>
        <v/>
      </c>
      <c r="R476" s="609" t="str">
        <f t="shared" si="132"/>
        <v/>
      </c>
      <c r="S476" s="609" t="str">
        <f t="shared" si="133"/>
        <v/>
      </c>
      <c r="T476" s="609" t="str">
        <f t="shared" si="134"/>
        <v/>
      </c>
      <c r="U476" s="609" t="str" cm="1">
        <f t="array" ref="U476">IFERROR(IF($D$3="","",_xlfn.LET(_xlpm.Mixed,AND(COUNTIF($G$34:$G$533,"Heating_Hot_Water")&gt;0,(COUNTIF($G$34:$G$533,"Steam_Low_Pressure") + COUNTIF($G$34:$G$533,"Steam_Medium_Pressure") + COUNTIF($G$34:$G$533,"Steam_High_Pressure"))&gt;0),_xlpm.fluid, G476,_xlpm.fuel, K476,_xlpm.load,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6" s="609" t="str">
        <f t="shared" si="145"/>
        <v/>
      </c>
      <c r="W476" s="482"/>
      <c r="X476" s="397" t="str" cm="1">
        <f t="array" ref="X476">IFERROR(IF($D$3="","", _xlfn.XLOOKUP(1,($AR$36:$AR$53=F476)*($AS$36:$AS$53=G476), INDEX($AT$36:$BJ$53,,_xlfn.XMATCH(E476,$AT$35:$BJ$35)))),"")</f>
        <v/>
      </c>
      <c r="Y476" s="480"/>
      <c r="Z476" s="482"/>
      <c r="AA476" s="607" t="str" cm="1">
        <f t="array" ref="AA476">IFERROR(IF($D$3="", "", _xlfn.LET(_xlpm.dia, E476, _xlpm.thk, Z476, _xlpm.temp, I476,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6" s="397" t="str" cm="1">
        <f t="array" ref="AB476">IFERROR(IF($D$3="", "", _xlfn.XLOOKUP(1,($AR$57:$AR$76=Y476)*($AS$57:$AS$76=Z476), INDEX($AT$57:$BJ$76,,_xlfn.XMATCH(E476,$AT$56:$BJ$56)))),"")</f>
        <v/>
      </c>
      <c r="AC476" s="208" t="str">
        <f t="shared" si="135"/>
        <v/>
      </c>
      <c r="AD476" s="397" t="str">
        <f t="shared" si="136"/>
        <v/>
      </c>
      <c r="AE476" s="610" t="str">
        <f t="shared" si="137"/>
        <v/>
      </c>
      <c r="AF476" s="610" t="str">
        <f t="shared" si="138"/>
        <v/>
      </c>
      <c r="AG476" s="610" t="str">
        <f t="shared" si="139"/>
        <v/>
      </c>
      <c r="AH476" s="608" t="str">
        <f t="shared" si="140"/>
        <v/>
      </c>
      <c r="AI476" s="610" t="str">
        <f t="shared" si="141"/>
        <v/>
      </c>
    </row>
    <row r="477" spans="2:35" x14ac:dyDescent="0.25">
      <c r="B477" s="209">
        <v>444</v>
      </c>
      <c r="C477" s="480"/>
      <c r="D477" s="480"/>
      <c r="E477" s="481"/>
      <c r="F477" s="480"/>
      <c r="G477" s="480"/>
      <c r="H477" s="607" t="str">
        <f t="shared" si="126"/>
        <v/>
      </c>
      <c r="I477" s="607" t="str">
        <f t="shared" si="127"/>
        <v/>
      </c>
      <c r="J477" s="607" t="str">
        <f t="shared" si="128"/>
        <v/>
      </c>
      <c r="K477" s="208" t="str">
        <f t="shared" si="129"/>
        <v/>
      </c>
      <c r="L477" s="208" t="str">
        <f t="shared" si="130"/>
        <v/>
      </c>
      <c r="M477" s="208" t="str">
        <f t="shared" si="142"/>
        <v/>
      </c>
      <c r="N477" s="608" t="str">
        <f>IF($D$3="", "", IFERROR(VLOOKUP(L477,'PIPE INCENTIVE'!$B$4:$E$19,2,FALSE),""))</f>
        <v/>
      </c>
      <c r="O477" s="608" t="str">
        <f t="shared" si="143"/>
        <v/>
      </c>
      <c r="P477" s="208" t="str">
        <f t="shared" si="144"/>
        <v/>
      </c>
      <c r="Q477" s="208" t="str">
        <f t="shared" si="131"/>
        <v/>
      </c>
      <c r="R477" s="609" t="str">
        <f t="shared" si="132"/>
        <v/>
      </c>
      <c r="S477" s="609" t="str">
        <f t="shared" si="133"/>
        <v/>
      </c>
      <c r="T477" s="609" t="str">
        <f t="shared" si="134"/>
        <v/>
      </c>
      <c r="U477" s="609" t="str" cm="1">
        <f t="array" ref="U477">IFERROR(IF($D$3="","",_xlfn.LET(_xlpm.Mixed,AND(COUNTIF($G$34:$G$533,"Heating_Hot_Water")&gt;0,(COUNTIF($G$34:$G$533,"Steam_Low_Pressure") + COUNTIF($G$34:$G$533,"Steam_Medium_Pressure") + COUNTIF($G$34:$G$533,"Steam_High_Pressure"))&gt;0),_xlpm.fluid, G477,_xlpm.fuel, K477,_xlpm.load,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7" s="609" t="str">
        <f t="shared" si="145"/>
        <v/>
      </c>
      <c r="W477" s="482"/>
      <c r="X477" s="397" t="str" cm="1">
        <f t="array" ref="X477">IFERROR(IF($D$3="","", _xlfn.XLOOKUP(1,($AR$36:$AR$53=F477)*($AS$36:$AS$53=G477), INDEX($AT$36:$BJ$53,,_xlfn.XMATCH(E477,$AT$35:$BJ$35)))),"")</f>
        <v/>
      </c>
      <c r="Y477" s="480"/>
      <c r="Z477" s="482"/>
      <c r="AA477" s="607" t="str" cm="1">
        <f t="array" ref="AA477">IFERROR(IF($D$3="", "", _xlfn.LET(_xlpm.dia, E477, _xlpm.thk, Z477, _xlpm.temp, I477,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7" s="397" t="str" cm="1">
        <f t="array" ref="AB477">IFERROR(IF($D$3="", "", _xlfn.XLOOKUP(1,($AR$57:$AR$76=Y477)*($AS$57:$AS$76=Z477), INDEX($AT$57:$BJ$76,,_xlfn.XMATCH(E477,$AT$56:$BJ$56)))),"")</f>
        <v/>
      </c>
      <c r="AC477" s="208" t="str">
        <f t="shared" si="135"/>
        <v/>
      </c>
      <c r="AD477" s="397" t="str">
        <f t="shared" si="136"/>
        <v/>
      </c>
      <c r="AE477" s="610" t="str">
        <f t="shared" si="137"/>
        <v/>
      </c>
      <c r="AF477" s="610" t="str">
        <f t="shared" si="138"/>
        <v/>
      </c>
      <c r="AG477" s="610" t="str">
        <f t="shared" si="139"/>
        <v/>
      </c>
      <c r="AH477" s="608" t="str">
        <f t="shared" si="140"/>
        <v/>
      </c>
      <c r="AI477" s="610" t="str">
        <f t="shared" si="141"/>
        <v/>
      </c>
    </row>
    <row r="478" spans="2:35" x14ac:dyDescent="0.25">
      <c r="B478" s="209">
        <v>445</v>
      </c>
      <c r="C478" s="480"/>
      <c r="D478" s="480"/>
      <c r="E478" s="481"/>
      <c r="F478" s="480"/>
      <c r="G478" s="480"/>
      <c r="H478" s="607" t="str">
        <f t="shared" si="126"/>
        <v/>
      </c>
      <c r="I478" s="607" t="str">
        <f t="shared" si="127"/>
        <v/>
      </c>
      <c r="J478" s="607" t="str">
        <f t="shared" si="128"/>
        <v/>
      </c>
      <c r="K478" s="208" t="str">
        <f t="shared" si="129"/>
        <v/>
      </c>
      <c r="L478" s="208" t="str">
        <f t="shared" si="130"/>
        <v/>
      </c>
      <c r="M478" s="208" t="str">
        <f t="shared" si="142"/>
        <v/>
      </c>
      <c r="N478" s="608" t="str">
        <f>IF($D$3="", "", IFERROR(VLOOKUP(L478,'PIPE INCENTIVE'!$B$4:$E$19,2,FALSE),""))</f>
        <v/>
      </c>
      <c r="O478" s="608" t="str">
        <f t="shared" si="143"/>
        <v/>
      </c>
      <c r="P478" s="208" t="str">
        <f t="shared" si="144"/>
        <v/>
      </c>
      <c r="Q478" s="208" t="str">
        <f t="shared" si="131"/>
        <v/>
      </c>
      <c r="R478" s="609" t="str">
        <f t="shared" si="132"/>
        <v/>
      </c>
      <c r="S478" s="609" t="str">
        <f t="shared" si="133"/>
        <v/>
      </c>
      <c r="T478" s="609" t="str">
        <f t="shared" si="134"/>
        <v/>
      </c>
      <c r="U478" s="609" t="str" cm="1">
        <f t="array" ref="U478">IFERROR(IF($D$3="","",_xlfn.LET(_xlpm.Mixed,AND(COUNTIF($G$34:$G$533,"Heating_Hot_Water")&gt;0,(COUNTIF($G$34:$G$533,"Steam_Low_Pressure") + COUNTIF($G$34:$G$533,"Steam_Medium_Pressure") + COUNTIF($G$34:$G$533,"Steam_High_Pressure"))&gt;0),_xlpm.fluid, G478,_xlpm.fuel, K478,_xlpm.load,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8" s="609" t="str">
        <f t="shared" si="145"/>
        <v/>
      </c>
      <c r="W478" s="482"/>
      <c r="X478" s="397" t="str" cm="1">
        <f t="array" ref="X478">IFERROR(IF($D$3="","", _xlfn.XLOOKUP(1,($AR$36:$AR$53=F478)*($AS$36:$AS$53=G478), INDEX($AT$36:$BJ$53,,_xlfn.XMATCH(E478,$AT$35:$BJ$35)))),"")</f>
        <v/>
      </c>
      <c r="Y478" s="480"/>
      <c r="Z478" s="482"/>
      <c r="AA478" s="607" t="str" cm="1">
        <f t="array" ref="AA478">IFERROR(IF($D$3="", "", _xlfn.LET(_xlpm.dia, E478, _xlpm.thk, Z478, _xlpm.temp, I478,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8" s="397" t="str" cm="1">
        <f t="array" ref="AB478">IFERROR(IF($D$3="", "", _xlfn.XLOOKUP(1,($AR$57:$AR$76=Y478)*($AS$57:$AS$76=Z478), INDEX($AT$57:$BJ$76,,_xlfn.XMATCH(E478,$AT$56:$BJ$56)))),"")</f>
        <v/>
      </c>
      <c r="AC478" s="208" t="str">
        <f t="shared" si="135"/>
        <v/>
      </c>
      <c r="AD478" s="397" t="str">
        <f t="shared" si="136"/>
        <v/>
      </c>
      <c r="AE478" s="610" t="str">
        <f t="shared" si="137"/>
        <v/>
      </c>
      <c r="AF478" s="610" t="str">
        <f t="shared" si="138"/>
        <v/>
      </c>
      <c r="AG478" s="610" t="str">
        <f t="shared" si="139"/>
        <v/>
      </c>
      <c r="AH478" s="608" t="str">
        <f t="shared" si="140"/>
        <v/>
      </c>
      <c r="AI478" s="610" t="str">
        <f t="shared" si="141"/>
        <v/>
      </c>
    </row>
    <row r="479" spans="2:35" x14ac:dyDescent="0.25">
      <c r="B479" s="209">
        <v>446</v>
      </c>
      <c r="C479" s="480"/>
      <c r="D479" s="480"/>
      <c r="E479" s="481"/>
      <c r="F479" s="480"/>
      <c r="G479" s="480"/>
      <c r="H479" s="607" t="str">
        <f t="shared" si="126"/>
        <v/>
      </c>
      <c r="I479" s="607" t="str">
        <f t="shared" si="127"/>
        <v/>
      </c>
      <c r="J479" s="607" t="str">
        <f t="shared" si="128"/>
        <v/>
      </c>
      <c r="K479" s="208" t="str">
        <f t="shared" si="129"/>
        <v/>
      </c>
      <c r="L479" s="208" t="str">
        <f t="shared" si="130"/>
        <v/>
      </c>
      <c r="M479" s="208" t="str">
        <f t="shared" si="142"/>
        <v/>
      </c>
      <c r="N479" s="608" t="str">
        <f>IF($D$3="", "", IFERROR(VLOOKUP(L479,'PIPE INCENTIVE'!$B$4:$E$19,2,FALSE),""))</f>
        <v/>
      </c>
      <c r="O479" s="608" t="str">
        <f t="shared" si="143"/>
        <v/>
      </c>
      <c r="P479" s="208" t="str">
        <f t="shared" si="144"/>
        <v/>
      </c>
      <c r="Q479" s="208" t="str">
        <f t="shared" si="131"/>
        <v/>
      </c>
      <c r="R479" s="609" t="str">
        <f t="shared" si="132"/>
        <v/>
      </c>
      <c r="S479" s="609" t="str">
        <f t="shared" si="133"/>
        <v/>
      </c>
      <c r="T479" s="609" t="str">
        <f t="shared" si="134"/>
        <v/>
      </c>
      <c r="U479" s="609" t="str" cm="1">
        <f t="array" ref="U479">IFERROR(IF($D$3="","",_xlfn.LET(_xlpm.Mixed,AND(COUNTIF($G$34:$G$533,"Heating_Hot_Water")&gt;0,(COUNTIF($G$34:$G$533,"Steam_Low_Pressure") + COUNTIF($G$34:$G$533,"Steam_Medium_Pressure") + COUNTIF($G$34:$G$533,"Steam_High_Pressure"))&gt;0),_xlpm.fluid, G479,_xlpm.fuel, K479,_xlpm.load,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79" s="609" t="str">
        <f t="shared" si="145"/>
        <v/>
      </c>
      <c r="W479" s="482"/>
      <c r="X479" s="397" t="str" cm="1">
        <f t="array" ref="X479">IFERROR(IF($D$3="","", _xlfn.XLOOKUP(1,($AR$36:$AR$53=F479)*($AS$36:$AS$53=G479), INDEX($AT$36:$BJ$53,,_xlfn.XMATCH(E479,$AT$35:$BJ$35)))),"")</f>
        <v/>
      </c>
      <c r="Y479" s="480"/>
      <c r="Z479" s="482"/>
      <c r="AA479" s="607" t="str" cm="1">
        <f t="array" ref="AA479">IFERROR(IF($D$3="", "", _xlfn.LET(_xlpm.dia, E479, _xlpm.thk, Z479, _xlpm.temp, I479,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79" s="397" t="str" cm="1">
        <f t="array" ref="AB479">IFERROR(IF($D$3="", "", _xlfn.XLOOKUP(1,($AR$57:$AR$76=Y479)*($AS$57:$AS$76=Z479), INDEX($AT$57:$BJ$76,,_xlfn.XMATCH(E479,$AT$56:$BJ$56)))),"")</f>
        <v/>
      </c>
      <c r="AC479" s="208" t="str">
        <f t="shared" si="135"/>
        <v/>
      </c>
      <c r="AD479" s="397" t="str">
        <f t="shared" si="136"/>
        <v/>
      </c>
      <c r="AE479" s="610" t="str">
        <f t="shared" si="137"/>
        <v/>
      </c>
      <c r="AF479" s="610" t="str">
        <f t="shared" si="138"/>
        <v/>
      </c>
      <c r="AG479" s="610" t="str">
        <f t="shared" si="139"/>
        <v/>
      </c>
      <c r="AH479" s="608" t="str">
        <f t="shared" si="140"/>
        <v/>
      </c>
      <c r="AI479" s="610" t="str">
        <f t="shared" si="141"/>
        <v/>
      </c>
    </row>
    <row r="480" spans="2:35" x14ac:dyDescent="0.25">
      <c r="B480" s="209">
        <v>447</v>
      </c>
      <c r="C480" s="480"/>
      <c r="D480" s="480"/>
      <c r="E480" s="481"/>
      <c r="F480" s="480"/>
      <c r="G480" s="480"/>
      <c r="H480" s="607" t="str">
        <f t="shared" si="126"/>
        <v/>
      </c>
      <c r="I480" s="607" t="str">
        <f t="shared" si="127"/>
        <v/>
      </c>
      <c r="J480" s="607" t="str">
        <f t="shared" si="128"/>
        <v/>
      </c>
      <c r="K480" s="208" t="str">
        <f t="shared" si="129"/>
        <v/>
      </c>
      <c r="L480" s="208" t="str">
        <f t="shared" si="130"/>
        <v/>
      </c>
      <c r="M480" s="208" t="str">
        <f t="shared" si="142"/>
        <v/>
      </c>
      <c r="N480" s="608" t="str">
        <f>IF($D$3="", "", IFERROR(VLOOKUP(L480,'PIPE INCENTIVE'!$B$4:$E$19,2,FALSE),""))</f>
        <v/>
      </c>
      <c r="O480" s="608" t="str">
        <f t="shared" si="143"/>
        <v/>
      </c>
      <c r="P480" s="208" t="str">
        <f t="shared" si="144"/>
        <v/>
      </c>
      <c r="Q480" s="208" t="str">
        <f t="shared" si="131"/>
        <v/>
      </c>
      <c r="R480" s="609" t="str">
        <f t="shared" si="132"/>
        <v/>
      </c>
      <c r="S480" s="609" t="str">
        <f t="shared" si="133"/>
        <v/>
      </c>
      <c r="T480" s="609" t="str">
        <f t="shared" si="134"/>
        <v/>
      </c>
      <c r="U480" s="609" t="str" cm="1">
        <f t="array" ref="U480">IFERROR(IF($D$3="","",_xlfn.LET(_xlpm.Mixed,AND(COUNTIF($G$34:$G$533,"Heating_Hot_Water")&gt;0,(COUNTIF($G$34:$G$533,"Steam_Low_Pressure") + COUNTIF($G$34:$G$533,"Steam_Medium_Pressure") + COUNTIF($G$34:$G$533,"Steam_High_Pressure"))&gt;0),_xlpm.fluid, G480,_xlpm.fuel, K480,_xlpm.load,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0" s="609" t="str">
        <f t="shared" si="145"/>
        <v/>
      </c>
      <c r="W480" s="482"/>
      <c r="X480" s="397" t="str" cm="1">
        <f t="array" ref="X480">IFERROR(IF($D$3="","", _xlfn.XLOOKUP(1,($AR$36:$AR$53=F480)*($AS$36:$AS$53=G480), INDEX($AT$36:$BJ$53,,_xlfn.XMATCH(E480,$AT$35:$BJ$35)))),"")</f>
        <v/>
      </c>
      <c r="Y480" s="480"/>
      <c r="Z480" s="482"/>
      <c r="AA480" s="607" t="str" cm="1">
        <f t="array" ref="AA480">IFERROR(IF($D$3="", "", _xlfn.LET(_xlpm.dia, E480, _xlpm.thk, Z480, _xlpm.temp, I480,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0" s="397" t="str" cm="1">
        <f t="array" ref="AB480">IFERROR(IF($D$3="", "", _xlfn.XLOOKUP(1,($AR$57:$AR$76=Y480)*($AS$57:$AS$76=Z480), INDEX($AT$57:$BJ$76,,_xlfn.XMATCH(E480,$AT$56:$BJ$56)))),"")</f>
        <v/>
      </c>
      <c r="AC480" s="208" t="str">
        <f t="shared" si="135"/>
        <v/>
      </c>
      <c r="AD480" s="397" t="str">
        <f t="shared" si="136"/>
        <v/>
      </c>
      <c r="AE480" s="610" t="str">
        <f t="shared" si="137"/>
        <v/>
      </c>
      <c r="AF480" s="610" t="str">
        <f t="shared" si="138"/>
        <v/>
      </c>
      <c r="AG480" s="610" t="str">
        <f t="shared" si="139"/>
        <v/>
      </c>
      <c r="AH480" s="608" t="str">
        <f t="shared" si="140"/>
        <v/>
      </c>
      <c r="AI480" s="610" t="str">
        <f t="shared" si="141"/>
        <v/>
      </c>
    </row>
    <row r="481" spans="2:35" x14ac:dyDescent="0.25">
      <c r="B481" s="209">
        <v>448</v>
      </c>
      <c r="C481" s="480"/>
      <c r="D481" s="480"/>
      <c r="E481" s="481"/>
      <c r="F481" s="480"/>
      <c r="G481" s="480"/>
      <c r="H481" s="607" t="str">
        <f t="shared" si="126"/>
        <v/>
      </c>
      <c r="I481" s="607" t="str">
        <f t="shared" si="127"/>
        <v/>
      </c>
      <c r="J481" s="607" t="str">
        <f t="shared" si="128"/>
        <v/>
      </c>
      <c r="K481" s="208" t="str">
        <f t="shared" si="129"/>
        <v/>
      </c>
      <c r="L481" s="208" t="str">
        <f t="shared" si="130"/>
        <v/>
      </c>
      <c r="M481" s="208" t="str">
        <f t="shared" si="142"/>
        <v/>
      </c>
      <c r="N481" s="608" t="str">
        <f>IF($D$3="", "", IFERROR(VLOOKUP(L481,'PIPE INCENTIVE'!$B$4:$E$19,2,FALSE),""))</f>
        <v/>
      </c>
      <c r="O481" s="608" t="str">
        <f t="shared" si="143"/>
        <v/>
      </c>
      <c r="P481" s="208" t="str">
        <f t="shared" si="144"/>
        <v/>
      </c>
      <c r="Q481" s="208" t="str">
        <f t="shared" si="131"/>
        <v/>
      </c>
      <c r="R481" s="609" t="str">
        <f t="shared" si="132"/>
        <v/>
      </c>
      <c r="S481" s="609" t="str">
        <f t="shared" si="133"/>
        <v/>
      </c>
      <c r="T481" s="609" t="str">
        <f t="shared" si="134"/>
        <v/>
      </c>
      <c r="U481" s="609" t="str" cm="1">
        <f t="array" ref="U481">IFERROR(IF($D$3="","",_xlfn.LET(_xlpm.Mixed,AND(COUNTIF($G$34:$G$533,"Heating_Hot_Water")&gt;0,(COUNTIF($G$34:$G$533,"Steam_Low_Pressure") + COUNTIF($G$34:$G$533,"Steam_Medium_Pressure") + COUNTIF($G$34:$G$533,"Steam_High_Pressure"))&gt;0),_xlpm.fluid, G481,_xlpm.fuel, K481,_xlpm.load,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1" s="609" t="str">
        <f t="shared" si="145"/>
        <v/>
      </c>
      <c r="W481" s="482"/>
      <c r="X481" s="397" t="str" cm="1">
        <f t="array" ref="X481">IFERROR(IF($D$3="","", _xlfn.XLOOKUP(1,($AR$36:$AR$53=F481)*($AS$36:$AS$53=G481), INDEX($AT$36:$BJ$53,,_xlfn.XMATCH(E481,$AT$35:$BJ$35)))),"")</f>
        <v/>
      </c>
      <c r="Y481" s="480"/>
      <c r="Z481" s="482"/>
      <c r="AA481" s="607" t="str" cm="1">
        <f t="array" ref="AA481">IFERROR(IF($D$3="", "", _xlfn.LET(_xlpm.dia, E481, _xlpm.thk, Z481, _xlpm.temp, I481,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1" s="397" t="str" cm="1">
        <f t="array" ref="AB481">IFERROR(IF($D$3="", "", _xlfn.XLOOKUP(1,($AR$57:$AR$76=Y481)*($AS$57:$AS$76=Z481), INDEX($AT$57:$BJ$76,,_xlfn.XMATCH(E481,$AT$56:$BJ$56)))),"")</f>
        <v/>
      </c>
      <c r="AC481" s="208" t="str">
        <f t="shared" si="135"/>
        <v/>
      </c>
      <c r="AD481" s="397" t="str">
        <f t="shared" si="136"/>
        <v/>
      </c>
      <c r="AE481" s="610" t="str">
        <f t="shared" si="137"/>
        <v/>
      </c>
      <c r="AF481" s="610" t="str">
        <f t="shared" si="138"/>
        <v/>
      </c>
      <c r="AG481" s="610" t="str">
        <f t="shared" si="139"/>
        <v/>
      </c>
      <c r="AH481" s="608" t="str">
        <f t="shared" si="140"/>
        <v/>
      </c>
      <c r="AI481" s="610" t="str">
        <f t="shared" si="141"/>
        <v/>
      </c>
    </row>
    <row r="482" spans="2:35" x14ac:dyDescent="0.25">
      <c r="B482" s="209">
        <v>449</v>
      </c>
      <c r="C482" s="480"/>
      <c r="D482" s="480"/>
      <c r="E482" s="481"/>
      <c r="F482" s="480"/>
      <c r="G482" s="480"/>
      <c r="H482" s="607" t="str">
        <f t="shared" ref="H482:H533" si="146">IFERROR(IF($D$3="", "", VLOOKUP(G482,$AM$53:$AN$60,2,FALSE)),"")</f>
        <v/>
      </c>
      <c r="I482" s="607" t="str">
        <f t="shared" ref="I482:I533" si="147">IFERROR(IF($D$3 = "", "", VLOOKUP(G482,$AM$64:$AN$71,2,FALSE)),"")</f>
        <v/>
      </c>
      <c r="J482" s="607" t="str">
        <f t="shared" ref="J482:J533" si="148">IFERROR(IF($D$3="", "", ABS(I482-H482)),"")</f>
        <v/>
      </c>
      <c r="K482" s="208" t="str">
        <f t="shared" ref="K482:K533" si="149">IFERROR(IF($D$3="", "", IF(OR(G482="Steam_Low_Pressure", G482="Steam_Medium_Pressure",G482="Steam_High_Pressure", G482="Heating_Hot_Water", G482="Steam_Condensate"), "Heating"&amp;$AT$115, IF(G482="Domestic_Hot_Water", G482&amp;$AT$131, IF(OR(G482="CoolingSupply", G482="CoolingReturn"), G482&amp;$AT$122,"")))),"")</f>
        <v/>
      </c>
      <c r="L482" s="208" t="str">
        <f t="shared" ref="L482:L533" si="150">IF($D$3="","", IFERROR(IF($D$7="Large C &amp; I (LCI)", "LCI", "SMB")&amp;"_"&amp;IF(RIGHT(K482, 6)="Fossil", "Gas_", "Electric_")&amp;$D$8&amp;"_"&amp;IF($D$9="No", "DACNo", "DACYes"),""))</f>
        <v/>
      </c>
      <c r="M482" s="208" t="str">
        <f t="shared" si="142"/>
        <v/>
      </c>
      <c r="N482" s="608" t="str">
        <f>IF($D$3="", "", IFERROR(VLOOKUP(L482,'PIPE INCENTIVE'!$B$4:$E$19,2,FALSE),""))</f>
        <v/>
      </c>
      <c r="O482" s="608" t="str">
        <f t="shared" si="143"/>
        <v/>
      </c>
      <c r="P482" s="208" t="str">
        <f t="shared" si="144"/>
        <v/>
      </c>
      <c r="Q482" s="208" t="str">
        <f t="shared" ref="Q482:Q533" si="151">IFERROR(IF($D$3="","",IF(P482="Domestic_Hot_Water_AY",8760,IF(P482="Domestic_Hot_Water_HSO",VLOOKUP($D$5,$AM$74:$AN$81,2,FALSE),IF(P482="NOTDHW",IF($D$21="Yes",IF(OR(G482="CoolingSupply",G482="CoolingReturn"), $D$23, $D$22),IF(OR(G482="CoolingSupply",G482="CoolingReturn"), $AP$44, $AP$43)),"")))),"")</f>
        <v/>
      </c>
      <c r="R482" s="609" t="str">
        <f t="shared" ref="R482:R533" si="152">IFERROR(IF($D$3="", "", VLOOKUP(K482,$AM$86:$AN$96,2, FALSE)),"")</f>
        <v/>
      </c>
      <c r="S482" s="609" t="str">
        <f t="shared" ref="S482:S533" si="153">IFERROR(IF($D$3="", "", VLOOKUP(K482,$AM$100:$AN$110,2, FALSE)),"")</f>
        <v/>
      </c>
      <c r="T482" s="609" t="str">
        <f t="shared" ref="T482:T533" si="154">IF($D$3="","",IFERROR(IF(OR(K482="CoolingSupplyElectric",K482="CoolingReturnElectric"),IF($D$20&lt;&gt;"",$D$20, _xlfn.XLOOKUP(K482,$AR$102:$AR$107,$AS$102:$AS$107)),IF(OR(K482="HeatingElectric",K482="Domestic_Hot_WaterElectric",K482="Domestic_Hot_WaterUnknown"),0.98,0.98)),""))</f>
        <v/>
      </c>
      <c r="U482" s="609" t="str" cm="1">
        <f t="array" ref="U482">IFERROR(IF($D$3="","",_xlfn.LET(_xlpm.Mixed,AND(COUNTIF($G$34:$G$533,"Heating_Hot_Water")&gt;0,(COUNTIF($G$34:$G$533,"Steam_Low_Pressure") + COUNTIF($G$34:$G$533,"Steam_Medium_Pressure") + COUNTIF($G$34:$G$533,"Steam_High_Pressure"))&gt;0),_xlpm.fluid, G482,_xlpm.fuel, K482,_xlpm.load,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2" s="609" t="str">
        <f t="shared" si="145"/>
        <v/>
      </c>
      <c r="W482" s="482"/>
      <c r="X482" s="397" t="str" cm="1">
        <f t="array" ref="X482">IFERROR(IF($D$3="","", _xlfn.XLOOKUP(1,($AR$36:$AR$53=F482)*($AS$36:$AS$53=G482), INDEX($AT$36:$BJ$53,,_xlfn.XMATCH(E482,$AT$35:$BJ$35)))),"")</f>
        <v/>
      </c>
      <c r="Y482" s="480"/>
      <c r="Z482" s="482"/>
      <c r="AA482" s="607" t="str" cm="1">
        <f t="array" ref="AA482">IFERROR(IF($D$3="", "", _xlfn.LET(_xlpm.dia, E482, _xlpm.thk, Z482, _xlpm.temp, I482,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2" s="397" t="str" cm="1">
        <f t="array" ref="AB482">IFERROR(IF($D$3="", "", _xlfn.XLOOKUP(1,($AR$57:$AR$76=Y482)*($AS$57:$AS$76=Z482), INDEX($AT$57:$BJ$76,,_xlfn.XMATCH(E482,$AT$56:$BJ$56)))),"")</f>
        <v/>
      </c>
      <c r="AC482" s="208" t="str">
        <f t="shared" ref="AC482:AC533" si="155">IFERROR(IF($D$3="", "", IF(AND($AT$115="Fossil", $AT$122="Fossil", $AT$131="Fossil"), 0, ((X482-AB482)/(T482*3412))*W482*J482*Q482*R482)),"")</f>
        <v/>
      </c>
      <c r="AD482" s="397" t="str">
        <f t="shared" ref="AD482:AD533" si="156">IFERROR(IF($D$3="", "", AC482*V482/8760),"")</f>
        <v/>
      </c>
      <c r="AE482" s="610" t="str">
        <f t="shared" ref="AE482:AE533" si="157">IFERROR(IF(AF482="", "", AF482*10),"")</f>
        <v/>
      </c>
      <c r="AF482" s="610" t="str">
        <f t="shared" ref="AF482:AF533" si="158">IFERROR(IF($D$3="", "", IF(AND($AT$115="Electric", $AT$122="Electric", $AT$131="Electric"), 0, ((X482-AB482)/(U482*1000000))*W482*J482*Q482*S482)),"")</f>
        <v/>
      </c>
      <c r="AG482" s="610" t="str">
        <f t="shared" ref="AG482:AG533" si="159">IFERROR(IF(AC482&lt;&gt;0, AC482*3412/1000000, 0),"")</f>
        <v/>
      </c>
      <c r="AH482" s="608" t="str">
        <f t="shared" ref="AH482:AH533" si="160">IFERROR(IF($D$3="","",IF(OR(AND(ISNUMBER(SEARCH("Domestic_Hot_Water",$K482)),OR(ISNUMBER(SEARCH("Not National Grid",$D$17)),ISNUMBER(SEARCH("Oil/Propane/Wood",$D$17)))),AND(ISNUMBER(SEARCH("Cooling",$K482)),ISNUMBER(SEARCH("Not National Grid",$D$16))),AND(NOT(ISNUMBER(SEARCH("Domestic_Hot_Water",$K482))),NOT(ISNUMBER(SEARCH("Cooling",$K482))),OR(ISNUMBER(SEARCH("Not National Grid",$D$15)),ISNUMBER(SEARCH("Oil/Propane/Wood",$D$15))))),0,IF(AA482="No",0,IF(M482="PERTHERM",N482*AE482,N482*W482)))),"")</f>
        <v/>
      </c>
      <c r="AI482" s="610" t="str">
        <f t="shared" ref="AI482:AI533" si="161">IFERROR(AG482+AF482,"")</f>
        <v/>
      </c>
    </row>
    <row r="483" spans="2:35" x14ac:dyDescent="0.25">
      <c r="B483" s="209">
        <v>450</v>
      </c>
      <c r="C483" s="480"/>
      <c r="D483" s="480"/>
      <c r="E483" s="481"/>
      <c r="F483" s="480"/>
      <c r="G483" s="480"/>
      <c r="H483" s="607" t="str">
        <f t="shared" si="146"/>
        <v/>
      </c>
      <c r="I483" s="607" t="str">
        <f t="shared" si="147"/>
        <v/>
      </c>
      <c r="J483" s="607" t="str">
        <f t="shared" si="148"/>
        <v/>
      </c>
      <c r="K483" s="208" t="str">
        <f t="shared" si="149"/>
        <v/>
      </c>
      <c r="L483" s="208" t="str">
        <f t="shared" si="150"/>
        <v/>
      </c>
      <c r="M483" s="208" t="str">
        <f t="shared" ref="M483:M533" si="162">IF($D$3="","",IFERROR(IF(LEFT(L483,7)="LCI_Gas","PERTHERM","PERLF"),""))</f>
        <v/>
      </c>
      <c r="N483" s="608" t="str">
        <f>IF($D$3="", "", IFERROR(VLOOKUP(L483,'PIPE INCENTIVE'!$B$4:$E$19,2,FALSE),""))</f>
        <v/>
      </c>
      <c r="O483" s="608" t="str">
        <f t="shared" ref="O483:O533" si="163">IF($D$3="", "", IFERROR(IF(RIGHT(K483,6)="Fossil","Gas","Electric"),""))</f>
        <v/>
      </c>
      <c r="P483" s="208" t="str">
        <f t="shared" ref="P483:P533" si="164">IFERROR(IF($D$3="", "", IF(AND(G483="Domestic_Hot_Water",$D$18="All Year"),G483&amp;"_AY",IF(AND(G483="Domestic_Hot_Water",$D$18="Heating Season Only"),G483&amp;"_HSO","NOTDHW"))),"")</f>
        <v/>
      </c>
      <c r="Q483" s="208" t="str">
        <f t="shared" si="151"/>
        <v/>
      </c>
      <c r="R483" s="609" t="str">
        <f t="shared" si="152"/>
        <v/>
      </c>
      <c r="S483" s="609" t="str">
        <f t="shared" si="153"/>
        <v/>
      </c>
      <c r="T483" s="609" t="str">
        <f t="shared" si="154"/>
        <v/>
      </c>
      <c r="U483" s="609" t="str" cm="1">
        <f t="array" ref="U483">IFERROR(IF($D$3="","",_xlfn.LET(_xlpm.Mixed,AND(COUNTIF($G$34:$G$533,"Heating_Hot_Water")&gt;0,(COUNTIF($G$34:$G$533,"Steam_Low_Pressure") + COUNTIF($G$34:$G$533,"Steam_Medium_Pressure") + COUNTIF($G$34:$G$533,"Steam_High_Pressure"))&gt;0),_xlpm.fluid, G483,_xlpm.fuel, K483,_xlpm.load,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3" s="609" t="str">
        <f t="shared" ref="V483:V533" si="165">IFERROR(IF($D$3="", "", IF(K483="Domestic_Hot_WaterElectric", 1, 0)),"")</f>
        <v/>
      </c>
      <c r="W483" s="482"/>
      <c r="X483" s="397" t="str" cm="1">
        <f t="array" ref="X483">IFERROR(IF($D$3="","", _xlfn.XLOOKUP(1,($AR$36:$AR$53=F483)*($AS$36:$AS$53=G483), INDEX($AT$36:$BJ$53,,_xlfn.XMATCH(E483,$AT$35:$BJ$35)))),"")</f>
        <v/>
      </c>
      <c r="Y483" s="480"/>
      <c r="Z483" s="482"/>
      <c r="AA483" s="607" t="str" cm="1">
        <f t="array" ref="AA483">IFERROR(IF($D$3="", "", _xlfn.LET(_xlpm.dia, E483, _xlpm.thk, Z483, _xlpm.temp, I483,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3" s="397" t="str" cm="1">
        <f t="array" ref="AB483">IFERROR(IF($D$3="", "", _xlfn.XLOOKUP(1,($AR$57:$AR$76=Y483)*($AS$57:$AS$76=Z483), INDEX($AT$57:$BJ$76,,_xlfn.XMATCH(E483,$AT$56:$BJ$56)))),"")</f>
        <v/>
      </c>
      <c r="AC483" s="208" t="str">
        <f t="shared" si="155"/>
        <v/>
      </c>
      <c r="AD483" s="397" t="str">
        <f t="shared" si="156"/>
        <v/>
      </c>
      <c r="AE483" s="610" t="str">
        <f t="shared" si="157"/>
        <v/>
      </c>
      <c r="AF483" s="610" t="str">
        <f t="shared" si="158"/>
        <v/>
      </c>
      <c r="AG483" s="610" t="str">
        <f t="shared" si="159"/>
        <v/>
      </c>
      <c r="AH483" s="608" t="str">
        <f t="shared" si="160"/>
        <v/>
      </c>
      <c r="AI483" s="610" t="str">
        <f t="shared" si="161"/>
        <v/>
      </c>
    </row>
    <row r="484" spans="2:35" x14ac:dyDescent="0.25">
      <c r="B484" s="209">
        <v>451</v>
      </c>
      <c r="C484" s="480"/>
      <c r="D484" s="480"/>
      <c r="E484" s="481"/>
      <c r="F484" s="480"/>
      <c r="G484" s="480"/>
      <c r="H484" s="607" t="str">
        <f t="shared" si="146"/>
        <v/>
      </c>
      <c r="I484" s="607" t="str">
        <f t="shared" si="147"/>
        <v/>
      </c>
      <c r="J484" s="607" t="str">
        <f t="shared" si="148"/>
        <v/>
      </c>
      <c r="K484" s="208" t="str">
        <f t="shared" si="149"/>
        <v/>
      </c>
      <c r="L484" s="208" t="str">
        <f t="shared" si="150"/>
        <v/>
      </c>
      <c r="M484" s="208" t="str">
        <f t="shared" si="162"/>
        <v/>
      </c>
      <c r="N484" s="608" t="str">
        <f>IF($D$3="", "", IFERROR(VLOOKUP(L484,'PIPE INCENTIVE'!$B$4:$E$19,2,FALSE),""))</f>
        <v/>
      </c>
      <c r="O484" s="608" t="str">
        <f t="shared" si="163"/>
        <v/>
      </c>
      <c r="P484" s="208" t="str">
        <f t="shared" si="164"/>
        <v/>
      </c>
      <c r="Q484" s="208" t="str">
        <f t="shared" si="151"/>
        <v/>
      </c>
      <c r="R484" s="609" t="str">
        <f t="shared" si="152"/>
        <v/>
      </c>
      <c r="S484" s="609" t="str">
        <f t="shared" si="153"/>
        <v/>
      </c>
      <c r="T484" s="609" t="str">
        <f t="shared" si="154"/>
        <v/>
      </c>
      <c r="U484" s="609" t="str" cm="1">
        <f t="array" ref="U484">IFERROR(IF($D$3="","",_xlfn.LET(_xlpm.Mixed,AND(COUNTIF($G$34:$G$533,"Heating_Hot_Water")&gt;0,(COUNTIF($G$34:$G$533,"Steam_Low_Pressure") + COUNTIF($G$34:$G$533,"Steam_Medium_Pressure") + COUNTIF($G$34:$G$533,"Steam_High_Pressure"))&gt;0),_xlpm.fluid, G484,_xlpm.fuel, K484,_xlpm.load,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4" s="609" t="str">
        <f t="shared" si="165"/>
        <v/>
      </c>
      <c r="W484" s="482"/>
      <c r="X484" s="397" t="str" cm="1">
        <f t="array" ref="X484">IFERROR(IF($D$3="","", _xlfn.XLOOKUP(1,($AR$36:$AR$53=F484)*($AS$36:$AS$53=G484), INDEX($AT$36:$BJ$53,,_xlfn.XMATCH(E484,$AT$35:$BJ$35)))),"")</f>
        <v/>
      </c>
      <c r="Y484" s="480"/>
      <c r="Z484" s="482"/>
      <c r="AA484" s="607" t="str" cm="1">
        <f t="array" ref="AA484">IFERROR(IF($D$3="", "", _xlfn.LET(_xlpm.dia, E484, _xlpm.thk, Z484, _xlpm.temp, I484,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4" s="397" t="str" cm="1">
        <f t="array" ref="AB484">IFERROR(IF($D$3="", "", _xlfn.XLOOKUP(1,($AR$57:$AR$76=Y484)*($AS$57:$AS$76=Z484), INDEX($AT$57:$BJ$76,,_xlfn.XMATCH(E484,$AT$56:$BJ$56)))),"")</f>
        <v/>
      </c>
      <c r="AC484" s="208" t="str">
        <f t="shared" si="155"/>
        <v/>
      </c>
      <c r="AD484" s="397" t="str">
        <f t="shared" si="156"/>
        <v/>
      </c>
      <c r="AE484" s="610" t="str">
        <f t="shared" si="157"/>
        <v/>
      </c>
      <c r="AF484" s="610" t="str">
        <f t="shared" si="158"/>
        <v/>
      </c>
      <c r="AG484" s="610" t="str">
        <f t="shared" si="159"/>
        <v/>
      </c>
      <c r="AH484" s="608" t="str">
        <f t="shared" si="160"/>
        <v/>
      </c>
      <c r="AI484" s="610" t="str">
        <f t="shared" si="161"/>
        <v/>
      </c>
    </row>
    <row r="485" spans="2:35" x14ac:dyDescent="0.25">
      <c r="B485" s="209">
        <v>452</v>
      </c>
      <c r="C485" s="480"/>
      <c r="D485" s="480"/>
      <c r="E485" s="481"/>
      <c r="F485" s="480"/>
      <c r="G485" s="480"/>
      <c r="H485" s="607" t="str">
        <f t="shared" si="146"/>
        <v/>
      </c>
      <c r="I485" s="607" t="str">
        <f t="shared" si="147"/>
        <v/>
      </c>
      <c r="J485" s="607" t="str">
        <f t="shared" si="148"/>
        <v/>
      </c>
      <c r="K485" s="208" t="str">
        <f t="shared" si="149"/>
        <v/>
      </c>
      <c r="L485" s="208" t="str">
        <f t="shared" si="150"/>
        <v/>
      </c>
      <c r="M485" s="208" t="str">
        <f t="shared" si="162"/>
        <v/>
      </c>
      <c r="N485" s="608" t="str">
        <f>IF($D$3="", "", IFERROR(VLOOKUP(L485,'PIPE INCENTIVE'!$B$4:$E$19,2,FALSE),""))</f>
        <v/>
      </c>
      <c r="O485" s="608" t="str">
        <f t="shared" si="163"/>
        <v/>
      </c>
      <c r="P485" s="208" t="str">
        <f t="shared" si="164"/>
        <v/>
      </c>
      <c r="Q485" s="208" t="str">
        <f t="shared" si="151"/>
        <v/>
      </c>
      <c r="R485" s="609" t="str">
        <f t="shared" si="152"/>
        <v/>
      </c>
      <c r="S485" s="609" t="str">
        <f t="shared" si="153"/>
        <v/>
      </c>
      <c r="T485" s="609" t="str">
        <f t="shared" si="154"/>
        <v/>
      </c>
      <c r="U485" s="609" t="str" cm="1">
        <f t="array" ref="U485">IFERROR(IF($D$3="","",_xlfn.LET(_xlpm.Mixed,AND(COUNTIF($G$34:$G$533,"Heating_Hot_Water")&gt;0,(COUNTIF($G$34:$G$533,"Steam_Low_Pressure") + COUNTIF($G$34:$G$533,"Steam_Medium_Pressure") + COUNTIF($G$34:$G$533,"Steam_High_Pressure"))&gt;0),_xlpm.fluid, G485,_xlpm.fuel, K485,_xlpm.load,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5" s="609" t="str">
        <f t="shared" si="165"/>
        <v/>
      </c>
      <c r="W485" s="482"/>
      <c r="X485" s="397" t="str" cm="1">
        <f t="array" ref="X485">IFERROR(IF($D$3="","", _xlfn.XLOOKUP(1,($AR$36:$AR$53=F485)*($AS$36:$AS$53=G485), INDEX($AT$36:$BJ$53,,_xlfn.XMATCH(E485,$AT$35:$BJ$35)))),"")</f>
        <v/>
      </c>
      <c r="Y485" s="480"/>
      <c r="Z485" s="482"/>
      <c r="AA485" s="607" t="str" cm="1">
        <f t="array" ref="AA485">IFERROR(IF($D$3="", "", _xlfn.LET(_xlpm.dia, E485, _xlpm.thk, Z485, _xlpm.temp, I485,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5" s="397" t="str" cm="1">
        <f t="array" ref="AB485">IFERROR(IF($D$3="", "", _xlfn.XLOOKUP(1,($AR$57:$AR$76=Y485)*($AS$57:$AS$76=Z485), INDEX($AT$57:$BJ$76,,_xlfn.XMATCH(E485,$AT$56:$BJ$56)))),"")</f>
        <v/>
      </c>
      <c r="AC485" s="208" t="str">
        <f t="shared" si="155"/>
        <v/>
      </c>
      <c r="AD485" s="397" t="str">
        <f t="shared" si="156"/>
        <v/>
      </c>
      <c r="AE485" s="610" t="str">
        <f t="shared" si="157"/>
        <v/>
      </c>
      <c r="AF485" s="610" t="str">
        <f t="shared" si="158"/>
        <v/>
      </c>
      <c r="AG485" s="610" t="str">
        <f t="shared" si="159"/>
        <v/>
      </c>
      <c r="AH485" s="608" t="str">
        <f t="shared" si="160"/>
        <v/>
      </c>
      <c r="AI485" s="610" t="str">
        <f t="shared" si="161"/>
        <v/>
      </c>
    </row>
    <row r="486" spans="2:35" x14ac:dyDescent="0.25">
      <c r="B486" s="209">
        <v>453</v>
      </c>
      <c r="C486" s="480"/>
      <c r="D486" s="480"/>
      <c r="E486" s="481"/>
      <c r="F486" s="480"/>
      <c r="G486" s="480"/>
      <c r="H486" s="607" t="str">
        <f t="shared" si="146"/>
        <v/>
      </c>
      <c r="I486" s="607" t="str">
        <f t="shared" si="147"/>
        <v/>
      </c>
      <c r="J486" s="607" t="str">
        <f t="shared" si="148"/>
        <v/>
      </c>
      <c r="K486" s="208" t="str">
        <f t="shared" si="149"/>
        <v/>
      </c>
      <c r="L486" s="208" t="str">
        <f t="shared" si="150"/>
        <v/>
      </c>
      <c r="M486" s="208" t="str">
        <f t="shared" si="162"/>
        <v/>
      </c>
      <c r="N486" s="608" t="str">
        <f>IF($D$3="", "", IFERROR(VLOOKUP(L486,'PIPE INCENTIVE'!$B$4:$E$19,2,FALSE),""))</f>
        <v/>
      </c>
      <c r="O486" s="608" t="str">
        <f t="shared" si="163"/>
        <v/>
      </c>
      <c r="P486" s="208" t="str">
        <f t="shared" si="164"/>
        <v/>
      </c>
      <c r="Q486" s="208" t="str">
        <f t="shared" si="151"/>
        <v/>
      </c>
      <c r="R486" s="609" t="str">
        <f t="shared" si="152"/>
        <v/>
      </c>
      <c r="S486" s="609" t="str">
        <f t="shared" si="153"/>
        <v/>
      </c>
      <c r="T486" s="609" t="str">
        <f t="shared" si="154"/>
        <v/>
      </c>
      <c r="U486" s="609" t="str" cm="1">
        <f t="array" ref="U486">IFERROR(IF($D$3="","",_xlfn.LET(_xlpm.Mixed,AND(COUNTIF($G$34:$G$533,"Heating_Hot_Water")&gt;0,(COUNTIF($G$34:$G$533,"Steam_Low_Pressure") + COUNTIF($G$34:$G$533,"Steam_Medium_Pressure") + COUNTIF($G$34:$G$533,"Steam_High_Pressure"))&gt;0),_xlpm.fluid, G486,_xlpm.fuel, K486,_xlpm.load,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6" s="609" t="str">
        <f t="shared" si="165"/>
        <v/>
      </c>
      <c r="W486" s="482"/>
      <c r="X486" s="397" t="str" cm="1">
        <f t="array" ref="X486">IFERROR(IF($D$3="","", _xlfn.XLOOKUP(1,($AR$36:$AR$53=F486)*($AS$36:$AS$53=G486), INDEX($AT$36:$BJ$53,,_xlfn.XMATCH(E486,$AT$35:$BJ$35)))),"")</f>
        <v/>
      </c>
      <c r="Y486" s="480"/>
      <c r="Z486" s="482"/>
      <c r="AA486" s="607" t="str" cm="1">
        <f t="array" ref="AA486">IFERROR(IF($D$3="", "", _xlfn.LET(_xlpm.dia, E486, _xlpm.thk, Z486, _xlpm.temp, I486,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6" s="397" t="str" cm="1">
        <f t="array" ref="AB486">IFERROR(IF($D$3="", "", _xlfn.XLOOKUP(1,($AR$57:$AR$76=Y486)*($AS$57:$AS$76=Z486), INDEX($AT$57:$BJ$76,,_xlfn.XMATCH(E486,$AT$56:$BJ$56)))),"")</f>
        <v/>
      </c>
      <c r="AC486" s="208" t="str">
        <f t="shared" si="155"/>
        <v/>
      </c>
      <c r="AD486" s="397" t="str">
        <f t="shared" si="156"/>
        <v/>
      </c>
      <c r="AE486" s="610" t="str">
        <f t="shared" si="157"/>
        <v/>
      </c>
      <c r="AF486" s="610" t="str">
        <f t="shared" si="158"/>
        <v/>
      </c>
      <c r="AG486" s="610" t="str">
        <f t="shared" si="159"/>
        <v/>
      </c>
      <c r="AH486" s="608" t="str">
        <f t="shared" si="160"/>
        <v/>
      </c>
      <c r="AI486" s="610" t="str">
        <f t="shared" si="161"/>
        <v/>
      </c>
    </row>
    <row r="487" spans="2:35" x14ac:dyDescent="0.25">
      <c r="B487" s="209">
        <v>454</v>
      </c>
      <c r="C487" s="480"/>
      <c r="D487" s="480"/>
      <c r="E487" s="481"/>
      <c r="F487" s="480"/>
      <c r="G487" s="480"/>
      <c r="H487" s="607" t="str">
        <f t="shared" si="146"/>
        <v/>
      </c>
      <c r="I487" s="607" t="str">
        <f t="shared" si="147"/>
        <v/>
      </c>
      <c r="J487" s="607" t="str">
        <f t="shared" si="148"/>
        <v/>
      </c>
      <c r="K487" s="208" t="str">
        <f t="shared" si="149"/>
        <v/>
      </c>
      <c r="L487" s="208" t="str">
        <f t="shared" si="150"/>
        <v/>
      </c>
      <c r="M487" s="208" t="str">
        <f t="shared" si="162"/>
        <v/>
      </c>
      <c r="N487" s="608" t="str">
        <f>IF($D$3="", "", IFERROR(VLOOKUP(L487,'PIPE INCENTIVE'!$B$4:$E$19,2,FALSE),""))</f>
        <v/>
      </c>
      <c r="O487" s="608" t="str">
        <f t="shared" si="163"/>
        <v/>
      </c>
      <c r="P487" s="208" t="str">
        <f t="shared" si="164"/>
        <v/>
      </c>
      <c r="Q487" s="208" t="str">
        <f t="shared" si="151"/>
        <v/>
      </c>
      <c r="R487" s="609" t="str">
        <f t="shared" si="152"/>
        <v/>
      </c>
      <c r="S487" s="609" t="str">
        <f t="shared" si="153"/>
        <v/>
      </c>
      <c r="T487" s="609" t="str">
        <f t="shared" si="154"/>
        <v/>
      </c>
      <c r="U487" s="609" t="str" cm="1">
        <f t="array" ref="U487">IFERROR(IF($D$3="","",_xlfn.LET(_xlpm.Mixed,AND(COUNTIF($G$34:$G$533,"Heating_Hot_Water")&gt;0,(COUNTIF($G$34:$G$533,"Steam_Low_Pressure") + COUNTIF($G$34:$G$533,"Steam_Medium_Pressure") + COUNTIF($G$34:$G$533,"Steam_High_Pressure"))&gt;0),_xlpm.fluid, G487,_xlpm.fuel, K487,_xlpm.load,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7" s="609" t="str">
        <f t="shared" si="165"/>
        <v/>
      </c>
      <c r="W487" s="482"/>
      <c r="X487" s="397" t="str" cm="1">
        <f t="array" ref="X487">IFERROR(IF($D$3="","", _xlfn.XLOOKUP(1,($AR$36:$AR$53=F487)*($AS$36:$AS$53=G487), INDEX($AT$36:$BJ$53,,_xlfn.XMATCH(E487,$AT$35:$BJ$35)))),"")</f>
        <v/>
      </c>
      <c r="Y487" s="480"/>
      <c r="Z487" s="482"/>
      <c r="AA487" s="607" t="str" cm="1">
        <f t="array" ref="AA487">IFERROR(IF($D$3="", "", _xlfn.LET(_xlpm.dia, E487, _xlpm.thk, Z487, _xlpm.temp, I487,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7" s="397" t="str" cm="1">
        <f t="array" ref="AB487">IFERROR(IF($D$3="", "", _xlfn.XLOOKUP(1,($AR$57:$AR$76=Y487)*($AS$57:$AS$76=Z487), INDEX($AT$57:$BJ$76,,_xlfn.XMATCH(E487,$AT$56:$BJ$56)))),"")</f>
        <v/>
      </c>
      <c r="AC487" s="208" t="str">
        <f t="shared" si="155"/>
        <v/>
      </c>
      <c r="AD487" s="397" t="str">
        <f t="shared" si="156"/>
        <v/>
      </c>
      <c r="AE487" s="610" t="str">
        <f t="shared" si="157"/>
        <v/>
      </c>
      <c r="AF487" s="610" t="str">
        <f t="shared" si="158"/>
        <v/>
      </c>
      <c r="AG487" s="610" t="str">
        <f t="shared" si="159"/>
        <v/>
      </c>
      <c r="AH487" s="608" t="str">
        <f t="shared" si="160"/>
        <v/>
      </c>
      <c r="AI487" s="610" t="str">
        <f t="shared" si="161"/>
        <v/>
      </c>
    </row>
    <row r="488" spans="2:35" x14ac:dyDescent="0.25">
      <c r="B488" s="209">
        <v>455</v>
      </c>
      <c r="C488" s="480"/>
      <c r="D488" s="480"/>
      <c r="E488" s="481"/>
      <c r="F488" s="480"/>
      <c r="G488" s="480"/>
      <c r="H488" s="607" t="str">
        <f t="shared" si="146"/>
        <v/>
      </c>
      <c r="I488" s="607" t="str">
        <f t="shared" si="147"/>
        <v/>
      </c>
      <c r="J488" s="607" t="str">
        <f t="shared" si="148"/>
        <v/>
      </c>
      <c r="K488" s="208" t="str">
        <f t="shared" si="149"/>
        <v/>
      </c>
      <c r="L488" s="208" t="str">
        <f t="shared" si="150"/>
        <v/>
      </c>
      <c r="M488" s="208" t="str">
        <f t="shared" si="162"/>
        <v/>
      </c>
      <c r="N488" s="608" t="str">
        <f>IF($D$3="", "", IFERROR(VLOOKUP(L488,'PIPE INCENTIVE'!$B$4:$E$19,2,FALSE),""))</f>
        <v/>
      </c>
      <c r="O488" s="608" t="str">
        <f t="shared" si="163"/>
        <v/>
      </c>
      <c r="P488" s="208" t="str">
        <f t="shared" si="164"/>
        <v/>
      </c>
      <c r="Q488" s="208" t="str">
        <f t="shared" si="151"/>
        <v/>
      </c>
      <c r="R488" s="609" t="str">
        <f t="shared" si="152"/>
        <v/>
      </c>
      <c r="S488" s="609" t="str">
        <f t="shared" si="153"/>
        <v/>
      </c>
      <c r="T488" s="609" t="str">
        <f t="shared" si="154"/>
        <v/>
      </c>
      <c r="U488" s="609" t="str" cm="1">
        <f t="array" ref="U488">IFERROR(IF($D$3="","",_xlfn.LET(_xlpm.Mixed,AND(COUNTIF($G$34:$G$533,"Heating_Hot_Water")&gt;0,(COUNTIF($G$34:$G$533,"Steam_Low_Pressure") + COUNTIF($G$34:$G$533,"Steam_Medium_Pressure") + COUNTIF($G$34:$G$533,"Steam_High_Pressure"))&gt;0),_xlpm.fluid, G488,_xlpm.fuel, K488,_xlpm.load,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8" s="609" t="str">
        <f t="shared" si="165"/>
        <v/>
      </c>
      <c r="W488" s="482"/>
      <c r="X488" s="397" t="str" cm="1">
        <f t="array" ref="X488">IFERROR(IF($D$3="","", _xlfn.XLOOKUP(1,($AR$36:$AR$53=F488)*($AS$36:$AS$53=G488), INDEX($AT$36:$BJ$53,,_xlfn.XMATCH(E488,$AT$35:$BJ$35)))),"")</f>
        <v/>
      </c>
      <c r="Y488" s="480"/>
      <c r="Z488" s="482"/>
      <c r="AA488" s="607" t="str" cm="1">
        <f t="array" ref="AA488">IFERROR(IF($D$3="", "", _xlfn.LET(_xlpm.dia, E488, _xlpm.thk, Z488, _xlpm.temp, I488,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8" s="397" t="str" cm="1">
        <f t="array" ref="AB488">IFERROR(IF($D$3="", "", _xlfn.XLOOKUP(1,($AR$57:$AR$76=Y488)*($AS$57:$AS$76=Z488), INDEX($AT$57:$BJ$76,,_xlfn.XMATCH(E488,$AT$56:$BJ$56)))),"")</f>
        <v/>
      </c>
      <c r="AC488" s="208" t="str">
        <f t="shared" si="155"/>
        <v/>
      </c>
      <c r="AD488" s="397" t="str">
        <f t="shared" si="156"/>
        <v/>
      </c>
      <c r="AE488" s="610" t="str">
        <f t="shared" si="157"/>
        <v/>
      </c>
      <c r="AF488" s="610" t="str">
        <f t="shared" si="158"/>
        <v/>
      </c>
      <c r="AG488" s="610" t="str">
        <f t="shared" si="159"/>
        <v/>
      </c>
      <c r="AH488" s="608" t="str">
        <f t="shared" si="160"/>
        <v/>
      </c>
      <c r="AI488" s="610" t="str">
        <f t="shared" si="161"/>
        <v/>
      </c>
    </row>
    <row r="489" spans="2:35" x14ac:dyDescent="0.25">
      <c r="B489" s="209">
        <v>456</v>
      </c>
      <c r="C489" s="480"/>
      <c r="D489" s="480"/>
      <c r="E489" s="481"/>
      <c r="F489" s="480"/>
      <c r="G489" s="480"/>
      <c r="H489" s="607" t="str">
        <f t="shared" si="146"/>
        <v/>
      </c>
      <c r="I489" s="607" t="str">
        <f t="shared" si="147"/>
        <v/>
      </c>
      <c r="J489" s="607" t="str">
        <f t="shared" si="148"/>
        <v/>
      </c>
      <c r="K489" s="208" t="str">
        <f t="shared" si="149"/>
        <v/>
      </c>
      <c r="L489" s="208" t="str">
        <f t="shared" si="150"/>
        <v/>
      </c>
      <c r="M489" s="208" t="str">
        <f t="shared" si="162"/>
        <v/>
      </c>
      <c r="N489" s="608" t="str">
        <f>IF($D$3="", "", IFERROR(VLOOKUP(L489,'PIPE INCENTIVE'!$B$4:$E$19,2,FALSE),""))</f>
        <v/>
      </c>
      <c r="O489" s="608" t="str">
        <f t="shared" si="163"/>
        <v/>
      </c>
      <c r="P489" s="208" t="str">
        <f t="shared" si="164"/>
        <v/>
      </c>
      <c r="Q489" s="208" t="str">
        <f t="shared" si="151"/>
        <v/>
      </c>
      <c r="R489" s="609" t="str">
        <f t="shared" si="152"/>
        <v/>
      </c>
      <c r="S489" s="609" t="str">
        <f t="shared" si="153"/>
        <v/>
      </c>
      <c r="T489" s="609" t="str">
        <f t="shared" si="154"/>
        <v/>
      </c>
      <c r="U489" s="609" t="str" cm="1">
        <f t="array" ref="U489">IFERROR(IF($D$3="","",_xlfn.LET(_xlpm.Mixed,AND(COUNTIF($G$34:$G$533,"Heating_Hot_Water")&gt;0,(COUNTIF($G$34:$G$533,"Steam_Low_Pressure") + COUNTIF($G$34:$G$533,"Steam_Medium_Pressure") + COUNTIF($G$34:$G$533,"Steam_High_Pressure"))&gt;0),_xlpm.fluid, G489,_xlpm.fuel, K489,_xlpm.load,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89" s="609" t="str">
        <f t="shared" si="165"/>
        <v/>
      </c>
      <c r="W489" s="482"/>
      <c r="X489" s="397" t="str" cm="1">
        <f t="array" ref="X489">IFERROR(IF($D$3="","", _xlfn.XLOOKUP(1,($AR$36:$AR$53=F489)*($AS$36:$AS$53=G489), INDEX($AT$36:$BJ$53,,_xlfn.XMATCH(E489,$AT$35:$BJ$35)))),"")</f>
        <v/>
      </c>
      <c r="Y489" s="480"/>
      <c r="Z489" s="482"/>
      <c r="AA489" s="607" t="str" cm="1">
        <f t="array" ref="AA489">IFERROR(IF($D$3="", "", _xlfn.LET(_xlpm.dia, E489, _xlpm.thk, Z489, _xlpm.temp, I489,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89" s="397" t="str" cm="1">
        <f t="array" ref="AB489">IFERROR(IF($D$3="", "", _xlfn.XLOOKUP(1,($AR$57:$AR$76=Y489)*($AS$57:$AS$76=Z489), INDEX($AT$57:$BJ$76,,_xlfn.XMATCH(E489,$AT$56:$BJ$56)))),"")</f>
        <v/>
      </c>
      <c r="AC489" s="208" t="str">
        <f t="shared" si="155"/>
        <v/>
      </c>
      <c r="AD489" s="397" t="str">
        <f t="shared" si="156"/>
        <v/>
      </c>
      <c r="AE489" s="610" t="str">
        <f t="shared" si="157"/>
        <v/>
      </c>
      <c r="AF489" s="610" t="str">
        <f t="shared" si="158"/>
        <v/>
      </c>
      <c r="AG489" s="610" t="str">
        <f t="shared" si="159"/>
        <v/>
      </c>
      <c r="AH489" s="608" t="str">
        <f t="shared" si="160"/>
        <v/>
      </c>
      <c r="AI489" s="610" t="str">
        <f t="shared" si="161"/>
        <v/>
      </c>
    </row>
    <row r="490" spans="2:35" x14ac:dyDescent="0.25">
      <c r="B490" s="209">
        <v>457</v>
      </c>
      <c r="C490" s="480"/>
      <c r="D490" s="480"/>
      <c r="E490" s="481"/>
      <c r="F490" s="480"/>
      <c r="G490" s="480"/>
      <c r="H490" s="607" t="str">
        <f t="shared" si="146"/>
        <v/>
      </c>
      <c r="I490" s="607" t="str">
        <f t="shared" si="147"/>
        <v/>
      </c>
      <c r="J490" s="607" t="str">
        <f t="shared" si="148"/>
        <v/>
      </c>
      <c r="K490" s="208" t="str">
        <f t="shared" si="149"/>
        <v/>
      </c>
      <c r="L490" s="208" t="str">
        <f t="shared" si="150"/>
        <v/>
      </c>
      <c r="M490" s="208" t="str">
        <f t="shared" si="162"/>
        <v/>
      </c>
      <c r="N490" s="608" t="str">
        <f>IF($D$3="", "", IFERROR(VLOOKUP(L490,'PIPE INCENTIVE'!$B$4:$E$19,2,FALSE),""))</f>
        <v/>
      </c>
      <c r="O490" s="608" t="str">
        <f t="shared" si="163"/>
        <v/>
      </c>
      <c r="P490" s="208" t="str">
        <f t="shared" si="164"/>
        <v/>
      </c>
      <c r="Q490" s="208" t="str">
        <f t="shared" si="151"/>
        <v/>
      </c>
      <c r="R490" s="609" t="str">
        <f t="shared" si="152"/>
        <v/>
      </c>
      <c r="S490" s="609" t="str">
        <f t="shared" si="153"/>
        <v/>
      </c>
      <c r="T490" s="609" t="str">
        <f t="shared" si="154"/>
        <v/>
      </c>
      <c r="U490" s="609" t="str" cm="1">
        <f t="array" ref="U490">IFERROR(IF($D$3="","",_xlfn.LET(_xlpm.Mixed,AND(COUNTIF($G$34:$G$533,"Heating_Hot_Water")&gt;0,(COUNTIF($G$34:$G$533,"Steam_Low_Pressure") + COUNTIF($G$34:$G$533,"Steam_Medium_Pressure") + COUNTIF($G$34:$G$533,"Steam_High_Pressure"))&gt;0),_xlpm.fluid, G490,_xlpm.fuel, K490,_xlpm.load,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0" s="609" t="str">
        <f t="shared" si="165"/>
        <v/>
      </c>
      <c r="W490" s="482"/>
      <c r="X490" s="397" t="str" cm="1">
        <f t="array" ref="X490">IFERROR(IF($D$3="","", _xlfn.XLOOKUP(1,($AR$36:$AR$53=F490)*($AS$36:$AS$53=G490), INDEX($AT$36:$BJ$53,,_xlfn.XMATCH(E490,$AT$35:$BJ$35)))),"")</f>
        <v/>
      </c>
      <c r="Y490" s="480"/>
      <c r="Z490" s="482"/>
      <c r="AA490" s="607" t="str" cm="1">
        <f t="array" ref="AA490">IFERROR(IF($D$3="", "", _xlfn.LET(_xlpm.dia, E490, _xlpm.thk, Z490, _xlpm.temp, I490,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0" s="397" t="str" cm="1">
        <f t="array" ref="AB490">IFERROR(IF($D$3="", "", _xlfn.XLOOKUP(1,($AR$57:$AR$76=Y490)*($AS$57:$AS$76=Z490), INDEX($AT$57:$BJ$76,,_xlfn.XMATCH(E490,$AT$56:$BJ$56)))),"")</f>
        <v/>
      </c>
      <c r="AC490" s="208" t="str">
        <f t="shared" si="155"/>
        <v/>
      </c>
      <c r="AD490" s="397" t="str">
        <f t="shared" si="156"/>
        <v/>
      </c>
      <c r="AE490" s="610" t="str">
        <f t="shared" si="157"/>
        <v/>
      </c>
      <c r="AF490" s="610" t="str">
        <f t="shared" si="158"/>
        <v/>
      </c>
      <c r="AG490" s="610" t="str">
        <f t="shared" si="159"/>
        <v/>
      </c>
      <c r="AH490" s="608" t="str">
        <f t="shared" si="160"/>
        <v/>
      </c>
      <c r="AI490" s="610" t="str">
        <f t="shared" si="161"/>
        <v/>
      </c>
    </row>
    <row r="491" spans="2:35" x14ac:dyDescent="0.25">
      <c r="B491" s="209">
        <v>458</v>
      </c>
      <c r="C491" s="480"/>
      <c r="D491" s="480"/>
      <c r="E491" s="481"/>
      <c r="F491" s="480"/>
      <c r="G491" s="480"/>
      <c r="H491" s="607" t="str">
        <f t="shared" si="146"/>
        <v/>
      </c>
      <c r="I491" s="607" t="str">
        <f t="shared" si="147"/>
        <v/>
      </c>
      <c r="J491" s="607" t="str">
        <f t="shared" si="148"/>
        <v/>
      </c>
      <c r="K491" s="208" t="str">
        <f t="shared" si="149"/>
        <v/>
      </c>
      <c r="L491" s="208" t="str">
        <f t="shared" si="150"/>
        <v/>
      </c>
      <c r="M491" s="208" t="str">
        <f t="shared" si="162"/>
        <v/>
      </c>
      <c r="N491" s="608" t="str">
        <f>IF($D$3="", "", IFERROR(VLOOKUP(L491,'PIPE INCENTIVE'!$B$4:$E$19,2,FALSE),""))</f>
        <v/>
      </c>
      <c r="O491" s="608" t="str">
        <f t="shared" si="163"/>
        <v/>
      </c>
      <c r="P491" s="208" t="str">
        <f t="shared" si="164"/>
        <v/>
      </c>
      <c r="Q491" s="208" t="str">
        <f t="shared" si="151"/>
        <v/>
      </c>
      <c r="R491" s="609" t="str">
        <f t="shared" si="152"/>
        <v/>
      </c>
      <c r="S491" s="609" t="str">
        <f t="shared" si="153"/>
        <v/>
      </c>
      <c r="T491" s="609" t="str">
        <f t="shared" si="154"/>
        <v/>
      </c>
      <c r="U491" s="609" t="str" cm="1">
        <f t="array" ref="U491">IFERROR(IF($D$3="","",_xlfn.LET(_xlpm.Mixed,AND(COUNTIF($G$34:$G$533,"Heating_Hot_Water")&gt;0,(COUNTIF($G$34:$G$533,"Steam_Low_Pressure") + COUNTIF($G$34:$G$533,"Steam_Medium_Pressure") + COUNTIF($G$34:$G$533,"Steam_High_Pressure"))&gt;0),_xlpm.fluid, G491,_xlpm.fuel, K491,_xlpm.load,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1" s="609" t="str">
        <f t="shared" si="165"/>
        <v/>
      </c>
      <c r="W491" s="482"/>
      <c r="X491" s="397" t="str" cm="1">
        <f t="array" ref="X491">IFERROR(IF($D$3="","", _xlfn.XLOOKUP(1,($AR$36:$AR$53=F491)*($AS$36:$AS$53=G491), INDEX($AT$36:$BJ$53,,_xlfn.XMATCH(E491,$AT$35:$BJ$35)))),"")</f>
        <v/>
      </c>
      <c r="Y491" s="480"/>
      <c r="Z491" s="482"/>
      <c r="AA491" s="607" t="str" cm="1">
        <f t="array" ref="AA491">IFERROR(IF($D$3="", "", _xlfn.LET(_xlpm.dia, E491, _xlpm.thk, Z491, _xlpm.temp, I491,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1" s="397" t="str" cm="1">
        <f t="array" ref="AB491">IFERROR(IF($D$3="", "", _xlfn.XLOOKUP(1,($AR$57:$AR$76=Y491)*($AS$57:$AS$76=Z491), INDEX($AT$57:$BJ$76,,_xlfn.XMATCH(E491,$AT$56:$BJ$56)))),"")</f>
        <v/>
      </c>
      <c r="AC491" s="208" t="str">
        <f t="shared" si="155"/>
        <v/>
      </c>
      <c r="AD491" s="397" t="str">
        <f t="shared" si="156"/>
        <v/>
      </c>
      <c r="AE491" s="610" t="str">
        <f t="shared" si="157"/>
        <v/>
      </c>
      <c r="AF491" s="610" t="str">
        <f t="shared" si="158"/>
        <v/>
      </c>
      <c r="AG491" s="610" t="str">
        <f t="shared" si="159"/>
        <v/>
      </c>
      <c r="AH491" s="608" t="str">
        <f t="shared" si="160"/>
        <v/>
      </c>
      <c r="AI491" s="610" t="str">
        <f t="shared" si="161"/>
        <v/>
      </c>
    </row>
    <row r="492" spans="2:35" x14ac:dyDescent="0.25">
      <c r="B492" s="209">
        <v>459</v>
      </c>
      <c r="C492" s="480"/>
      <c r="D492" s="480"/>
      <c r="E492" s="481"/>
      <c r="F492" s="480"/>
      <c r="G492" s="480"/>
      <c r="H492" s="607" t="str">
        <f t="shared" si="146"/>
        <v/>
      </c>
      <c r="I492" s="607" t="str">
        <f t="shared" si="147"/>
        <v/>
      </c>
      <c r="J492" s="607" t="str">
        <f t="shared" si="148"/>
        <v/>
      </c>
      <c r="K492" s="208" t="str">
        <f t="shared" si="149"/>
        <v/>
      </c>
      <c r="L492" s="208" t="str">
        <f t="shared" si="150"/>
        <v/>
      </c>
      <c r="M492" s="208" t="str">
        <f t="shared" si="162"/>
        <v/>
      </c>
      <c r="N492" s="608" t="str">
        <f>IF($D$3="", "", IFERROR(VLOOKUP(L492,'PIPE INCENTIVE'!$B$4:$E$19,2,FALSE),""))</f>
        <v/>
      </c>
      <c r="O492" s="608" t="str">
        <f t="shared" si="163"/>
        <v/>
      </c>
      <c r="P492" s="208" t="str">
        <f t="shared" si="164"/>
        <v/>
      </c>
      <c r="Q492" s="208" t="str">
        <f t="shared" si="151"/>
        <v/>
      </c>
      <c r="R492" s="609" t="str">
        <f t="shared" si="152"/>
        <v/>
      </c>
      <c r="S492" s="609" t="str">
        <f t="shared" si="153"/>
        <v/>
      </c>
      <c r="T492" s="609" t="str">
        <f t="shared" si="154"/>
        <v/>
      </c>
      <c r="U492" s="609" t="str" cm="1">
        <f t="array" ref="U492">IFERROR(IF($D$3="","",_xlfn.LET(_xlpm.Mixed,AND(COUNTIF($G$34:$G$533,"Heating_Hot_Water")&gt;0,(COUNTIF($G$34:$G$533,"Steam_Low_Pressure") + COUNTIF($G$34:$G$533,"Steam_Medium_Pressure") + COUNTIF($G$34:$G$533,"Steam_High_Pressure"))&gt;0),_xlpm.fluid, G492,_xlpm.fuel, K492,_xlpm.load,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2" s="609" t="str">
        <f t="shared" si="165"/>
        <v/>
      </c>
      <c r="W492" s="482"/>
      <c r="X492" s="397" t="str" cm="1">
        <f t="array" ref="X492">IFERROR(IF($D$3="","", _xlfn.XLOOKUP(1,($AR$36:$AR$53=F492)*($AS$36:$AS$53=G492), INDEX($AT$36:$BJ$53,,_xlfn.XMATCH(E492,$AT$35:$BJ$35)))),"")</f>
        <v/>
      </c>
      <c r="Y492" s="480"/>
      <c r="Z492" s="482"/>
      <c r="AA492" s="607" t="str" cm="1">
        <f t="array" ref="AA492">IFERROR(IF($D$3="", "", _xlfn.LET(_xlpm.dia, E492, _xlpm.thk, Z492, _xlpm.temp, I492,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2" s="397" t="str" cm="1">
        <f t="array" ref="AB492">IFERROR(IF($D$3="", "", _xlfn.XLOOKUP(1,($AR$57:$AR$76=Y492)*($AS$57:$AS$76=Z492), INDEX($AT$57:$BJ$76,,_xlfn.XMATCH(E492,$AT$56:$BJ$56)))),"")</f>
        <v/>
      </c>
      <c r="AC492" s="208" t="str">
        <f t="shared" si="155"/>
        <v/>
      </c>
      <c r="AD492" s="397" t="str">
        <f t="shared" si="156"/>
        <v/>
      </c>
      <c r="AE492" s="610" t="str">
        <f t="shared" si="157"/>
        <v/>
      </c>
      <c r="AF492" s="610" t="str">
        <f t="shared" si="158"/>
        <v/>
      </c>
      <c r="AG492" s="610" t="str">
        <f t="shared" si="159"/>
        <v/>
      </c>
      <c r="AH492" s="608" t="str">
        <f t="shared" si="160"/>
        <v/>
      </c>
      <c r="AI492" s="610" t="str">
        <f t="shared" si="161"/>
        <v/>
      </c>
    </row>
    <row r="493" spans="2:35" x14ac:dyDescent="0.25">
      <c r="B493" s="209">
        <v>460</v>
      </c>
      <c r="C493" s="480"/>
      <c r="D493" s="480"/>
      <c r="E493" s="481"/>
      <c r="F493" s="480"/>
      <c r="G493" s="480"/>
      <c r="H493" s="607" t="str">
        <f t="shared" si="146"/>
        <v/>
      </c>
      <c r="I493" s="607" t="str">
        <f t="shared" si="147"/>
        <v/>
      </c>
      <c r="J493" s="607" t="str">
        <f t="shared" si="148"/>
        <v/>
      </c>
      <c r="K493" s="208" t="str">
        <f t="shared" si="149"/>
        <v/>
      </c>
      <c r="L493" s="208" t="str">
        <f t="shared" si="150"/>
        <v/>
      </c>
      <c r="M493" s="208" t="str">
        <f t="shared" si="162"/>
        <v/>
      </c>
      <c r="N493" s="608" t="str">
        <f>IF($D$3="", "", IFERROR(VLOOKUP(L493,'PIPE INCENTIVE'!$B$4:$E$19,2,FALSE),""))</f>
        <v/>
      </c>
      <c r="O493" s="608" t="str">
        <f t="shared" si="163"/>
        <v/>
      </c>
      <c r="P493" s="208" t="str">
        <f t="shared" si="164"/>
        <v/>
      </c>
      <c r="Q493" s="208" t="str">
        <f t="shared" si="151"/>
        <v/>
      </c>
      <c r="R493" s="609" t="str">
        <f t="shared" si="152"/>
        <v/>
      </c>
      <c r="S493" s="609" t="str">
        <f t="shared" si="153"/>
        <v/>
      </c>
      <c r="T493" s="609" t="str">
        <f t="shared" si="154"/>
        <v/>
      </c>
      <c r="U493" s="609" t="str" cm="1">
        <f t="array" ref="U493">IFERROR(IF($D$3="","",_xlfn.LET(_xlpm.Mixed,AND(COUNTIF($G$34:$G$533,"Heating_Hot_Water")&gt;0,(COUNTIF($G$34:$G$533,"Steam_Low_Pressure") + COUNTIF($G$34:$G$533,"Steam_Medium_Pressure") + COUNTIF($G$34:$G$533,"Steam_High_Pressure"))&gt;0),_xlpm.fluid, G493,_xlpm.fuel, K493,_xlpm.load,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3" s="609" t="str">
        <f t="shared" si="165"/>
        <v/>
      </c>
      <c r="W493" s="482"/>
      <c r="X493" s="397" t="str" cm="1">
        <f t="array" ref="X493">IFERROR(IF($D$3="","", _xlfn.XLOOKUP(1,($AR$36:$AR$53=F493)*($AS$36:$AS$53=G493), INDEX($AT$36:$BJ$53,,_xlfn.XMATCH(E493,$AT$35:$BJ$35)))),"")</f>
        <v/>
      </c>
      <c r="Y493" s="480"/>
      <c r="Z493" s="482"/>
      <c r="AA493" s="607" t="str" cm="1">
        <f t="array" ref="AA493">IFERROR(IF($D$3="", "", _xlfn.LET(_xlpm.dia, E493, _xlpm.thk, Z493, _xlpm.temp, I493,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3" s="397" t="str" cm="1">
        <f t="array" ref="AB493">IFERROR(IF($D$3="", "", _xlfn.XLOOKUP(1,($AR$57:$AR$76=Y493)*($AS$57:$AS$76=Z493), INDEX($AT$57:$BJ$76,,_xlfn.XMATCH(E493,$AT$56:$BJ$56)))),"")</f>
        <v/>
      </c>
      <c r="AC493" s="208" t="str">
        <f t="shared" si="155"/>
        <v/>
      </c>
      <c r="AD493" s="397" t="str">
        <f t="shared" si="156"/>
        <v/>
      </c>
      <c r="AE493" s="610" t="str">
        <f t="shared" si="157"/>
        <v/>
      </c>
      <c r="AF493" s="610" t="str">
        <f t="shared" si="158"/>
        <v/>
      </c>
      <c r="AG493" s="610" t="str">
        <f t="shared" si="159"/>
        <v/>
      </c>
      <c r="AH493" s="608" t="str">
        <f t="shared" si="160"/>
        <v/>
      </c>
      <c r="AI493" s="610" t="str">
        <f t="shared" si="161"/>
        <v/>
      </c>
    </row>
    <row r="494" spans="2:35" x14ac:dyDescent="0.25">
      <c r="B494" s="209">
        <v>461</v>
      </c>
      <c r="C494" s="480"/>
      <c r="D494" s="480"/>
      <c r="E494" s="481"/>
      <c r="F494" s="480"/>
      <c r="G494" s="480"/>
      <c r="H494" s="607" t="str">
        <f t="shared" si="146"/>
        <v/>
      </c>
      <c r="I494" s="607" t="str">
        <f t="shared" si="147"/>
        <v/>
      </c>
      <c r="J494" s="607" t="str">
        <f t="shared" si="148"/>
        <v/>
      </c>
      <c r="K494" s="208" t="str">
        <f t="shared" si="149"/>
        <v/>
      </c>
      <c r="L494" s="208" t="str">
        <f t="shared" si="150"/>
        <v/>
      </c>
      <c r="M494" s="208" t="str">
        <f t="shared" si="162"/>
        <v/>
      </c>
      <c r="N494" s="608" t="str">
        <f>IF($D$3="", "", IFERROR(VLOOKUP(L494,'PIPE INCENTIVE'!$B$4:$E$19,2,FALSE),""))</f>
        <v/>
      </c>
      <c r="O494" s="608" t="str">
        <f t="shared" si="163"/>
        <v/>
      </c>
      <c r="P494" s="208" t="str">
        <f t="shared" si="164"/>
        <v/>
      </c>
      <c r="Q494" s="208" t="str">
        <f t="shared" si="151"/>
        <v/>
      </c>
      <c r="R494" s="609" t="str">
        <f t="shared" si="152"/>
        <v/>
      </c>
      <c r="S494" s="609" t="str">
        <f t="shared" si="153"/>
        <v/>
      </c>
      <c r="T494" s="609" t="str">
        <f t="shared" si="154"/>
        <v/>
      </c>
      <c r="U494" s="609" t="str" cm="1">
        <f t="array" ref="U494">IFERROR(IF($D$3="","",_xlfn.LET(_xlpm.Mixed,AND(COUNTIF($G$34:$G$533,"Heating_Hot_Water")&gt;0,(COUNTIF($G$34:$G$533,"Steam_Low_Pressure") + COUNTIF($G$34:$G$533,"Steam_Medium_Pressure") + COUNTIF($G$34:$G$533,"Steam_High_Pressure"))&gt;0),_xlpm.fluid, G494,_xlpm.fuel, K494,_xlpm.load,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4" s="609" t="str">
        <f t="shared" si="165"/>
        <v/>
      </c>
      <c r="W494" s="482"/>
      <c r="X494" s="397" t="str" cm="1">
        <f t="array" ref="X494">IFERROR(IF($D$3="","", _xlfn.XLOOKUP(1,($AR$36:$AR$53=F494)*($AS$36:$AS$53=G494), INDEX($AT$36:$BJ$53,,_xlfn.XMATCH(E494,$AT$35:$BJ$35)))),"")</f>
        <v/>
      </c>
      <c r="Y494" s="480"/>
      <c r="Z494" s="482"/>
      <c r="AA494" s="607" t="str" cm="1">
        <f t="array" ref="AA494">IFERROR(IF($D$3="", "", _xlfn.LET(_xlpm.dia, E494, _xlpm.thk, Z494, _xlpm.temp, I494,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4" s="397" t="str" cm="1">
        <f t="array" ref="AB494">IFERROR(IF($D$3="", "", _xlfn.XLOOKUP(1,($AR$57:$AR$76=Y494)*($AS$57:$AS$76=Z494), INDEX($AT$57:$BJ$76,,_xlfn.XMATCH(E494,$AT$56:$BJ$56)))),"")</f>
        <v/>
      </c>
      <c r="AC494" s="208" t="str">
        <f t="shared" si="155"/>
        <v/>
      </c>
      <c r="AD494" s="397" t="str">
        <f t="shared" si="156"/>
        <v/>
      </c>
      <c r="AE494" s="610" t="str">
        <f t="shared" si="157"/>
        <v/>
      </c>
      <c r="AF494" s="610" t="str">
        <f t="shared" si="158"/>
        <v/>
      </c>
      <c r="AG494" s="610" t="str">
        <f t="shared" si="159"/>
        <v/>
      </c>
      <c r="AH494" s="608" t="str">
        <f t="shared" si="160"/>
        <v/>
      </c>
      <c r="AI494" s="610" t="str">
        <f t="shared" si="161"/>
        <v/>
      </c>
    </row>
    <row r="495" spans="2:35" x14ac:dyDescent="0.25">
      <c r="B495" s="209">
        <v>462</v>
      </c>
      <c r="C495" s="480"/>
      <c r="D495" s="480"/>
      <c r="E495" s="481"/>
      <c r="F495" s="480"/>
      <c r="G495" s="480"/>
      <c r="H495" s="607" t="str">
        <f t="shared" si="146"/>
        <v/>
      </c>
      <c r="I495" s="607" t="str">
        <f t="shared" si="147"/>
        <v/>
      </c>
      <c r="J495" s="607" t="str">
        <f t="shared" si="148"/>
        <v/>
      </c>
      <c r="K495" s="208" t="str">
        <f t="shared" si="149"/>
        <v/>
      </c>
      <c r="L495" s="208" t="str">
        <f t="shared" si="150"/>
        <v/>
      </c>
      <c r="M495" s="208" t="str">
        <f t="shared" si="162"/>
        <v/>
      </c>
      <c r="N495" s="608" t="str">
        <f>IF($D$3="", "", IFERROR(VLOOKUP(L495,'PIPE INCENTIVE'!$B$4:$E$19,2,FALSE),""))</f>
        <v/>
      </c>
      <c r="O495" s="608" t="str">
        <f t="shared" si="163"/>
        <v/>
      </c>
      <c r="P495" s="208" t="str">
        <f t="shared" si="164"/>
        <v/>
      </c>
      <c r="Q495" s="208" t="str">
        <f t="shared" si="151"/>
        <v/>
      </c>
      <c r="R495" s="609" t="str">
        <f t="shared" si="152"/>
        <v/>
      </c>
      <c r="S495" s="609" t="str">
        <f t="shared" si="153"/>
        <v/>
      </c>
      <c r="T495" s="609" t="str">
        <f t="shared" si="154"/>
        <v/>
      </c>
      <c r="U495" s="609" t="str" cm="1">
        <f t="array" ref="U495">IFERROR(IF($D$3="","",_xlfn.LET(_xlpm.Mixed,AND(COUNTIF($G$34:$G$533,"Heating_Hot_Water")&gt;0,(COUNTIF($G$34:$G$533,"Steam_Low_Pressure") + COUNTIF($G$34:$G$533,"Steam_Medium_Pressure") + COUNTIF($G$34:$G$533,"Steam_High_Pressure"))&gt;0),_xlpm.fluid, G495,_xlpm.fuel, K495,_xlpm.load,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5" s="609" t="str">
        <f t="shared" si="165"/>
        <v/>
      </c>
      <c r="W495" s="482"/>
      <c r="X495" s="397" t="str" cm="1">
        <f t="array" ref="X495">IFERROR(IF($D$3="","", _xlfn.XLOOKUP(1,($AR$36:$AR$53=F495)*($AS$36:$AS$53=G495), INDEX($AT$36:$BJ$53,,_xlfn.XMATCH(E495,$AT$35:$BJ$35)))),"")</f>
        <v/>
      </c>
      <c r="Y495" s="480"/>
      <c r="Z495" s="482"/>
      <c r="AA495" s="607" t="str" cm="1">
        <f t="array" ref="AA495">IFERROR(IF($D$3="", "", _xlfn.LET(_xlpm.dia, E495, _xlpm.thk, Z495, _xlpm.temp, I495,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5" s="397" t="str" cm="1">
        <f t="array" ref="AB495">IFERROR(IF($D$3="", "", _xlfn.XLOOKUP(1,($AR$57:$AR$76=Y495)*($AS$57:$AS$76=Z495), INDEX($AT$57:$BJ$76,,_xlfn.XMATCH(E495,$AT$56:$BJ$56)))),"")</f>
        <v/>
      </c>
      <c r="AC495" s="208" t="str">
        <f t="shared" si="155"/>
        <v/>
      </c>
      <c r="AD495" s="397" t="str">
        <f t="shared" si="156"/>
        <v/>
      </c>
      <c r="AE495" s="610" t="str">
        <f t="shared" si="157"/>
        <v/>
      </c>
      <c r="AF495" s="610" t="str">
        <f t="shared" si="158"/>
        <v/>
      </c>
      <c r="AG495" s="610" t="str">
        <f t="shared" si="159"/>
        <v/>
      </c>
      <c r="AH495" s="608" t="str">
        <f t="shared" si="160"/>
        <v/>
      </c>
      <c r="AI495" s="610" t="str">
        <f t="shared" si="161"/>
        <v/>
      </c>
    </row>
    <row r="496" spans="2:35" x14ac:dyDescent="0.25">
      <c r="B496" s="209">
        <v>463</v>
      </c>
      <c r="C496" s="480"/>
      <c r="D496" s="480"/>
      <c r="E496" s="481"/>
      <c r="F496" s="480"/>
      <c r="G496" s="480"/>
      <c r="H496" s="607" t="str">
        <f t="shared" si="146"/>
        <v/>
      </c>
      <c r="I496" s="607" t="str">
        <f t="shared" si="147"/>
        <v/>
      </c>
      <c r="J496" s="607" t="str">
        <f t="shared" si="148"/>
        <v/>
      </c>
      <c r="K496" s="208" t="str">
        <f t="shared" si="149"/>
        <v/>
      </c>
      <c r="L496" s="208" t="str">
        <f t="shared" si="150"/>
        <v/>
      </c>
      <c r="M496" s="208" t="str">
        <f t="shared" si="162"/>
        <v/>
      </c>
      <c r="N496" s="608" t="str">
        <f>IF($D$3="", "", IFERROR(VLOOKUP(L496,'PIPE INCENTIVE'!$B$4:$E$19,2,FALSE),""))</f>
        <v/>
      </c>
      <c r="O496" s="608" t="str">
        <f t="shared" si="163"/>
        <v/>
      </c>
      <c r="P496" s="208" t="str">
        <f t="shared" si="164"/>
        <v/>
      </c>
      <c r="Q496" s="208" t="str">
        <f t="shared" si="151"/>
        <v/>
      </c>
      <c r="R496" s="609" t="str">
        <f t="shared" si="152"/>
        <v/>
      </c>
      <c r="S496" s="609" t="str">
        <f t="shared" si="153"/>
        <v/>
      </c>
      <c r="T496" s="609" t="str">
        <f t="shared" si="154"/>
        <v/>
      </c>
      <c r="U496" s="609" t="str" cm="1">
        <f t="array" ref="U496">IFERROR(IF($D$3="","",_xlfn.LET(_xlpm.Mixed,AND(COUNTIF($G$34:$G$533,"Heating_Hot_Water")&gt;0,(COUNTIF($G$34:$G$533,"Steam_Low_Pressure") + COUNTIF($G$34:$G$533,"Steam_Medium_Pressure") + COUNTIF($G$34:$G$533,"Steam_High_Pressure"))&gt;0),_xlpm.fluid, G496,_xlpm.fuel, K496,_xlpm.load,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6" s="609" t="str">
        <f t="shared" si="165"/>
        <v/>
      </c>
      <c r="W496" s="482"/>
      <c r="X496" s="397" t="str" cm="1">
        <f t="array" ref="X496">IFERROR(IF($D$3="","", _xlfn.XLOOKUP(1,($AR$36:$AR$53=F496)*($AS$36:$AS$53=G496), INDEX($AT$36:$BJ$53,,_xlfn.XMATCH(E496,$AT$35:$BJ$35)))),"")</f>
        <v/>
      </c>
      <c r="Y496" s="480"/>
      <c r="Z496" s="482"/>
      <c r="AA496" s="607" t="str" cm="1">
        <f t="array" ref="AA496">IFERROR(IF($D$3="", "", _xlfn.LET(_xlpm.dia, E496, _xlpm.thk, Z496, _xlpm.temp, I496,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6" s="397" t="str" cm="1">
        <f t="array" ref="AB496">IFERROR(IF($D$3="", "", _xlfn.XLOOKUP(1,($AR$57:$AR$76=Y496)*($AS$57:$AS$76=Z496), INDEX($AT$57:$BJ$76,,_xlfn.XMATCH(E496,$AT$56:$BJ$56)))),"")</f>
        <v/>
      </c>
      <c r="AC496" s="208" t="str">
        <f t="shared" si="155"/>
        <v/>
      </c>
      <c r="AD496" s="397" t="str">
        <f t="shared" si="156"/>
        <v/>
      </c>
      <c r="AE496" s="610" t="str">
        <f t="shared" si="157"/>
        <v/>
      </c>
      <c r="AF496" s="610" t="str">
        <f t="shared" si="158"/>
        <v/>
      </c>
      <c r="AG496" s="610" t="str">
        <f t="shared" si="159"/>
        <v/>
      </c>
      <c r="AH496" s="608" t="str">
        <f t="shared" si="160"/>
        <v/>
      </c>
      <c r="AI496" s="610" t="str">
        <f t="shared" si="161"/>
        <v/>
      </c>
    </row>
    <row r="497" spans="2:35" x14ac:dyDescent="0.25">
      <c r="B497" s="209">
        <v>464</v>
      </c>
      <c r="C497" s="480"/>
      <c r="D497" s="480"/>
      <c r="E497" s="481"/>
      <c r="F497" s="480"/>
      <c r="G497" s="480"/>
      <c r="H497" s="607" t="str">
        <f t="shared" si="146"/>
        <v/>
      </c>
      <c r="I497" s="607" t="str">
        <f t="shared" si="147"/>
        <v/>
      </c>
      <c r="J497" s="607" t="str">
        <f t="shared" si="148"/>
        <v/>
      </c>
      <c r="K497" s="208" t="str">
        <f t="shared" si="149"/>
        <v/>
      </c>
      <c r="L497" s="208" t="str">
        <f t="shared" si="150"/>
        <v/>
      </c>
      <c r="M497" s="208" t="str">
        <f t="shared" si="162"/>
        <v/>
      </c>
      <c r="N497" s="608" t="str">
        <f>IF($D$3="", "", IFERROR(VLOOKUP(L497,'PIPE INCENTIVE'!$B$4:$E$19,2,FALSE),""))</f>
        <v/>
      </c>
      <c r="O497" s="608" t="str">
        <f t="shared" si="163"/>
        <v/>
      </c>
      <c r="P497" s="208" t="str">
        <f t="shared" si="164"/>
        <v/>
      </c>
      <c r="Q497" s="208" t="str">
        <f t="shared" si="151"/>
        <v/>
      </c>
      <c r="R497" s="609" t="str">
        <f t="shared" si="152"/>
        <v/>
      </c>
      <c r="S497" s="609" t="str">
        <f t="shared" si="153"/>
        <v/>
      </c>
      <c r="T497" s="609" t="str">
        <f t="shared" si="154"/>
        <v/>
      </c>
      <c r="U497" s="609" t="str" cm="1">
        <f t="array" ref="U497">IFERROR(IF($D$3="","",_xlfn.LET(_xlpm.Mixed,AND(COUNTIF($G$34:$G$533,"Heating_Hot_Water")&gt;0,(COUNTIF($G$34:$G$533,"Steam_Low_Pressure") + COUNTIF($G$34:$G$533,"Steam_Medium_Pressure") + COUNTIF($G$34:$G$533,"Steam_High_Pressure"))&gt;0),_xlpm.fluid, G497,_xlpm.fuel, K497,_xlpm.load,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7" s="609" t="str">
        <f t="shared" si="165"/>
        <v/>
      </c>
      <c r="W497" s="482"/>
      <c r="X497" s="397" t="str" cm="1">
        <f t="array" ref="X497">IFERROR(IF($D$3="","", _xlfn.XLOOKUP(1,($AR$36:$AR$53=F497)*($AS$36:$AS$53=G497), INDEX($AT$36:$BJ$53,,_xlfn.XMATCH(E497,$AT$35:$BJ$35)))),"")</f>
        <v/>
      </c>
      <c r="Y497" s="480"/>
      <c r="Z497" s="482"/>
      <c r="AA497" s="607" t="str" cm="1">
        <f t="array" ref="AA497">IFERROR(IF($D$3="", "", _xlfn.LET(_xlpm.dia, E497, _xlpm.thk, Z497, _xlpm.temp, I497,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7" s="397" t="str" cm="1">
        <f t="array" ref="AB497">IFERROR(IF($D$3="", "", _xlfn.XLOOKUP(1,($AR$57:$AR$76=Y497)*($AS$57:$AS$76=Z497), INDEX($AT$57:$BJ$76,,_xlfn.XMATCH(E497,$AT$56:$BJ$56)))),"")</f>
        <v/>
      </c>
      <c r="AC497" s="208" t="str">
        <f t="shared" si="155"/>
        <v/>
      </c>
      <c r="AD497" s="397" t="str">
        <f t="shared" si="156"/>
        <v/>
      </c>
      <c r="AE497" s="610" t="str">
        <f t="shared" si="157"/>
        <v/>
      </c>
      <c r="AF497" s="610" t="str">
        <f t="shared" si="158"/>
        <v/>
      </c>
      <c r="AG497" s="610" t="str">
        <f t="shared" si="159"/>
        <v/>
      </c>
      <c r="AH497" s="608" t="str">
        <f t="shared" si="160"/>
        <v/>
      </c>
      <c r="AI497" s="610" t="str">
        <f t="shared" si="161"/>
        <v/>
      </c>
    </row>
    <row r="498" spans="2:35" x14ac:dyDescent="0.25">
      <c r="B498" s="209">
        <v>465</v>
      </c>
      <c r="C498" s="480"/>
      <c r="D498" s="480"/>
      <c r="E498" s="481"/>
      <c r="F498" s="480"/>
      <c r="G498" s="480"/>
      <c r="H498" s="607" t="str">
        <f t="shared" si="146"/>
        <v/>
      </c>
      <c r="I498" s="607" t="str">
        <f t="shared" si="147"/>
        <v/>
      </c>
      <c r="J498" s="607" t="str">
        <f t="shared" si="148"/>
        <v/>
      </c>
      <c r="K498" s="208" t="str">
        <f t="shared" si="149"/>
        <v/>
      </c>
      <c r="L498" s="208" t="str">
        <f t="shared" si="150"/>
        <v/>
      </c>
      <c r="M498" s="208" t="str">
        <f t="shared" si="162"/>
        <v/>
      </c>
      <c r="N498" s="608" t="str">
        <f>IF($D$3="", "", IFERROR(VLOOKUP(L498,'PIPE INCENTIVE'!$B$4:$E$19,2,FALSE),""))</f>
        <v/>
      </c>
      <c r="O498" s="608" t="str">
        <f t="shared" si="163"/>
        <v/>
      </c>
      <c r="P498" s="208" t="str">
        <f t="shared" si="164"/>
        <v/>
      </c>
      <c r="Q498" s="208" t="str">
        <f t="shared" si="151"/>
        <v/>
      </c>
      <c r="R498" s="609" t="str">
        <f t="shared" si="152"/>
        <v/>
      </c>
      <c r="S498" s="609" t="str">
        <f t="shared" si="153"/>
        <v/>
      </c>
      <c r="T498" s="609" t="str">
        <f t="shared" si="154"/>
        <v/>
      </c>
      <c r="U498" s="609" t="str" cm="1">
        <f t="array" ref="U498">IFERROR(IF($D$3="","",_xlfn.LET(_xlpm.Mixed,AND(COUNTIF($G$34:$G$533,"Heating_Hot_Water")&gt;0,(COUNTIF($G$34:$G$533,"Steam_Low_Pressure") + COUNTIF($G$34:$G$533,"Steam_Medium_Pressure") + COUNTIF($G$34:$G$533,"Steam_High_Pressure"))&gt;0),_xlpm.fluid, G498,_xlpm.fuel, K498,_xlpm.load,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8" s="609" t="str">
        <f t="shared" si="165"/>
        <v/>
      </c>
      <c r="W498" s="482"/>
      <c r="X498" s="397" t="str" cm="1">
        <f t="array" ref="X498">IFERROR(IF($D$3="","", _xlfn.XLOOKUP(1,($AR$36:$AR$53=F498)*($AS$36:$AS$53=G498), INDEX($AT$36:$BJ$53,,_xlfn.XMATCH(E498,$AT$35:$BJ$35)))),"")</f>
        <v/>
      </c>
      <c r="Y498" s="480"/>
      <c r="Z498" s="482"/>
      <c r="AA498" s="607" t="str" cm="1">
        <f t="array" ref="AA498">IFERROR(IF($D$3="", "", _xlfn.LET(_xlpm.dia, E498, _xlpm.thk, Z498, _xlpm.temp, I498,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8" s="397" t="str" cm="1">
        <f t="array" ref="AB498">IFERROR(IF($D$3="", "", _xlfn.XLOOKUP(1,($AR$57:$AR$76=Y498)*($AS$57:$AS$76=Z498), INDEX($AT$57:$BJ$76,,_xlfn.XMATCH(E498,$AT$56:$BJ$56)))),"")</f>
        <v/>
      </c>
      <c r="AC498" s="208" t="str">
        <f t="shared" si="155"/>
        <v/>
      </c>
      <c r="AD498" s="397" t="str">
        <f t="shared" si="156"/>
        <v/>
      </c>
      <c r="AE498" s="610" t="str">
        <f t="shared" si="157"/>
        <v/>
      </c>
      <c r="AF498" s="610" t="str">
        <f t="shared" si="158"/>
        <v/>
      </c>
      <c r="AG498" s="610" t="str">
        <f t="shared" si="159"/>
        <v/>
      </c>
      <c r="AH498" s="608" t="str">
        <f t="shared" si="160"/>
        <v/>
      </c>
      <c r="AI498" s="610" t="str">
        <f t="shared" si="161"/>
        <v/>
      </c>
    </row>
    <row r="499" spans="2:35" x14ac:dyDescent="0.25">
      <c r="B499" s="209">
        <v>466</v>
      </c>
      <c r="C499" s="480"/>
      <c r="D499" s="480"/>
      <c r="E499" s="481"/>
      <c r="F499" s="480"/>
      <c r="G499" s="480"/>
      <c r="H499" s="607" t="str">
        <f t="shared" si="146"/>
        <v/>
      </c>
      <c r="I499" s="607" t="str">
        <f t="shared" si="147"/>
        <v/>
      </c>
      <c r="J499" s="607" t="str">
        <f t="shared" si="148"/>
        <v/>
      </c>
      <c r="K499" s="208" t="str">
        <f t="shared" si="149"/>
        <v/>
      </c>
      <c r="L499" s="208" t="str">
        <f t="shared" si="150"/>
        <v/>
      </c>
      <c r="M499" s="208" t="str">
        <f t="shared" si="162"/>
        <v/>
      </c>
      <c r="N499" s="608" t="str">
        <f>IF($D$3="", "", IFERROR(VLOOKUP(L499,'PIPE INCENTIVE'!$B$4:$E$19,2,FALSE),""))</f>
        <v/>
      </c>
      <c r="O499" s="608" t="str">
        <f t="shared" si="163"/>
        <v/>
      </c>
      <c r="P499" s="208" t="str">
        <f t="shared" si="164"/>
        <v/>
      </c>
      <c r="Q499" s="208" t="str">
        <f t="shared" si="151"/>
        <v/>
      </c>
      <c r="R499" s="609" t="str">
        <f t="shared" si="152"/>
        <v/>
      </c>
      <c r="S499" s="609" t="str">
        <f t="shared" si="153"/>
        <v/>
      </c>
      <c r="T499" s="609" t="str">
        <f t="shared" si="154"/>
        <v/>
      </c>
      <c r="U499" s="609" t="str" cm="1">
        <f t="array" ref="U499">IFERROR(IF($D$3="","",_xlfn.LET(_xlpm.Mixed,AND(COUNTIF($G$34:$G$533,"Heating_Hot_Water")&gt;0,(COUNTIF($G$34:$G$533,"Steam_Low_Pressure") + COUNTIF($G$34:$G$533,"Steam_Medium_Pressure") + COUNTIF($G$34:$G$533,"Steam_High_Pressure"))&gt;0),_xlpm.fluid, G499,_xlpm.fuel, K499,_xlpm.load,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499" s="609" t="str">
        <f t="shared" si="165"/>
        <v/>
      </c>
      <c r="W499" s="482"/>
      <c r="X499" s="397" t="str" cm="1">
        <f t="array" ref="X499">IFERROR(IF($D$3="","", _xlfn.XLOOKUP(1,($AR$36:$AR$53=F499)*($AS$36:$AS$53=G499), INDEX($AT$36:$BJ$53,,_xlfn.XMATCH(E499,$AT$35:$BJ$35)))),"")</f>
        <v/>
      </c>
      <c r="Y499" s="480"/>
      <c r="Z499" s="482"/>
      <c r="AA499" s="607" t="str" cm="1">
        <f t="array" ref="AA499">IFERROR(IF($D$3="", "", _xlfn.LET(_xlpm.dia, E499, _xlpm.thk, Z499, _xlpm.temp, I499,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499" s="397" t="str" cm="1">
        <f t="array" ref="AB499">IFERROR(IF($D$3="", "", _xlfn.XLOOKUP(1,($AR$57:$AR$76=Y499)*($AS$57:$AS$76=Z499), INDEX($AT$57:$BJ$76,,_xlfn.XMATCH(E499,$AT$56:$BJ$56)))),"")</f>
        <v/>
      </c>
      <c r="AC499" s="208" t="str">
        <f t="shared" si="155"/>
        <v/>
      </c>
      <c r="AD499" s="397" t="str">
        <f t="shared" si="156"/>
        <v/>
      </c>
      <c r="AE499" s="610" t="str">
        <f t="shared" si="157"/>
        <v/>
      </c>
      <c r="AF499" s="610" t="str">
        <f t="shared" si="158"/>
        <v/>
      </c>
      <c r="AG499" s="610" t="str">
        <f t="shared" si="159"/>
        <v/>
      </c>
      <c r="AH499" s="608" t="str">
        <f t="shared" si="160"/>
        <v/>
      </c>
      <c r="AI499" s="610" t="str">
        <f t="shared" si="161"/>
        <v/>
      </c>
    </row>
    <row r="500" spans="2:35" x14ac:dyDescent="0.25">
      <c r="B500" s="209">
        <v>467</v>
      </c>
      <c r="C500" s="480"/>
      <c r="D500" s="480"/>
      <c r="E500" s="481"/>
      <c r="F500" s="480"/>
      <c r="G500" s="480"/>
      <c r="H500" s="607" t="str">
        <f t="shared" si="146"/>
        <v/>
      </c>
      <c r="I500" s="607" t="str">
        <f t="shared" si="147"/>
        <v/>
      </c>
      <c r="J500" s="607" t="str">
        <f t="shared" si="148"/>
        <v/>
      </c>
      <c r="K500" s="208" t="str">
        <f t="shared" si="149"/>
        <v/>
      </c>
      <c r="L500" s="208" t="str">
        <f t="shared" si="150"/>
        <v/>
      </c>
      <c r="M500" s="208" t="str">
        <f t="shared" si="162"/>
        <v/>
      </c>
      <c r="N500" s="608" t="str">
        <f>IF($D$3="", "", IFERROR(VLOOKUP(L500,'PIPE INCENTIVE'!$B$4:$E$19,2,FALSE),""))</f>
        <v/>
      </c>
      <c r="O500" s="608" t="str">
        <f t="shared" si="163"/>
        <v/>
      </c>
      <c r="P500" s="208" t="str">
        <f t="shared" si="164"/>
        <v/>
      </c>
      <c r="Q500" s="208" t="str">
        <f t="shared" si="151"/>
        <v/>
      </c>
      <c r="R500" s="609" t="str">
        <f t="shared" si="152"/>
        <v/>
      </c>
      <c r="S500" s="609" t="str">
        <f t="shared" si="153"/>
        <v/>
      </c>
      <c r="T500" s="609" t="str">
        <f t="shared" si="154"/>
        <v/>
      </c>
      <c r="U500" s="609" t="str" cm="1">
        <f t="array" ref="U500">IFERROR(IF($D$3="","",_xlfn.LET(_xlpm.Mixed,AND(COUNTIF($G$34:$G$533,"Heating_Hot_Water")&gt;0,(COUNTIF($G$34:$G$533,"Steam_Low_Pressure") + COUNTIF($G$34:$G$533,"Steam_Medium_Pressure") + COUNTIF($G$34:$G$533,"Steam_High_Pressure"))&gt;0),_xlpm.fluid, G500,_xlpm.fuel, K500,_xlpm.load,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0" s="609" t="str">
        <f t="shared" si="165"/>
        <v/>
      </c>
      <c r="W500" s="482"/>
      <c r="X500" s="397" t="str" cm="1">
        <f t="array" ref="X500">IFERROR(IF($D$3="","", _xlfn.XLOOKUP(1,($AR$36:$AR$53=F500)*($AS$36:$AS$53=G500), INDEX($AT$36:$BJ$53,,_xlfn.XMATCH(E500,$AT$35:$BJ$35)))),"")</f>
        <v/>
      </c>
      <c r="Y500" s="480"/>
      <c r="Z500" s="482"/>
      <c r="AA500" s="607" t="str" cm="1">
        <f t="array" ref="AA500">IFERROR(IF($D$3="", "", _xlfn.LET(_xlpm.dia, E500, _xlpm.thk, Z500, _xlpm.temp, I500,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0" s="397" t="str" cm="1">
        <f t="array" ref="AB500">IFERROR(IF($D$3="", "", _xlfn.XLOOKUP(1,($AR$57:$AR$76=Y500)*($AS$57:$AS$76=Z500), INDEX($AT$57:$BJ$76,,_xlfn.XMATCH(E500,$AT$56:$BJ$56)))),"")</f>
        <v/>
      </c>
      <c r="AC500" s="208" t="str">
        <f t="shared" si="155"/>
        <v/>
      </c>
      <c r="AD500" s="397" t="str">
        <f t="shared" si="156"/>
        <v/>
      </c>
      <c r="AE500" s="610" t="str">
        <f t="shared" si="157"/>
        <v/>
      </c>
      <c r="AF500" s="610" t="str">
        <f t="shared" si="158"/>
        <v/>
      </c>
      <c r="AG500" s="610" t="str">
        <f t="shared" si="159"/>
        <v/>
      </c>
      <c r="AH500" s="608" t="str">
        <f t="shared" si="160"/>
        <v/>
      </c>
      <c r="AI500" s="610" t="str">
        <f t="shared" si="161"/>
        <v/>
      </c>
    </row>
    <row r="501" spans="2:35" x14ac:dyDescent="0.25">
      <c r="B501" s="209">
        <v>468</v>
      </c>
      <c r="C501" s="480"/>
      <c r="D501" s="480"/>
      <c r="E501" s="481"/>
      <c r="F501" s="480"/>
      <c r="G501" s="480"/>
      <c r="H501" s="607" t="str">
        <f t="shared" si="146"/>
        <v/>
      </c>
      <c r="I501" s="607" t="str">
        <f t="shared" si="147"/>
        <v/>
      </c>
      <c r="J501" s="607" t="str">
        <f t="shared" si="148"/>
        <v/>
      </c>
      <c r="K501" s="208" t="str">
        <f t="shared" si="149"/>
        <v/>
      </c>
      <c r="L501" s="208" t="str">
        <f t="shared" si="150"/>
        <v/>
      </c>
      <c r="M501" s="208" t="str">
        <f t="shared" si="162"/>
        <v/>
      </c>
      <c r="N501" s="608" t="str">
        <f>IF($D$3="", "", IFERROR(VLOOKUP(L501,'PIPE INCENTIVE'!$B$4:$E$19,2,FALSE),""))</f>
        <v/>
      </c>
      <c r="O501" s="608" t="str">
        <f t="shared" si="163"/>
        <v/>
      </c>
      <c r="P501" s="208" t="str">
        <f t="shared" si="164"/>
        <v/>
      </c>
      <c r="Q501" s="208" t="str">
        <f t="shared" si="151"/>
        <v/>
      </c>
      <c r="R501" s="609" t="str">
        <f t="shared" si="152"/>
        <v/>
      </c>
      <c r="S501" s="609" t="str">
        <f t="shared" si="153"/>
        <v/>
      </c>
      <c r="T501" s="609" t="str">
        <f t="shared" si="154"/>
        <v/>
      </c>
      <c r="U501" s="609" t="str" cm="1">
        <f t="array" ref="U501">IFERROR(IF($D$3="","",_xlfn.LET(_xlpm.Mixed,AND(COUNTIF($G$34:$G$533,"Heating_Hot_Water")&gt;0,(COUNTIF($G$34:$G$533,"Steam_Low_Pressure") + COUNTIF($G$34:$G$533,"Steam_Medium_Pressure") + COUNTIF($G$34:$G$533,"Steam_High_Pressure"))&gt;0),_xlpm.fluid, G501,_xlpm.fuel, K501,_xlpm.load,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1" s="609" t="str">
        <f t="shared" si="165"/>
        <v/>
      </c>
      <c r="W501" s="482"/>
      <c r="X501" s="397" t="str" cm="1">
        <f t="array" ref="X501">IFERROR(IF($D$3="","", _xlfn.XLOOKUP(1,($AR$36:$AR$53=F501)*($AS$36:$AS$53=G501), INDEX($AT$36:$BJ$53,,_xlfn.XMATCH(E501,$AT$35:$BJ$35)))),"")</f>
        <v/>
      </c>
      <c r="Y501" s="480"/>
      <c r="Z501" s="482"/>
      <c r="AA501" s="607" t="str" cm="1">
        <f t="array" ref="AA501">IFERROR(IF($D$3="", "", _xlfn.LET(_xlpm.dia, E501, _xlpm.thk, Z501, _xlpm.temp, I501,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1" s="397" t="str" cm="1">
        <f t="array" ref="AB501">IFERROR(IF($D$3="", "", _xlfn.XLOOKUP(1,($AR$57:$AR$76=Y501)*($AS$57:$AS$76=Z501), INDEX($AT$57:$BJ$76,,_xlfn.XMATCH(E501,$AT$56:$BJ$56)))),"")</f>
        <v/>
      </c>
      <c r="AC501" s="208" t="str">
        <f t="shared" si="155"/>
        <v/>
      </c>
      <c r="AD501" s="397" t="str">
        <f t="shared" si="156"/>
        <v/>
      </c>
      <c r="AE501" s="610" t="str">
        <f t="shared" si="157"/>
        <v/>
      </c>
      <c r="AF501" s="610" t="str">
        <f t="shared" si="158"/>
        <v/>
      </c>
      <c r="AG501" s="610" t="str">
        <f t="shared" si="159"/>
        <v/>
      </c>
      <c r="AH501" s="608" t="str">
        <f t="shared" si="160"/>
        <v/>
      </c>
      <c r="AI501" s="610" t="str">
        <f t="shared" si="161"/>
        <v/>
      </c>
    </row>
    <row r="502" spans="2:35" x14ac:dyDescent="0.25">
      <c r="B502" s="209">
        <v>469</v>
      </c>
      <c r="C502" s="480"/>
      <c r="D502" s="480"/>
      <c r="E502" s="481"/>
      <c r="F502" s="480"/>
      <c r="G502" s="480"/>
      <c r="H502" s="607" t="str">
        <f t="shared" si="146"/>
        <v/>
      </c>
      <c r="I502" s="607" t="str">
        <f t="shared" si="147"/>
        <v/>
      </c>
      <c r="J502" s="607" t="str">
        <f t="shared" si="148"/>
        <v/>
      </c>
      <c r="K502" s="208" t="str">
        <f t="shared" si="149"/>
        <v/>
      </c>
      <c r="L502" s="208" t="str">
        <f t="shared" si="150"/>
        <v/>
      </c>
      <c r="M502" s="208" t="str">
        <f t="shared" si="162"/>
        <v/>
      </c>
      <c r="N502" s="608" t="str">
        <f>IF($D$3="", "", IFERROR(VLOOKUP(L502,'PIPE INCENTIVE'!$B$4:$E$19,2,FALSE),""))</f>
        <v/>
      </c>
      <c r="O502" s="608" t="str">
        <f t="shared" si="163"/>
        <v/>
      </c>
      <c r="P502" s="208" t="str">
        <f t="shared" si="164"/>
        <v/>
      </c>
      <c r="Q502" s="208" t="str">
        <f t="shared" si="151"/>
        <v/>
      </c>
      <c r="R502" s="609" t="str">
        <f t="shared" si="152"/>
        <v/>
      </c>
      <c r="S502" s="609" t="str">
        <f t="shared" si="153"/>
        <v/>
      </c>
      <c r="T502" s="609" t="str">
        <f t="shared" si="154"/>
        <v/>
      </c>
      <c r="U502" s="609" t="str" cm="1">
        <f t="array" ref="U502">IFERROR(IF($D$3="","",_xlfn.LET(_xlpm.Mixed,AND(COUNTIF($G$34:$G$533,"Heating_Hot_Water")&gt;0,(COUNTIF($G$34:$G$533,"Steam_Low_Pressure") + COUNTIF($G$34:$G$533,"Steam_Medium_Pressure") + COUNTIF($G$34:$G$533,"Steam_High_Pressure"))&gt;0),_xlpm.fluid, G502,_xlpm.fuel, K502,_xlpm.load,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2" s="609" t="str">
        <f t="shared" si="165"/>
        <v/>
      </c>
      <c r="W502" s="482"/>
      <c r="X502" s="397" t="str" cm="1">
        <f t="array" ref="X502">IFERROR(IF($D$3="","", _xlfn.XLOOKUP(1,($AR$36:$AR$53=F502)*($AS$36:$AS$53=G502), INDEX($AT$36:$BJ$53,,_xlfn.XMATCH(E502,$AT$35:$BJ$35)))),"")</f>
        <v/>
      </c>
      <c r="Y502" s="480"/>
      <c r="Z502" s="482"/>
      <c r="AA502" s="607" t="str" cm="1">
        <f t="array" ref="AA502">IFERROR(IF($D$3="", "", _xlfn.LET(_xlpm.dia, E502, _xlpm.thk, Z502, _xlpm.temp, I502,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2" s="397" t="str" cm="1">
        <f t="array" ref="AB502">IFERROR(IF($D$3="", "", _xlfn.XLOOKUP(1,($AR$57:$AR$76=Y502)*($AS$57:$AS$76=Z502), INDEX($AT$57:$BJ$76,,_xlfn.XMATCH(E502,$AT$56:$BJ$56)))),"")</f>
        <v/>
      </c>
      <c r="AC502" s="208" t="str">
        <f t="shared" si="155"/>
        <v/>
      </c>
      <c r="AD502" s="397" t="str">
        <f t="shared" si="156"/>
        <v/>
      </c>
      <c r="AE502" s="610" t="str">
        <f t="shared" si="157"/>
        <v/>
      </c>
      <c r="AF502" s="610" t="str">
        <f t="shared" si="158"/>
        <v/>
      </c>
      <c r="AG502" s="610" t="str">
        <f t="shared" si="159"/>
        <v/>
      </c>
      <c r="AH502" s="608" t="str">
        <f t="shared" si="160"/>
        <v/>
      </c>
      <c r="AI502" s="610" t="str">
        <f t="shared" si="161"/>
        <v/>
      </c>
    </row>
    <row r="503" spans="2:35" x14ac:dyDescent="0.25">
      <c r="B503" s="209">
        <v>470</v>
      </c>
      <c r="C503" s="480"/>
      <c r="D503" s="480"/>
      <c r="E503" s="481"/>
      <c r="F503" s="480"/>
      <c r="G503" s="480"/>
      <c r="H503" s="607" t="str">
        <f t="shared" si="146"/>
        <v/>
      </c>
      <c r="I503" s="607" t="str">
        <f t="shared" si="147"/>
        <v/>
      </c>
      <c r="J503" s="607" t="str">
        <f t="shared" si="148"/>
        <v/>
      </c>
      <c r="K503" s="208" t="str">
        <f t="shared" si="149"/>
        <v/>
      </c>
      <c r="L503" s="208" t="str">
        <f t="shared" si="150"/>
        <v/>
      </c>
      <c r="M503" s="208" t="str">
        <f t="shared" si="162"/>
        <v/>
      </c>
      <c r="N503" s="608" t="str">
        <f>IF($D$3="", "", IFERROR(VLOOKUP(L503,'PIPE INCENTIVE'!$B$4:$E$19,2,FALSE),""))</f>
        <v/>
      </c>
      <c r="O503" s="608" t="str">
        <f t="shared" si="163"/>
        <v/>
      </c>
      <c r="P503" s="208" t="str">
        <f t="shared" si="164"/>
        <v/>
      </c>
      <c r="Q503" s="208" t="str">
        <f t="shared" si="151"/>
        <v/>
      </c>
      <c r="R503" s="609" t="str">
        <f t="shared" si="152"/>
        <v/>
      </c>
      <c r="S503" s="609" t="str">
        <f t="shared" si="153"/>
        <v/>
      </c>
      <c r="T503" s="609" t="str">
        <f t="shared" si="154"/>
        <v/>
      </c>
      <c r="U503" s="609" t="str" cm="1">
        <f t="array" ref="U503">IFERROR(IF($D$3="","",_xlfn.LET(_xlpm.Mixed,AND(COUNTIF($G$34:$G$533,"Heating_Hot_Water")&gt;0,(COUNTIF($G$34:$G$533,"Steam_Low_Pressure") + COUNTIF($G$34:$G$533,"Steam_Medium_Pressure") + COUNTIF($G$34:$G$533,"Steam_High_Pressure"))&gt;0),_xlpm.fluid, G503,_xlpm.fuel, K503,_xlpm.load,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3" s="609" t="str">
        <f t="shared" si="165"/>
        <v/>
      </c>
      <c r="W503" s="482"/>
      <c r="X503" s="397" t="str" cm="1">
        <f t="array" ref="X503">IFERROR(IF($D$3="","", _xlfn.XLOOKUP(1,($AR$36:$AR$53=F503)*($AS$36:$AS$53=G503), INDEX($AT$36:$BJ$53,,_xlfn.XMATCH(E503,$AT$35:$BJ$35)))),"")</f>
        <v/>
      </c>
      <c r="Y503" s="480"/>
      <c r="Z503" s="482"/>
      <c r="AA503" s="607" t="str" cm="1">
        <f t="array" ref="AA503">IFERROR(IF($D$3="", "", _xlfn.LET(_xlpm.dia, E503, _xlpm.thk, Z503, _xlpm.temp, I503,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3" s="397" t="str" cm="1">
        <f t="array" ref="AB503">IFERROR(IF($D$3="", "", _xlfn.XLOOKUP(1,($AR$57:$AR$76=Y503)*($AS$57:$AS$76=Z503), INDEX($AT$57:$BJ$76,,_xlfn.XMATCH(E503,$AT$56:$BJ$56)))),"")</f>
        <v/>
      </c>
      <c r="AC503" s="208" t="str">
        <f t="shared" si="155"/>
        <v/>
      </c>
      <c r="AD503" s="397" t="str">
        <f t="shared" si="156"/>
        <v/>
      </c>
      <c r="AE503" s="610" t="str">
        <f t="shared" si="157"/>
        <v/>
      </c>
      <c r="AF503" s="610" t="str">
        <f t="shared" si="158"/>
        <v/>
      </c>
      <c r="AG503" s="610" t="str">
        <f t="shared" si="159"/>
        <v/>
      </c>
      <c r="AH503" s="608" t="str">
        <f t="shared" si="160"/>
        <v/>
      </c>
      <c r="AI503" s="610" t="str">
        <f t="shared" si="161"/>
        <v/>
      </c>
    </row>
    <row r="504" spans="2:35" x14ac:dyDescent="0.25">
      <c r="B504" s="209">
        <v>471</v>
      </c>
      <c r="C504" s="480"/>
      <c r="D504" s="480"/>
      <c r="E504" s="481"/>
      <c r="F504" s="480"/>
      <c r="G504" s="480"/>
      <c r="H504" s="607" t="str">
        <f t="shared" si="146"/>
        <v/>
      </c>
      <c r="I504" s="607" t="str">
        <f t="shared" si="147"/>
        <v/>
      </c>
      <c r="J504" s="607" t="str">
        <f t="shared" si="148"/>
        <v/>
      </c>
      <c r="K504" s="208" t="str">
        <f t="shared" si="149"/>
        <v/>
      </c>
      <c r="L504" s="208" t="str">
        <f t="shared" si="150"/>
        <v/>
      </c>
      <c r="M504" s="208" t="str">
        <f t="shared" si="162"/>
        <v/>
      </c>
      <c r="N504" s="608" t="str">
        <f>IF($D$3="", "", IFERROR(VLOOKUP(L504,'PIPE INCENTIVE'!$B$4:$E$19,2,FALSE),""))</f>
        <v/>
      </c>
      <c r="O504" s="608" t="str">
        <f t="shared" si="163"/>
        <v/>
      </c>
      <c r="P504" s="208" t="str">
        <f t="shared" si="164"/>
        <v/>
      </c>
      <c r="Q504" s="208" t="str">
        <f t="shared" si="151"/>
        <v/>
      </c>
      <c r="R504" s="609" t="str">
        <f t="shared" si="152"/>
        <v/>
      </c>
      <c r="S504" s="609" t="str">
        <f t="shared" si="153"/>
        <v/>
      </c>
      <c r="T504" s="609" t="str">
        <f t="shared" si="154"/>
        <v/>
      </c>
      <c r="U504" s="609" t="str" cm="1">
        <f t="array" ref="U504">IFERROR(IF($D$3="","",_xlfn.LET(_xlpm.Mixed,AND(COUNTIF($G$34:$G$533,"Heating_Hot_Water")&gt;0,(COUNTIF($G$34:$G$533,"Steam_Low_Pressure") + COUNTIF($G$34:$G$533,"Steam_Medium_Pressure") + COUNTIF($G$34:$G$533,"Steam_High_Pressure"))&gt;0),_xlpm.fluid, G504,_xlpm.fuel, K504,_xlpm.load,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4" s="609" t="str">
        <f t="shared" si="165"/>
        <v/>
      </c>
      <c r="W504" s="482"/>
      <c r="X504" s="397" t="str" cm="1">
        <f t="array" ref="X504">IFERROR(IF($D$3="","", _xlfn.XLOOKUP(1,($AR$36:$AR$53=F504)*($AS$36:$AS$53=G504), INDEX($AT$36:$BJ$53,,_xlfn.XMATCH(E504,$AT$35:$BJ$35)))),"")</f>
        <v/>
      </c>
      <c r="Y504" s="480"/>
      <c r="Z504" s="482"/>
      <c r="AA504" s="607" t="str" cm="1">
        <f t="array" ref="AA504">IFERROR(IF($D$3="", "", _xlfn.LET(_xlpm.dia, E504, _xlpm.thk, Z504, _xlpm.temp, I504,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4" s="397" t="str" cm="1">
        <f t="array" ref="AB504">IFERROR(IF($D$3="", "", _xlfn.XLOOKUP(1,($AR$57:$AR$76=Y504)*($AS$57:$AS$76=Z504), INDEX($AT$57:$BJ$76,,_xlfn.XMATCH(E504,$AT$56:$BJ$56)))),"")</f>
        <v/>
      </c>
      <c r="AC504" s="208" t="str">
        <f t="shared" si="155"/>
        <v/>
      </c>
      <c r="AD504" s="397" t="str">
        <f t="shared" si="156"/>
        <v/>
      </c>
      <c r="AE504" s="610" t="str">
        <f t="shared" si="157"/>
        <v/>
      </c>
      <c r="AF504" s="610" t="str">
        <f t="shared" si="158"/>
        <v/>
      </c>
      <c r="AG504" s="610" t="str">
        <f t="shared" si="159"/>
        <v/>
      </c>
      <c r="AH504" s="608" t="str">
        <f t="shared" si="160"/>
        <v/>
      </c>
      <c r="AI504" s="610" t="str">
        <f t="shared" si="161"/>
        <v/>
      </c>
    </row>
    <row r="505" spans="2:35" x14ac:dyDescent="0.25">
      <c r="B505" s="209">
        <v>472</v>
      </c>
      <c r="C505" s="480"/>
      <c r="D505" s="480"/>
      <c r="E505" s="481"/>
      <c r="F505" s="480"/>
      <c r="G505" s="480"/>
      <c r="H505" s="607" t="str">
        <f t="shared" si="146"/>
        <v/>
      </c>
      <c r="I505" s="607" t="str">
        <f t="shared" si="147"/>
        <v/>
      </c>
      <c r="J505" s="607" t="str">
        <f t="shared" si="148"/>
        <v/>
      </c>
      <c r="K505" s="208" t="str">
        <f t="shared" si="149"/>
        <v/>
      </c>
      <c r="L505" s="208" t="str">
        <f t="shared" si="150"/>
        <v/>
      </c>
      <c r="M505" s="208" t="str">
        <f t="shared" si="162"/>
        <v/>
      </c>
      <c r="N505" s="608" t="str">
        <f>IF($D$3="", "", IFERROR(VLOOKUP(L505,'PIPE INCENTIVE'!$B$4:$E$19,2,FALSE),""))</f>
        <v/>
      </c>
      <c r="O505" s="608" t="str">
        <f t="shared" si="163"/>
        <v/>
      </c>
      <c r="P505" s="208" t="str">
        <f t="shared" si="164"/>
        <v/>
      </c>
      <c r="Q505" s="208" t="str">
        <f t="shared" si="151"/>
        <v/>
      </c>
      <c r="R505" s="609" t="str">
        <f t="shared" si="152"/>
        <v/>
      </c>
      <c r="S505" s="609" t="str">
        <f t="shared" si="153"/>
        <v/>
      </c>
      <c r="T505" s="609" t="str">
        <f t="shared" si="154"/>
        <v/>
      </c>
      <c r="U505" s="609" t="str" cm="1">
        <f t="array" ref="U505">IFERROR(IF($D$3="","",_xlfn.LET(_xlpm.Mixed,AND(COUNTIF($G$34:$G$533,"Heating_Hot_Water")&gt;0,(COUNTIF($G$34:$G$533,"Steam_Low_Pressure") + COUNTIF($G$34:$G$533,"Steam_Medium_Pressure") + COUNTIF($G$34:$G$533,"Steam_High_Pressure"))&gt;0),_xlpm.fluid, G505,_xlpm.fuel, K505,_xlpm.load,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5" s="609" t="str">
        <f t="shared" si="165"/>
        <v/>
      </c>
      <c r="W505" s="482"/>
      <c r="X505" s="397" t="str" cm="1">
        <f t="array" ref="X505">IFERROR(IF($D$3="","", _xlfn.XLOOKUP(1,($AR$36:$AR$53=F505)*($AS$36:$AS$53=G505), INDEX($AT$36:$BJ$53,,_xlfn.XMATCH(E505,$AT$35:$BJ$35)))),"")</f>
        <v/>
      </c>
      <c r="Y505" s="480"/>
      <c r="Z505" s="482"/>
      <c r="AA505" s="607" t="str" cm="1">
        <f t="array" ref="AA505">IFERROR(IF($D$3="", "", _xlfn.LET(_xlpm.dia, E505, _xlpm.thk, Z505, _xlpm.temp, I505,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5" s="397" t="str" cm="1">
        <f t="array" ref="AB505">IFERROR(IF($D$3="", "", _xlfn.XLOOKUP(1,($AR$57:$AR$76=Y505)*($AS$57:$AS$76=Z505), INDEX($AT$57:$BJ$76,,_xlfn.XMATCH(E505,$AT$56:$BJ$56)))),"")</f>
        <v/>
      </c>
      <c r="AC505" s="208" t="str">
        <f t="shared" si="155"/>
        <v/>
      </c>
      <c r="AD505" s="397" t="str">
        <f t="shared" si="156"/>
        <v/>
      </c>
      <c r="AE505" s="610" t="str">
        <f t="shared" si="157"/>
        <v/>
      </c>
      <c r="AF505" s="610" t="str">
        <f t="shared" si="158"/>
        <v/>
      </c>
      <c r="AG505" s="610" t="str">
        <f t="shared" si="159"/>
        <v/>
      </c>
      <c r="AH505" s="608" t="str">
        <f t="shared" si="160"/>
        <v/>
      </c>
      <c r="AI505" s="610" t="str">
        <f t="shared" si="161"/>
        <v/>
      </c>
    </row>
    <row r="506" spans="2:35" x14ac:dyDescent="0.25">
      <c r="B506" s="209">
        <v>473</v>
      </c>
      <c r="C506" s="480"/>
      <c r="D506" s="480"/>
      <c r="E506" s="481"/>
      <c r="F506" s="480"/>
      <c r="G506" s="480"/>
      <c r="H506" s="607" t="str">
        <f t="shared" si="146"/>
        <v/>
      </c>
      <c r="I506" s="607" t="str">
        <f t="shared" si="147"/>
        <v/>
      </c>
      <c r="J506" s="607" t="str">
        <f t="shared" si="148"/>
        <v/>
      </c>
      <c r="K506" s="208" t="str">
        <f t="shared" si="149"/>
        <v/>
      </c>
      <c r="L506" s="208" t="str">
        <f t="shared" si="150"/>
        <v/>
      </c>
      <c r="M506" s="208" t="str">
        <f t="shared" si="162"/>
        <v/>
      </c>
      <c r="N506" s="608" t="str">
        <f>IF($D$3="", "", IFERROR(VLOOKUP(L506,'PIPE INCENTIVE'!$B$4:$E$19,2,FALSE),""))</f>
        <v/>
      </c>
      <c r="O506" s="608" t="str">
        <f t="shared" si="163"/>
        <v/>
      </c>
      <c r="P506" s="208" t="str">
        <f t="shared" si="164"/>
        <v/>
      </c>
      <c r="Q506" s="208" t="str">
        <f t="shared" si="151"/>
        <v/>
      </c>
      <c r="R506" s="609" t="str">
        <f t="shared" si="152"/>
        <v/>
      </c>
      <c r="S506" s="609" t="str">
        <f t="shared" si="153"/>
        <v/>
      </c>
      <c r="T506" s="609" t="str">
        <f t="shared" si="154"/>
        <v/>
      </c>
      <c r="U506" s="609" t="str" cm="1">
        <f t="array" ref="U506">IFERROR(IF($D$3="","",_xlfn.LET(_xlpm.Mixed,AND(COUNTIF($G$34:$G$533,"Heating_Hot_Water")&gt;0,(COUNTIF($G$34:$G$533,"Steam_Low_Pressure") + COUNTIF($G$34:$G$533,"Steam_Medium_Pressure") + COUNTIF($G$34:$G$533,"Steam_High_Pressure"))&gt;0),_xlpm.fluid, G506,_xlpm.fuel, K506,_xlpm.load,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6" s="609" t="str">
        <f t="shared" si="165"/>
        <v/>
      </c>
      <c r="W506" s="482"/>
      <c r="X506" s="397" t="str" cm="1">
        <f t="array" ref="X506">IFERROR(IF($D$3="","", _xlfn.XLOOKUP(1,($AR$36:$AR$53=F506)*($AS$36:$AS$53=G506), INDEX($AT$36:$BJ$53,,_xlfn.XMATCH(E506,$AT$35:$BJ$35)))),"")</f>
        <v/>
      </c>
      <c r="Y506" s="480"/>
      <c r="Z506" s="482"/>
      <c r="AA506" s="607" t="str" cm="1">
        <f t="array" ref="AA506">IFERROR(IF($D$3="", "", _xlfn.LET(_xlpm.dia, E506, _xlpm.thk, Z506, _xlpm.temp, I506,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6" s="397" t="str" cm="1">
        <f t="array" ref="AB506">IFERROR(IF($D$3="", "", _xlfn.XLOOKUP(1,($AR$57:$AR$76=Y506)*($AS$57:$AS$76=Z506), INDEX($AT$57:$BJ$76,,_xlfn.XMATCH(E506,$AT$56:$BJ$56)))),"")</f>
        <v/>
      </c>
      <c r="AC506" s="208" t="str">
        <f t="shared" si="155"/>
        <v/>
      </c>
      <c r="AD506" s="397" t="str">
        <f t="shared" si="156"/>
        <v/>
      </c>
      <c r="AE506" s="610" t="str">
        <f t="shared" si="157"/>
        <v/>
      </c>
      <c r="AF506" s="610" t="str">
        <f t="shared" si="158"/>
        <v/>
      </c>
      <c r="AG506" s="610" t="str">
        <f t="shared" si="159"/>
        <v/>
      </c>
      <c r="AH506" s="608" t="str">
        <f t="shared" si="160"/>
        <v/>
      </c>
      <c r="AI506" s="610" t="str">
        <f t="shared" si="161"/>
        <v/>
      </c>
    </row>
    <row r="507" spans="2:35" x14ac:dyDescent="0.25">
      <c r="B507" s="209">
        <v>474</v>
      </c>
      <c r="C507" s="480"/>
      <c r="D507" s="480"/>
      <c r="E507" s="481"/>
      <c r="F507" s="480"/>
      <c r="G507" s="480"/>
      <c r="H507" s="607" t="str">
        <f t="shared" si="146"/>
        <v/>
      </c>
      <c r="I507" s="607" t="str">
        <f t="shared" si="147"/>
        <v/>
      </c>
      <c r="J507" s="607" t="str">
        <f t="shared" si="148"/>
        <v/>
      </c>
      <c r="K507" s="208" t="str">
        <f t="shared" si="149"/>
        <v/>
      </c>
      <c r="L507" s="208" t="str">
        <f t="shared" si="150"/>
        <v/>
      </c>
      <c r="M507" s="208" t="str">
        <f t="shared" si="162"/>
        <v/>
      </c>
      <c r="N507" s="608" t="str">
        <f>IF($D$3="", "", IFERROR(VLOOKUP(L507,'PIPE INCENTIVE'!$B$4:$E$19,2,FALSE),""))</f>
        <v/>
      </c>
      <c r="O507" s="608" t="str">
        <f t="shared" si="163"/>
        <v/>
      </c>
      <c r="P507" s="208" t="str">
        <f t="shared" si="164"/>
        <v/>
      </c>
      <c r="Q507" s="208" t="str">
        <f t="shared" si="151"/>
        <v/>
      </c>
      <c r="R507" s="609" t="str">
        <f t="shared" si="152"/>
        <v/>
      </c>
      <c r="S507" s="609" t="str">
        <f t="shared" si="153"/>
        <v/>
      </c>
      <c r="T507" s="609" t="str">
        <f t="shared" si="154"/>
        <v/>
      </c>
      <c r="U507" s="609" t="str" cm="1">
        <f t="array" ref="U507">IFERROR(IF($D$3="","",_xlfn.LET(_xlpm.Mixed,AND(COUNTIF($G$34:$G$533,"Heating_Hot_Water")&gt;0,(COUNTIF($G$34:$G$533,"Steam_Low_Pressure") + COUNTIF($G$34:$G$533,"Steam_Medium_Pressure") + COUNTIF($G$34:$G$533,"Steam_High_Pressure"))&gt;0),_xlpm.fluid, G507,_xlpm.fuel, K507,_xlpm.load,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7" s="609" t="str">
        <f t="shared" si="165"/>
        <v/>
      </c>
      <c r="W507" s="482"/>
      <c r="X507" s="397" t="str" cm="1">
        <f t="array" ref="X507">IFERROR(IF($D$3="","", _xlfn.XLOOKUP(1,($AR$36:$AR$53=F507)*($AS$36:$AS$53=G507), INDEX($AT$36:$BJ$53,,_xlfn.XMATCH(E507,$AT$35:$BJ$35)))),"")</f>
        <v/>
      </c>
      <c r="Y507" s="480"/>
      <c r="Z507" s="482"/>
      <c r="AA507" s="607" t="str" cm="1">
        <f t="array" ref="AA507">IFERROR(IF($D$3="", "", _xlfn.LET(_xlpm.dia, E507, _xlpm.thk, Z507, _xlpm.temp, I507,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7" s="397" t="str" cm="1">
        <f t="array" ref="AB507">IFERROR(IF($D$3="", "", _xlfn.XLOOKUP(1,($AR$57:$AR$76=Y507)*($AS$57:$AS$76=Z507), INDEX($AT$57:$BJ$76,,_xlfn.XMATCH(E507,$AT$56:$BJ$56)))),"")</f>
        <v/>
      </c>
      <c r="AC507" s="208" t="str">
        <f t="shared" si="155"/>
        <v/>
      </c>
      <c r="AD507" s="397" t="str">
        <f t="shared" si="156"/>
        <v/>
      </c>
      <c r="AE507" s="610" t="str">
        <f t="shared" si="157"/>
        <v/>
      </c>
      <c r="AF507" s="610" t="str">
        <f t="shared" si="158"/>
        <v/>
      </c>
      <c r="AG507" s="610" t="str">
        <f t="shared" si="159"/>
        <v/>
      </c>
      <c r="AH507" s="608" t="str">
        <f t="shared" si="160"/>
        <v/>
      </c>
      <c r="AI507" s="610" t="str">
        <f t="shared" si="161"/>
        <v/>
      </c>
    </row>
    <row r="508" spans="2:35" x14ac:dyDescent="0.25">
      <c r="B508" s="209">
        <v>475</v>
      </c>
      <c r="C508" s="480"/>
      <c r="D508" s="480"/>
      <c r="E508" s="481"/>
      <c r="F508" s="480"/>
      <c r="G508" s="480"/>
      <c r="H508" s="607" t="str">
        <f t="shared" si="146"/>
        <v/>
      </c>
      <c r="I508" s="607" t="str">
        <f t="shared" si="147"/>
        <v/>
      </c>
      <c r="J508" s="607" t="str">
        <f t="shared" si="148"/>
        <v/>
      </c>
      <c r="K508" s="208" t="str">
        <f t="shared" si="149"/>
        <v/>
      </c>
      <c r="L508" s="208" t="str">
        <f t="shared" si="150"/>
        <v/>
      </c>
      <c r="M508" s="208" t="str">
        <f t="shared" si="162"/>
        <v/>
      </c>
      <c r="N508" s="608" t="str">
        <f>IF($D$3="", "", IFERROR(VLOOKUP(L508,'PIPE INCENTIVE'!$B$4:$E$19,2,FALSE),""))</f>
        <v/>
      </c>
      <c r="O508" s="608" t="str">
        <f t="shared" si="163"/>
        <v/>
      </c>
      <c r="P508" s="208" t="str">
        <f t="shared" si="164"/>
        <v/>
      </c>
      <c r="Q508" s="208" t="str">
        <f t="shared" si="151"/>
        <v/>
      </c>
      <c r="R508" s="609" t="str">
        <f t="shared" si="152"/>
        <v/>
      </c>
      <c r="S508" s="609" t="str">
        <f t="shared" si="153"/>
        <v/>
      </c>
      <c r="T508" s="609" t="str">
        <f t="shared" si="154"/>
        <v/>
      </c>
      <c r="U508" s="609" t="str" cm="1">
        <f t="array" ref="U508">IFERROR(IF($D$3="","",_xlfn.LET(_xlpm.Mixed,AND(COUNTIF($G$34:$G$533,"Heating_Hot_Water")&gt;0,(COUNTIF($G$34:$G$533,"Steam_Low_Pressure") + COUNTIF($G$34:$G$533,"Steam_Medium_Pressure") + COUNTIF($G$34:$G$533,"Steam_High_Pressure"))&gt;0),_xlpm.fluid, G508,_xlpm.fuel, K508,_xlpm.load,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8" s="609" t="str">
        <f t="shared" si="165"/>
        <v/>
      </c>
      <c r="W508" s="482"/>
      <c r="X508" s="397" t="str" cm="1">
        <f t="array" ref="X508">IFERROR(IF($D$3="","", _xlfn.XLOOKUP(1,($AR$36:$AR$53=F508)*($AS$36:$AS$53=G508), INDEX($AT$36:$BJ$53,,_xlfn.XMATCH(E508,$AT$35:$BJ$35)))),"")</f>
        <v/>
      </c>
      <c r="Y508" s="480"/>
      <c r="Z508" s="482"/>
      <c r="AA508" s="607" t="str" cm="1">
        <f t="array" ref="AA508">IFERROR(IF($D$3="", "", _xlfn.LET(_xlpm.dia, E508, _xlpm.thk, Z508, _xlpm.temp, I508,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8" s="397" t="str" cm="1">
        <f t="array" ref="AB508">IFERROR(IF($D$3="", "", _xlfn.XLOOKUP(1,($AR$57:$AR$76=Y508)*($AS$57:$AS$76=Z508), INDEX($AT$57:$BJ$76,,_xlfn.XMATCH(E508,$AT$56:$BJ$56)))),"")</f>
        <v/>
      </c>
      <c r="AC508" s="208" t="str">
        <f t="shared" si="155"/>
        <v/>
      </c>
      <c r="AD508" s="397" t="str">
        <f t="shared" si="156"/>
        <v/>
      </c>
      <c r="AE508" s="610" t="str">
        <f t="shared" si="157"/>
        <v/>
      </c>
      <c r="AF508" s="610" t="str">
        <f t="shared" si="158"/>
        <v/>
      </c>
      <c r="AG508" s="610" t="str">
        <f t="shared" si="159"/>
        <v/>
      </c>
      <c r="AH508" s="608" t="str">
        <f t="shared" si="160"/>
        <v/>
      </c>
      <c r="AI508" s="610" t="str">
        <f t="shared" si="161"/>
        <v/>
      </c>
    </row>
    <row r="509" spans="2:35" x14ac:dyDescent="0.25">
      <c r="B509" s="209">
        <v>476</v>
      </c>
      <c r="C509" s="480"/>
      <c r="D509" s="480"/>
      <c r="E509" s="481"/>
      <c r="F509" s="480"/>
      <c r="G509" s="480"/>
      <c r="H509" s="607" t="str">
        <f t="shared" si="146"/>
        <v/>
      </c>
      <c r="I509" s="607" t="str">
        <f t="shared" si="147"/>
        <v/>
      </c>
      <c r="J509" s="607" t="str">
        <f t="shared" si="148"/>
        <v/>
      </c>
      <c r="K509" s="208" t="str">
        <f t="shared" si="149"/>
        <v/>
      </c>
      <c r="L509" s="208" t="str">
        <f t="shared" si="150"/>
        <v/>
      </c>
      <c r="M509" s="208" t="str">
        <f t="shared" si="162"/>
        <v/>
      </c>
      <c r="N509" s="608" t="str">
        <f>IF($D$3="", "", IFERROR(VLOOKUP(L509,'PIPE INCENTIVE'!$B$4:$E$19,2,FALSE),""))</f>
        <v/>
      </c>
      <c r="O509" s="608" t="str">
        <f t="shared" si="163"/>
        <v/>
      </c>
      <c r="P509" s="208" t="str">
        <f t="shared" si="164"/>
        <v/>
      </c>
      <c r="Q509" s="208" t="str">
        <f t="shared" si="151"/>
        <v/>
      </c>
      <c r="R509" s="609" t="str">
        <f t="shared" si="152"/>
        <v/>
      </c>
      <c r="S509" s="609" t="str">
        <f t="shared" si="153"/>
        <v/>
      </c>
      <c r="T509" s="609" t="str">
        <f t="shared" si="154"/>
        <v/>
      </c>
      <c r="U509" s="609" t="str" cm="1">
        <f t="array" ref="U509">IFERROR(IF($D$3="","",_xlfn.LET(_xlpm.Mixed,AND(COUNTIF($G$34:$G$533,"Heating_Hot_Water")&gt;0,(COUNTIF($G$34:$G$533,"Steam_Low_Pressure") + COUNTIF($G$34:$G$533,"Steam_Medium_Pressure") + COUNTIF($G$34:$G$533,"Steam_High_Pressure"))&gt;0),_xlpm.fluid, G509,_xlpm.fuel, K509,_xlpm.load,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09" s="609" t="str">
        <f t="shared" si="165"/>
        <v/>
      </c>
      <c r="W509" s="482"/>
      <c r="X509" s="397" t="str" cm="1">
        <f t="array" ref="X509">IFERROR(IF($D$3="","", _xlfn.XLOOKUP(1,($AR$36:$AR$53=F509)*($AS$36:$AS$53=G509), INDEX($AT$36:$BJ$53,,_xlfn.XMATCH(E509,$AT$35:$BJ$35)))),"")</f>
        <v/>
      </c>
      <c r="Y509" s="480"/>
      <c r="Z509" s="482"/>
      <c r="AA509" s="607" t="str" cm="1">
        <f t="array" ref="AA509">IFERROR(IF($D$3="", "", _xlfn.LET(_xlpm.dia, E509, _xlpm.thk, Z509, _xlpm.temp, I509,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09" s="397" t="str" cm="1">
        <f t="array" ref="AB509">IFERROR(IF($D$3="", "", _xlfn.XLOOKUP(1,($AR$57:$AR$76=Y509)*($AS$57:$AS$76=Z509), INDEX($AT$57:$BJ$76,,_xlfn.XMATCH(E509,$AT$56:$BJ$56)))),"")</f>
        <v/>
      </c>
      <c r="AC509" s="208" t="str">
        <f t="shared" si="155"/>
        <v/>
      </c>
      <c r="AD509" s="397" t="str">
        <f t="shared" si="156"/>
        <v/>
      </c>
      <c r="AE509" s="610" t="str">
        <f t="shared" si="157"/>
        <v/>
      </c>
      <c r="AF509" s="610" t="str">
        <f t="shared" si="158"/>
        <v/>
      </c>
      <c r="AG509" s="610" t="str">
        <f t="shared" si="159"/>
        <v/>
      </c>
      <c r="AH509" s="608" t="str">
        <f t="shared" si="160"/>
        <v/>
      </c>
      <c r="AI509" s="610" t="str">
        <f t="shared" si="161"/>
        <v/>
      </c>
    </row>
    <row r="510" spans="2:35" x14ac:dyDescent="0.25">
      <c r="B510" s="209">
        <v>477</v>
      </c>
      <c r="C510" s="480"/>
      <c r="D510" s="480"/>
      <c r="E510" s="481"/>
      <c r="F510" s="480"/>
      <c r="G510" s="480"/>
      <c r="H510" s="607" t="str">
        <f t="shared" si="146"/>
        <v/>
      </c>
      <c r="I510" s="607" t="str">
        <f t="shared" si="147"/>
        <v/>
      </c>
      <c r="J510" s="607" t="str">
        <f t="shared" si="148"/>
        <v/>
      </c>
      <c r="K510" s="208" t="str">
        <f t="shared" si="149"/>
        <v/>
      </c>
      <c r="L510" s="208" t="str">
        <f t="shared" si="150"/>
        <v/>
      </c>
      <c r="M510" s="208" t="str">
        <f t="shared" si="162"/>
        <v/>
      </c>
      <c r="N510" s="608" t="str">
        <f>IF($D$3="", "", IFERROR(VLOOKUP(L510,'PIPE INCENTIVE'!$B$4:$E$19,2,FALSE),""))</f>
        <v/>
      </c>
      <c r="O510" s="608" t="str">
        <f t="shared" si="163"/>
        <v/>
      </c>
      <c r="P510" s="208" t="str">
        <f t="shared" si="164"/>
        <v/>
      </c>
      <c r="Q510" s="208" t="str">
        <f t="shared" si="151"/>
        <v/>
      </c>
      <c r="R510" s="609" t="str">
        <f t="shared" si="152"/>
        <v/>
      </c>
      <c r="S510" s="609" t="str">
        <f t="shared" si="153"/>
        <v/>
      </c>
      <c r="T510" s="609" t="str">
        <f t="shared" si="154"/>
        <v/>
      </c>
      <c r="U510" s="609" t="str" cm="1">
        <f t="array" ref="U510">IFERROR(IF($D$3="","",_xlfn.LET(_xlpm.Mixed,AND(COUNTIF($G$34:$G$533,"Heating_Hot_Water")&gt;0,(COUNTIF($G$34:$G$533,"Steam_Low_Pressure") + COUNTIF($G$34:$G$533,"Steam_Medium_Pressure") + COUNTIF($G$34:$G$533,"Steam_High_Pressure"))&gt;0),_xlpm.fluid, G510,_xlpm.fuel, K510,_xlpm.load,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0" s="609" t="str">
        <f t="shared" si="165"/>
        <v/>
      </c>
      <c r="W510" s="482"/>
      <c r="X510" s="397" t="str" cm="1">
        <f t="array" ref="X510">IFERROR(IF($D$3="","", _xlfn.XLOOKUP(1,($AR$36:$AR$53=F510)*($AS$36:$AS$53=G510), INDEX($AT$36:$BJ$53,,_xlfn.XMATCH(E510,$AT$35:$BJ$35)))),"")</f>
        <v/>
      </c>
      <c r="Y510" s="480"/>
      <c r="Z510" s="482"/>
      <c r="AA510" s="607" t="str" cm="1">
        <f t="array" ref="AA510">IFERROR(IF($D$3="", "", _xlfn.LET(_xlpm.dia, E510, _xlpm.thk, Z510, _xlpm.temp, I510,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0" s="397" t="str" cm="1">
        <f t="array" ref="AB510">IFERROR(IF($D$3="", "", _xlfn.XLOOKUP(1,($AR$57:$AR$76=Y510)*($AS$57:$AS$76=Z510), INDEX($AT$57:$BJ$76,,_xlfn.XMATCH(E510,$AT$56:$BJ$56)))),"")</f>
        <v/>
      </c>
      <c r="AC510" s="208" t="str">
        <f t="shared" si="155"/>
        <v/>
      </c>
      <c r="AD510" s="397" t="str">
        <f t="shared" si="156"/>
        <v/>
      </c>
      <c r="AE510" s="610" t="str">
        <f t="shared" si="157"/>
        <v/>
      </c>
      <c r="AF510" s="610" t="str">
        <f t="shared" si="158"/>
        <v/>
      </c>
      <c r="AG510" s="610" t="str">
        <f t="shared" si="159"/>
        <v/>
      </c>
      <c r="AH510" s="608" t="str">
        <f t="shared" si="160"/>
        <v/>
      </c>
      <c r="AI510" s="610" t="str">
        <f t="shared" si="161"/>
        <v/>
      </c>
    </row>
    <row r="511" spans="2:35" x14ac:dyDescent="0.25">
      <c r="B511" s="209">
        <v>478</v>
      </c>
      <c r="C511" s="480"/>
      <c r="D511" s="480"/>
      <c r="E511" s="481"/>
      <c r="F511" s="480"/>
      <c r="G511" s="480"/>
      <c r="H511" s="607" t="str">
        <f t="shared" si="146"/>
        <v/>
      </c>
      <c r="I511" s="607" t="str">
        <f t="shared" si="147"/>
        <v/>
      </c>
      <c r="J511" s="607" t="str">
        <f t="shared" si="148"/>
        <v/>
      </c>
      <c r="K511" s="208" t="str">
        <f t="shared" si="149"/>
        <v/>
      </c>
      <c r="L511" s="208" t="str">
        <f t="shared" si="150"/>
        <v/>
      </c>
      <c r="M511" s="208" t="str">
        <f t="shared" si="162"/>
        <v/>
      </c>
      <c r="N511" s="608" t="str">
        <f>IF($D$3="", "", IFERROR(VLOOKUP(L511,'PIPE INCENTIVE'!$B$4:$E$19,2,FALSE),""))</f>
        <v/>
      </c>
      <c r="O511" s="608" t="str">
        <f t="shared" si="163"/>
        <v/>
      </c>
      <c r="P511" s="208" t="str">
        <f t="shared" si="164"/>
        <v/>
      </c>
      <c r="Q511" s="208" t="str">
        <f t="shared" si="151"/>
        <v/>
      </c>
      <c r="R511" s="609" t="str">
        <f t="shared" si="152"/>
        <v/>
      </c>
      <c r="S511" s="609" t="str">
        <f t="shared" si="153"/>
        <v/>
      </c>
      <c r="T511" s="609" t="str">
        <f t="shared" si="154"/>
        <v/>
      </c>
      <c r="U511" s="609" t="str" cm="1">
        <f t="array" ref="U511">IFERROR(IF($D$3="","",_xlfn.LET(_xlpm.Mixed,AND(COUNTIF($G$34:$G$533,"Heating_Hot_Water")&gt;0,(COUNTIF($G$34:$G$533,"Steam_Low_Pressure") + COUNTIF($G$34:$G$533,"Steam_Medium_Pressure") + COUNTIF($G$34:$G$533,"Steam_High_Pressure"))&gt;0),_xlpm.fluid, G511,_xlpm.fuel, K511,_xlpm.load,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1" s="609" t="str">
        <f t="shared" si="165"/>
        <v/>
      </c>
      <c r="W511" s="482"/>
      <c r="X511" s="397" t="str" cm="1">
        <f t="array" ref="X511">IFERROR(IF($D$3="","", _xlfn.XLOOKUP(1,($AR$36:$AR$53=F511)*($AS$36:$AS$53=G511), INDEX($AT$36:$BJ$53,,_xlfn.XMATCH(E511,$AT$35:$BJ$35)))),"")</f>
        <v/>
      </c>
      <c r="Y511" s="480"/>
      <c r="Z511" s="482"/>
      <c r="AA511" s="607" t="str" cm="1">
        <f t="array" ref="AA511">IFERROR(IF($D$3="", "", _xlfn.LET(_xlpm.dia, E511, _xlpm.thk, Z511, _xlpm.temp, I511,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1" s="397" t="str" cm="1">
        <f t="array" ref="AB511">IFERROR(IF($D$3="", "", _xlfn.XLOOKUP(1,($AR$57:$AR$76=Y511)*($AS$57:$AS$76=Z511), INDEX($AT$57:$BJ$76,,_xlfn.XMATCH(E511,$AT$56:$BJ$56)))),"")</f>
        <v/>
      </c>
      <c r="AC511" s="208" t="str">
        <f t="shared" si="155"/>
        <v/>
      </c>
      <c r="AD511" s="397" t="str">
        <f t="shared" si="156"/>
        <v/>
      </c>
      <c r="AE511" s="610" t="str">
        <f t="shared" si="157"/>
        <v/>
      </c>
      <c r="AF511" s="610" t="str">
        <f t="shared" si="158"/>
        <v/>
      </c>
      <c r="AG511" s="610" t="str">
        <f t="shared" si="159"/>
        <v/>
      </c>
      <c r="AH511" s="608" t="str">
        <f t="shared" si="160"/>
        <v/>
      </c>
      <c r="AI511" s="610" t="str">
        <f t="shared" si="161"/>
        <v/>
      </c>
    </row>
    <row r="512" spans="2:35" x14ac:dyDescent="0.25">
      <c r="B512" s="209">
        <v>479</v>
      </c>
      <c r="C512" s="480"/>
      <c r="D512" s="480"/>
      <c r="E512" s="481"/>
      <c r="F512" s="480"/>
      <c r="G512" s="480"/>
      <c r="H512" s="607" t="str">
        <f t="shared" si="146"/>
        <v/>
      </c>
      <c r="I512" s="607" t="str">
        <f t="shared" si="147"/>
        <v/>
      </c>
      <c r="J512" s="607" t="str">
        <f t="shared" si="148"/>
        <v/>
      </c>
      <c r="K512" s="208" t="str">
        <f t="shared" si="149"/>
        <v/>
      </c>
      <c r="L512" s="208" t="str">
        <f t="shared" si="150"/>
        <v/>
      </c>
      <c r="M512" s="208" t="str">
        <f t="shared" si="162"/>
        <v/>
      </c>
      <c r="N512" s="608" t="str">
        <f>IF($D$3="", "", IFERROR(VLOOKUP(L512,'PIPE INCENTIVE'!$B$4:$E$19,2,FALSE),""))</f>
        <v/>
      </c>
      <c r="O512" s="608" t="str">
        <f t="shared" si="163"/>
        <v/>
      </c>
      <c r="P512" s="208" t="str">
        <f t="shared" si="164"/>
        <v/>
      </c>
      <c r="Q512" s="208" t="str">
        <f t="shared" si="151"/>
        <v/>
      </c>
      <c r="R512" s="609" t="str">
        <f t="shared" si="152"/>
        <v/>
      </c>
      <c r="S512" s="609" t="str">
        <f t="shared" si="153"/>
        <v/>
      </c>
      <c r="T512" s="609" t="str">
        <f t="shared" si="154"/>
        <v/>
      </c>
      <c r="U512" s="609" t="str" cm="1">
        <f t="array" ref="U512">IFERROR(IF($D$3="","",_xlfn.LET(_xlpm.Mixed,AND(COUNTIF($G$34:$G$533,"Heating_Hot_Water")&gt;0,(COUNTIF($G$34:$G$533,"Steam_Low_Pressure") + COUNTIF($G$34:$G$533,"Steam_Medium_Pressure") + COUNTIF($G$34:$G$533,"Steam_High_Pressure"))&gt;0),_xlpm.fluid, G512,_xlpm.fuel, K512,_xlpm.load,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2" s="609" t="str">
        <f t="shared" si="165"/>
        <v/>
      </c>
      <c r="W512" s="482"/>
      <c r="X512" s="397" t="str" cm="1">
        <f t="array" ref="X512">IFERROR(IF($D$3="","", _xlfn.XLOOKUP(1,($AR$36:$AR$53=F512)*($AS$36:$AS$53=G512), INDEX($AT$36:$BJ$53,,_xlfn.XMATCH(E512,$AT$35:$BJ$35)))),"")</f>
        <v/>
      </c>
      <c r="Y512" s="480"/>
      <c r="Z512" s="482"/>
      <c r="AA512" s="607" t="str" cm="1">
        <f t="array" ref="AA512">IFERROR(IF($D$3="", "", _xlfn.LET(_xlpm.dia, E512, _xlpm.thk, Z512, _xlpm.temp, I512,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2" s="397" t="str" cm="1">
        <f t="array" ref="AB512">IFERROR(IF($D$3="", "", _xlfn.XLOOKUP(1,($AR$57:$AR$76=Y512)*($AS$57:$AS$76=Z512), INDEX($AT$57:$BJ$76,,_xlfn.XMATCH(E512,$AT$56:$BJ$56)))),"")</f>
        <v/>
      </c>
      <c r="AC512" s="208" t="str">
        <f t="shared" si="155"/>
        <v/>
      </c>
      <c r="AD512" s="397" t="str">
        <f t="shared" si="156"/>
        <v/>
      </c>
      <c r="AE512" s="610" t="str">
        <f t="shared" si="157"/>
        <v/>
      </c>
      <c r="AF512" s="610" t="str">
        <f t="shared" si="158"/>
        <v/>
      </c>
      <c r="AG512" s="610" t="str">
        <f t="shared" si="159"/>
        <v/>
      </c>
      <c r="AH512" s="608" t="str">
        <f t="shared" si="160"/>
        <v/>
      </c>
      <c r="AI512" s="610" t="str">
        <f t="shared" si="161"/>
        <v/>
      </c>
    </row>
    <row r="513" spans="2:35" x14ac:dyDescent="0.25">
      <c r="B513" s="209">
        <v>480</v>
      </c>
      <c r="C513" s="480"/>
      <c r="D513" s="480"/>
      <c r="E513" s="481"/>
      <c r="F513" s="480"/>
      <c r="G513" s="480"/>
      <c r="H513" s="607" t="str">
        <f t="shared" si="146"/>
        <v/>
      </c>
      <c r="I513" s="607" t="str">
        <f t="shared" si="147"/>
        <v/>
      </c>
      <c r="J513" s="607" t="str">
        <f t="shared" si="148"/>
        <v/>
      </c>
      <c r="K513" s="208" t="str">
        <f t="shared" si="149"/>
        <v/>
      </c>
      <c r="L513" s="208" t="str">
        <f t="shared" si="150"/>
        <v/>
      </c>
      <c r="M513" s="208" t="str">
        <f t="shared" si="162"/>
        <v/>
      </c>
      <c r="N513" s="608" t="str">
        <f>IF($D$3="", "", IFERROR(VLOOKUP(L513,'PIPE INCENTIVE'!$B$4:$E$19,2,FALSE),""))</f>
        <v/>
      </c>
      <c r="O513" s="608" t="str">
        <f t="shared" si="163"/>
        <v/>
      </c>
      <c r="P513" s="208" t="str">
        <f t="shared" si="164"/>
        <v/>
      </c>
      <c r="Q513" s="208" t="str">
        <f t="shared" si="151"/>
        <v/>
      </c>
      <c r="R513" s="609" t="str">
        <f t="shared" si="152"/>
        <v/>
      </c>
      <c r="S513" s="609" t="str">
        <f t="shared" si="153"/>
        <v/>
      </c>
      <c r="T513" s="609" t="str">
        <f t="shared" si="154"/>
        <v/>
      </c>
      <c r="U513" s="609" t="str" cm="1">
        <f t="array" ref="U513">IFERROR(IF($D$3="","",_xlfn.LET(_xlpm.Mixed,AND(COUNTIF($G$34:$G$533,"Heating_Hot_Water")&gt;0,(COUNTIF($G$34:$G$533,"Steam_Low_Pressure") + COUNTIF($G$34:$G$533,"Steam_Medium_Pressure") + COUNTIF($G$34:$G$533,"Steam_High_Pressure"))&gt;0),_xlpm.fluid, G513,_xlpm.fuel, K513,_xlpm.load,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3" s="609" t="str">
        <f t="shared" si="165"/>
        <v/>
      </c>
      <c r="W513" s="482"/>
      <c r="X513" s="397" t="str" cm="1">
        <f t="array" ref="X513">IFERROR(IF($D$3="","", _xlfn.XLOOKUP(1,($AR$36:$AR$53=F513)*($AS$36:$AS$53=G513), INDEX($AT$36:$BJ$53,,_xlfn.XMATCH(E513,$AT$35:$BJ$35)))),"")</f>
        <v/>
      </c>
      <c r="Y513" s="480"/>
      <c r="Z513" s="482"/>
      <c r="AA513" s="607" t="str" cm="1">
        <f t="array" ref="AA513">IFERROR(IF($D$3="", "", _xlfn.LET(_xlpm.dia, E513, _xlpm.thk, Z513, _xlpm.temp, I513,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3" s="397" t="str" cm="1">
        <f t="array" ref="AB513">IFERROR(IF($D$3="", "", _xlfn.XLOOKUP(1,($AR$57:$AR$76=Y513)*($AS$57:$AS$76=Z513), INDEX($AT$57:$BJ$76,,_xlfn.XMATCH(E513,$AT$56:$BJ$56)))),"")</f>
        <v/>
      </c>
      <c r="AC513" s="208" t="str">
        <f t="shared" si="155"/>
        <v/>
      </c>
      <c r="AD513" s="397" t="str">
        <f t="shared" si="156"/>
        <v/>
      </c>
      <c r="AE513" s="610" t="str">
        <f t="shared" si="157"/>
        <v/>
      </c>
      <c r="AF513" s="610" t="str">
        <f t="shared" si="158"/>
        <v/>
      </c>
      <c r="AG513" s="610" t="str">
        <f t="shared" si="159"/>
        <v/>
      </c>
      <c r="AH513" s="608" t="str">
        <f t="shared" si="160"/>
        <v/>
      </c>
      <c r="AI513" s="610" t="str">
        <f t="shared" si="161"/>
        <v/>
      </c>
    </row>
    <row r="514" spans="2:35" x14ac:dyDescent="0.25">
      <c r="B514" s="209">
        <v>481</v>
      </c>
      <c r="C514" s="480"/>
      <c r="D514" s="480"/>
      <c r="E514" s="481"/>
      <c r="F514" s="480"/>
      <c r="G514" s="480"/>
      <c r="H514" s="607" t="str">
        <f t="shared" si="146"/>
        <v/>
      </c>
      <c r="I514" s="607" t="str">
        <f t="shared" si="147"/>
        <v/>
      </c>
      <c r="J514" s="607" t="str">
        <f t="shared" si="148"/>
        <v/>
      </c>
      <c r="K514" s="208" t="str">
        <f t="shared" si="149"/>
        <v/>
      </c>
      <c r="L514" s="208" t="str">
        <f t="shared" si="150"/>
        <v/>
      </c>
      <c r="M514" s="208" t="str">
        <f t="shared" si="162"/>
        <v/>
      </c>
      <c r="N514" s="608" t="str">
        <f>IF($D$3="", "", IFERROR(VLOOKUP(L514,'PIPE INCENTIVE'!$B$4:$E$19,2,FALSE),""))</f>
        <v/>
      </c>
      <c r="O514" s="608" t="str">
        <f t="shared" si="163"/>
        <v/>
      </c>
      <c r="P514" s="208" t="str">
        <f t="shared" si="164"/>
        <v/>
      </c>
      <c r="Q514" s="208" t="str">
        <f t="shared" si="151"/>
        <v/>
      </c>
      <c r="R514" s="609" t="str">
        <f t="shared" si="152"/>
        <v/>
      </c>
      <c r="S514" s="609" t="str">
        <f t="shared" si="153"/>
        <v/>
      </c>
      <c r="T514" s="609" t="str">
        <f t="shared" si="154"/>
        <v/>
      </c>
      <c r="U514" s="609" t="str" cm="1">
        <f t="array" ref="U514">IFERROR(IF($D$3="","",_xlfn.LET(_xlpm.Mixed,AND(COUNTIF($G$34:$G$533,"Heating_Hot_Water")&gt;0,(COUNTIF($G$34:$G$533,"Steam_Low_Pressure") + COUNTIF($G$34:$G$533,"Steam_Medium_Pressure") + COUNTIF($G$34:$G$533,"Steam_High_Pressure"))&gt;0),_xlpm.fluid, G514,_xlpm.fuel, K514,_xlpm.load,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4" s="609" t="str">
        <f t="shared" si="165"/>
        <v/>
      </c>
      <c r="W514" s="482"/>
      <c r="X514" s="397" t="str" cm="1">
        <f t="array" ref="X514">IFERROR(IF($D$3="","", _xlfn.XLOOKUP(1,($AR$36:$AR$53=F514)*($AS$36:$AS$53=G514), INDEX($AT$36:$BJ$53,,_xlfn.XMATCH(E514,$AT$35:$BJ$35)))),"")</f>
        <v/>
      </c>
      <c r="Y514" s="480"/>
      <c r="Z514" s="482"/>
      <c r="AA514" s="607" t="str" cm="1">
        <f t="array" ref="AA514">IFERROR(IF($D$3="", "", _xlfn.LET(_xlpm.dia, E514, _xlpm.thk, Z514, _xlpm.temp, I514,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4" s="397" t="str" cm="1">
        <f t="array" ref="AB514">IFERROR(IF($D$3="", "", _xlfn.XLOOKUP(1,($AR$57:$AR$76=Y514)*($AS$57:$AS$76=Z514), INDEX($AT$57:$BJ$76,,_xlfn.XMATCH(E514,$AT$56:$BJ$56)))),"")</f>
        <v/>
      </c>
      <c r="AC514" s="208" t="str">
        <f t="shared" si="155"/>
        <v/>
      </c>
      <c r="AD514" s="397" t="str">
        <f t="shared" si="156"/>
        <v/>
      </c>
      <c r="AE514" s="610" t="str">
        <f t="shared" si="157"/>
        <v/>
      </c>
      <c r="AF514" s="610" t="str">
        <f t="shared" si="158"/>
        <v/>
      </c>
      <c r="AG514" s="610" t="str">
        <f t="shared" si="159"/>
        <v/>
      </c>
      <c r="AH514" s="608" t="str">
        <f t="shared" si="160"/>
        <v/>
      </c>
      <c r="AI514" s="610" t="str">
        <f t="shared" si="161"/>
        <v/>
      </c>
    </row>
    <row r="515" spans="2:35" x14ac:dyDescent="0.25">
      <c r="B515" s="209">
        <v>482</v>
      </c>
      <c r="C515" s="480"/>
      <c r="D515" s="480"/>
      <c r="E515" s="481"/>
      <c r="F515" s="480"/>
      <c r="G515" s="480"/>
      <c r="H515" s="607" t="str">
        <f t="shared" si="146"/>
        <v/>
      </c>
      <c r="I515" s="607" t="str">
        <f t="shared" si="147"/>
        <v/>
      </c>
      <c r="J515" s="607" t="str">
        <f t="shared" si="148"/>
        <v/>
      </c>
      <c r="K515" s="208" t="str">
        <f t="shared" si="149"/>
        <v/>
      </c>
      <c r="L515" s="208" t="str">
        <f t="shared" si="150"/>
        <v/>
      </c>
      <c r="M515" s="208" t="str">
        <f t="shared" si="162"/>
        <v/>
      </c>
      <c r="N515" s="608" t="str">
        <f>IF($D$3="", "", IFERROR(VLOOKUP(L515,'PIPE INCENTIVE'!$B$4:$E$19,2,FALSE),""))</f>
        <v/>
      </c>
      <c r="O515" s="608" t="str">
        <f t="shared" si="163"/>
        <v/>
      </c>
      <c r="P515" s="208" t="str">
        <f t="shared" si="164"/>
        <v/>
      </c>
      <c r="Q515" s="208" t="str">
        <f t="shared" si="151"/>
        <v/>
      </c>
      <c r="R515" s="609" t="str">
        <f t="shared" si="152"/>
        <v/>
      </c>
      <c r="S515" s="609" t="str">
        <f t="shared" si="153"/>
        <v/>
      </c>
      <c r="T515" s="609" t="str">
        <f t="shared" si="154"/>
        <v/>
      </c>
      <c r="U515" s="609" t="str" cm="1">
        <f t="array" ref="U515">IFERROR(IF($D$3="","",_xlfn.LET(_xlpm.Mixed,AND(COUNTIF($G$34:$G$533,"Heating_Hot_Water")&gt;0,(COUNTIF($G$34:$G$533,"Steam_Low_Pressure") + COUNTIF($G$34:$G$533,"Steam_Medium_Pressure") + COUNTIF($G$34:$G$533,"Steam_High_Pressure"))&gt;0),_xlpm.fluid, G515,_xlpm.fuel, K515,_xlpm.load,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5" s="609" t="str">
        <f t="shared" si="165"/>
        <v/>
      </c>
      <c r="W515" s="482"/>
      <c r="X515" s="397" t="str" cm="1">
        <f t="array" ref="X515">IFERROR(IF($D$3="","", _xlfn.XLOOKUP(1,($AR$36:$AR$53=F515)*($AS$36:$AS$53=G515), INDEX($AT$36:$BJ$53,,_xlfn.XMATCH(E515,$AT$35:$BJ$35)))),"")</f>
        <v/>
      </c>
      <c r="Y515" s="480"/>
      <c r="Z515" s="482"/>
      <c r="AA515" s="607" t="str" cm="1">
        <f t="array" ref="AA515">IFERROR(IF($D$3="", "", _xlfn.LET(_xlpm.dia, E515, _xlpm.thk, Z515, _xlpm.temp, I515,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5" s="397" t="str" cm="1">
        <f t="array" ref="AB515">IFERROR(IF($D$3="", "", _xlfn.XLOOKUP(1,($AR$57:$AR$76=Y515)*($AS$57:$AS$76=Z515), INDEX($AT$57:$BJ$76,,_xlfn.XMATCH(E515,$AT$56:$BJ$56)))),"")</f>
        <v/>
      </c>
      <c r="AC515" s="208" t="str">
        <f t="shared" si="155"/>
        <v/>
      </c>
      <c r="AD515" s="397" t="str">
        <f t="shared" si="156"/>
        <v/>
      </c>
      <c r="AE515" s="610" t="str">
        <f t="shared" si="157"/>
        <v/>
      </c>
      <c r="AF515" s="610" t="str">
        <f t="shared" si="158"/>
        <v/>
      </c>
      <c r="AG515" s="610" t="str">
        <f t="shared" si="159"/>
        <v/>
      </c>
      <c r="AH515" s="608" t="str">
        <f t="shared" si="160"/>
        <v/>
      </c>
      <c r="AI515" s="610" t="str">
        <f t="shared" si="161"/>
        <v/>
      </c>
    </row>
    <row r="516" spans="2:35" x14ac:dyDescent="0.25">
      <c r="B516" s="209">
        <v>483</v>
      </c>
      <c r="C516" s="480"/>
      <c r="D516" s="480"/>
      <c r="E516" s="481"/>
      <c r="F516" s="480"/>
      <c r="G516" s="480"/>
      <c r="H516" s="607" t="str">
        <f t="shared" si="146"/>
        <v/>
      </c>
      <c r="I516" s="607" t="str">
        <f t="shared" si="147"/>
        <v/>
      </c>
      <c r="J516" s="607" t="str">
        <f t="shared" si="148"/>
        <v/>
      </c>
      <c r="K516" s="208" t="str">
        <f t="shared" si="149"/>
        <v/>
      </c>
      <c r="L516" s="208" t="str">
        <f t="shared" si="150"/>
        <v/>
      </c>
      <c r="M516" s="208" t="str">
        <f t="shared" si="162"/>
        <v/>
      </c>
      <c r="N516" s="608" t="str">
        <f>IF($D$3="", "", IFERROR(VLOOKUP(L516,'PIPE INCENTIVE'!$B$4:$E$19,2,FALSE),""))</f>
        <v/>
      </c>
      <c r="O516" s="608" t="str">
        <f t="shared" si="163"/>
        <v/>
      </c>
      <c r="P516" s="208" t="str">
        <f t="shared" si="164"/>
        <v/>
      </c>
      <c r="Q516" s="208" t="str">
        <f t="shared" si="151"/>
        <v/>
      </c>
      <c r="R516" s="609" t="str">
        <f t="shared" si="152"/>
        <v/>
      </c>
      <c r="S516" s="609" t="str">
        <f t="shared" si="153"/>
        <v/>
      </c>
      <c r="T516" s="609" t="str">
        <f t="shared" si="154"/>
        <v/>
      </c>
      <c r="U516" s="609" t="str" cm="1">
        <f t="array" ref="U516">IFERROR(IF($D$3="","",_xlfn.LET(_xlpm.Mixed,AND(COUNTIF($G$34:$G$533,"Heating_Hot_Water")&gt;0,(COUNTIF($G$34:$G$533,"Steam_Low_Pressure") + COUNTIF($G$34:$G$533,"Steam_Medium_Pressure") + COUNTIF($G$34:$G$533,"Steam_High_Pressure"))&gt;0),_xlpm.fluid, G516,_xlpm.fuel, K516,_xlpm.load,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6" s="609" t="str">
        <f t="shared" si="165"/>
        <v/>
      </c>
      <c r="W516" s="482"/>
      <c r="X516" s="397" t="str" cm="1">
        <f t="array" ref="X516">IFERROR(IF($D$3="","", _xlfn.XLOOKUP(1,($AR$36:$AR$53=F516)*($AS$36:$AS$53=G516), INDEX($AT$36:$BJ$53,,_xlfn.XMATCH(E516,$AT$35:$BJ$35)))),"")</f>
        <v/>
      </c>
      <c r="Y516" s="480"/>
      <c r="Z516" s="482"/>
      <c r="AA516" s="607" t="str" cm="1">
        <f t="array" ref="AA516">IFERROR(IF($D$3="", "", _xlfn.LET(_xlpm.dia, E516, _xlpm.thk, Z516, _xlpm.temp, I516,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6" s="397" t="str" cm="1">
        <f t="array" ref="AB516">IFERROR(IF($D$3="", "", _xlfn.XLOOKUP(1,($AR$57:$AR$76=Y516)*($AS$57:$AS$76=Z516), INDEX($AT$57:$BJ$76,,_xlfn.XMATCH(E516,$AT$56:$BJ$56)))),"")</f>
        <v/>
      </c>
      <c r="AC516" s="208" t="str">
        <f t="shared" si="155"/>
        <v/>
      </c>
      <c r="AD516" s="397" t="str">
        <f t="shared" si="156"/>
        <v/>
      </c>
      <c r="AE516" s="610" t="str">
        <f t="shared" si="157"/>
        <v/>
      </c>
      <c r="AF516" s="610" t="str">
        <f t="shared" si="158"/>
        <v/>
      </c>
      <c r="AG516" s="610" t="str">
        <f t="shared" si="159"/>
        <v/>
      </c>
      <c r="AH516" s="608" t="str">
        <f t="shared" si="160"/>
        <v/>
      </c>
      <c r="AI516" s="610" t="str">
        <f t="shared" si="161"/>
        <v/>
      </c>
    </row>
    <row r="517" spans="2:35" x14ac:dyDescent="0.25">
      <c r="B517" s="209">
        <v>484</v>
      </c>
      <c r="C517" s="480"/>
      <c r="D517" s="480"/>
      <c r="E517" s="481"/>
      <c r="F517" s="480"/>
      <c r="G517" s="480"/>
      <c r="H517" s="607" t="str">
        <f t="shared" si="146"/>
        <v/>
      </c>
      <c r="I517" s="607" t="str">
        <f t="shared" si="147"/>
        <v/>
      </c>
      <c r="J517" s="607" t="str">
        <f t="shared" si="148"/>
        <v/>
      </c>
      <c r="K517" s="208" t="str">
        <f t="shared" si="149"/>
        <v/>
      </c>
      <c r="L517" s="208" t="str">
        <f t="shared" si="150"/>
        <v/>
      </c>
      <c r="M517" s="208" t="str">
        <f t="shared" si="162"/>
        <v/>
      </c>
      <c r="N517" s="608" t="str">
        <f>IF($D$3="", "", IFERROR(VLOOKUP(L517,'PIPE INCENTIVE'!$B$4:$E$19,2,FALSE),""))</f>
        <v/>
      </c>
      <c r="O517" s="608" t="str">
        <f t="shared" si="163"/>
        <v/>
      </c>
      <c r="P517" s="208" t="str">
        <f t="shared" si="164"/>
        <v/>
      </c>
      <c r="Q517" s="208" t="str">
        <f t="shared" si="151"/>
        <v/>
      </c>
      <c r="R517" s="609" t="str">
        <f t="shared" si="152"/>
        <v/>
      </c>
      <c r="S517" s="609" t="str">
        <f t="shared" si="153"/>
        <v/>
      </c>
      <c r="T517" s="609" t="str">
        <f t="shared" si="154"/>
        <v/>
      </c>
      <c r="U517" s="609" t="str" cm="1">
        <f t="array" ref="U517">IFERROR(IF($D$3="","",_xlfn.LET(_xlpm.Mixed,AND(COUNTIF($G$34:$G$533,"Heating_Hot_Water")&gt;0,(COUNTIF($G$34:$G$533,"Steam_Low_Pressure") + COUNTIF($G$34:$G$533,"Steam_Medium_Pressure") + COUNTIF($G$34:$G$533,"Steam_High_Pressure"))&gt;0),_xlpm.fluid, G517,_xlpm.fuel, K517,_xlpm.load,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7" s="609" t="str">
        <f t="shared" si="165"/>
        <v/>
      </c>
      <c r="W517" s="482"/>
      <c r="X517" s="397" t="str" cm="1">
        <f t="array" ref="X517">IFERROR(IF($D$3="","", _xlfn.XLOOKUP(1,($AR$36:$AR$53=F517)*($AS$36:$AS$53=G517), INDEX($AT$36:$BJ$53,,_xlfn.XMATCH(E517,$AT$35:$BJ$35)))),"")</f>
        <v/>
      </c>
      <c r="Y517" s="480"/>
      <c r="Z517" s="482"/>
      <c r="AA517" s="607" t="str" cm="1">
        <f t="array" ref="AA517">IFERROR(IF($D$3="", "", _xlfn.LET(_xlpm.dia, E517, _xlpm.thk, Z517, _xlpm.temp, I517,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7" s="397" t="str" cm="1">
        <f t="array" ref="AB517">IFERROR(IF($D$3="", "", _xlfn.XLOOKUP(1,($AR$57:$AR$76=Y517)*($AS$57:$AS$76=Z517), INDEX($AT$57:$BJ$76,,_xlfn.XMATCH(E517,$AT$56:$BJ$56)))),"")</f>
        <v/>
      </c>
      <c r="AC517" s="208" t="str">
        <f t="shared" si="155"/>
        <v/>
      </c>
      <c r="AD517" s="397" t="str">
        <f t="shared" si="156"/>
        <v/>
      </c>
      <c r="AE517" s="610" t="str">
        <f t="shared" si="157"/>
        <v/>
      </c>
      <c r="AF517" s="610" t="str">
        <f t="shared" si="158"/>
        <v/>
      </c>
      <c r="AG517" s="610" t="str">
        <f t="shared" si="159"/>
        <v/>
      </c>
      <c r="AH517" s="608" t="str">
        <f t="shared" si="160"/>
        <v/>
      </c>
      <c r="AI517" s="610" t="str">
        <f t="shared" si="161"/>
        <v/>
      </c>
    </row>
    <row r="518" spans="2:35" x14ac:dyDescent="0.25">
      <c r="B518" s="209">
        <v>485</v>
      </c>
      <c r="C518" s="480"/>
      <c r="D518" s="480"/>
      <c r="E518" s="481"/>
      <c r="F518" s="480"/>
      <c r="G518" s="480"/>
      <c r="H518" s="607" t="str">
        <f t="shared" si="146"/>
        <v/>
      </c>
      <c r="I518" s="607" t="str">
        <f t="shared" si="147"/>
        <v/>
      </c>
      <c r="J518" s="607" t="str">
        <f t="shared" si="148"/>
        <v/>
      </c>
      <c r="K518" s="208" t="str">
        <f t="shared" si="149"/>
        <v/>
      </c>
      <c r="L518" s="208" t="str">
        <f t="shared" si="150"/>
        <v/>
      </c>
      <c r="M518" s="208" t="str">
        <f t="shared" si="162"/>
        <v/>
      </c>
      <c r="N518" s="608" t="str">
        <f>IF($D$3="", "", IFERROR(VLOOKUP(L518,'PIPE INCENTIVE'!$B$4:$E$19,2,FALSE),""))</f>
        <v/>
      </c>
      <c r="O518" s="608" t="str">
        <f t="shared" si="163"/>
        <v/>
      </c>
      <c r="P518" s="208" t="str">
        <f t="shared" si="164"/>
        <v/>
      </c>
      <c r="Q518" s="208" t="str">
        <f t="shared" si="151"/>
        <v/>
      </c>
      <c r="R518" s="609" t="str">
        <f t="shared" si="152"/>
        <v/>
      </c>
      <c r="S518" s="609" t="str">
        <f t="shared" si="153"/>
        <v/>
      </c>
      <c r="T518" s="609" t="str">
        <f t="shared" si="154"/>
        <v/>
      </c>
      <c r="U518" s="609" t="str" cm="1">
        <f t="array" ref="U518">IFERROR(IF($D$3="","",_xlfn.LET(_xlpm.Mixed,AND(COUNTIF($G$34:$G$533,"Heating_Hot_Water")&gt;0,(COUNTIF($G$34:$G$533,"Steam_Low_Pressure") + COUNTIF($G$34:$G$533,"Steam_Medium_Pressure") + COUNTIF($G$34:$G$533,"Steam_High_Pressure"))&gt;0),_xlpm.fluid, G518,_xlpm.fuel, K518,_xlpm.load,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8" s="609" t="str">
        <f t="shared" si="165"/>
        <v/>
      </c>
      <c r="W518" s="482"/>
      <c r="X518" s="397" t="str" cm="1">
        <f t="array" ref="X518">IFERROR(IF($D$3="","", _xlfn.XLOOKUP(1,($AR$36:$AR$53=F518)*($AS$36:$AS$53=G518), INDEX($AT$36:$BJ$53,,_xlfn.XMATCH(E518,$AT$35:$BJ$35)))),"")</f>
        <v/>
      </c>
      <c r="Y518" s="480"/>
      <c r="Z518" s="482"/>
      <c r="AA518" s="607" t="str" cm="1">
        <f t="array" ref="AA518">IFERROR(IF($D$3="", "", _xlfn.LET(_xlpm.dia, E518, _xlpm.thk, Z518, _xlpm.temp, I518,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8" s="397" t="str" cm="1">
        <f t="array" ref="AB518">IFERROR(IF($D$3="", "", _xlfn.XLOOKUP(1,($AR$57:$AR$76=Y518)*($AS$57:$AS$76=Z518), INDEX($AT$57:$BJ$76,,_xlfn.XMATCH(E518,$AT$56:$BJ$56)))),"")</f>
        <v/>
      </c>
      <c r="AC518" s="208" t="str">
        <f t="shared" si="155"/>
        <v/>
      </c>
      <c r="AD518" s="397" t="str">
        <f t="shared" si="156"/>
        <v/>
      </c>
      <c r="AE518" s="610" t="str">
        <f t="shared" si="157"/>
        <v/>
      </c>
      <c r="AF518" s="610" t="str">
        <f t="shared" si="158"/>
        <v/>
      </c>
      <c r="AG518" s="610" t="str">
        <f t="shared" si="159"/>
        <v/>
      </c>
      <c r="AH518" s="608" t="str">
        <f t="shared" si="160"/>
        <v/>
      </c>
      <c r="AI518" s="610" t="str">
        <f t="shared" si="161"/>
        <v/>
      </c>
    </row>
    <row r="519" spans="2:35" x14ac:dyDescent="0.25">
      <c r="B519" s="209">
        <v>486</v>
      </c>
      <c r="C519" s="480"/>
      <c r="D519" s="480"/>
      <c r="E519" s="481"/>
      <c r="F519" s="480"/>
      <c r="G519" s="480"/>
      <c r="H519" s="607" t="str">
        <f t="shared" si="146"/>
        <v/>
      </c>
      <c r="I519" s="607" t="str">
        <f t="shared" si="147"/>
        <v/>
      </c>
      <c r="J519" s="607" t="str">
        <f t="shared" si="148"/>
        <v/>
      </c>
      <c r="K519" s="208" t="str">
        <f t="shared" si="149"/>
        <v/>
      </c>
      <c r="L519" s="208" t="str">
        <f t="shared" si="150"/>
        <v/>
      </c>
      <c r="M519" s="208" t="str">
        <f t="shared" si="162"/>
        <v/>
      </c>
      <c r="N519" s="608" t="str">
        <f>IF($D$3="", "", IFERROR(VLOOKUP(L519,'PIPE INCENTIVE'!$B$4:$E$19,2,FALSE),""))</f>
        <v/>
      </c>
      <c r="O519" s="608" t="str">
        <f t="shared" si="163"/>
        <v/>
      </c>
      <c r="P519" s="208" t="str">
        <f t="shared" si="164"/>
        <v/>
      </c>
      <c r="Q519" s="208" t="str">
        <f t="shared" si="151"/>
        <v/>
      </c>
      <c r="R519" s="609" t="str">
        <f t="shared" si="152"/>
        <v/>
      </c>
      <c r="S519" s="609" t="str">
        <f t="shared" si="153"/>
        <v/>
      </c>
      <c r="T519" s="609" t="str">
        <f t="shared" si="154"/>
        <v/>
      </c>
      <c r="U519" s="609" t="str" cm="1">
        <f t="array" ref="U519">IFERROR(IF($D$3="","",_xlfn.LET(_xlpm.Mixed,AND(COUNTIF($G$34:$G$533,"Heating_Hot_Water")&gt;0,(COUNTIF($G$34:$G$533,"Steam_Low_Pressure") + COUNTIF($G$34:$G$533,"Steam_Medium_Pressure") + COUNTIF($G$34:$G$533,"Steam_High_Pressure"))&gt;0),_xlpm.fluid, G519,_xlpm.fuel, K519,_xlpm.load,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19" s="609" t="str">
        <f t="shared" si="165"/>
        <v/>
      </c>
      <c r="W519" s="482"/>
      <c r="X519" s="397" t="str" cm="1">
        <f t="array" ref="X519">IFERROR(IF($D$3="","", _xlfn.XLOOKUP(1,($AR$36:$AR$53=F519)*($AS$36:$AS$53=G519), INDEX($AT$36:$BJ$53,,_xlfn.XMATCH(E519,$AT$35:$BJ$35)))),"")</f>
        <v/>
      </c>
      <c r="Y519" s="480"/>
      <c r="Z519" s="482"/>
      <c r="AA519" s="607" t="str" cm="1">
        <f t="array" ref="AA519">IFERROR(IF($D$3="", "", _xlfn.LET(_xlpm.dia, E519, _xlpm.thk, Z519, _xlpm.temp, I519,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19" s="397" t="str" cm="1">
        <f t="array" ref="AB519">IFERROR(IF($D$3="", "", _xlfn.XLOOKUP(1,($AR$57:$AR$76=Y519)*($AS$57:$AS$76=Z519), INDEX($AT$57:$BJ$76,,_xlfn.XMATCH(E519,$AT$56:$BJ$56)))),"")</f>
        <v/>
      </c>
      <c r="AC519" s="208" t="str">
        <f t="shared" si="155"/>
        <v/>
      </c>
      <c r="AD519" s="397" t="str">
        <f t="shared" si="156"/>
        <v/>
      </c>
      <c r="AE519" s="610" t="str">
        <f t="shared" si="157"/>
        <v/>
      </c>
      <c r="AF519" s="610" t="str">
        <f t="shared" si="158"/>
        <v/>
      </c>
      <c r="AG519" s="610" t="str">
        <f t="shared" si="159"/>
        <v/>
      </c>
      <c r="AH519" s="608" t="str">
        <f t="shared" si="160"/>
        <v/>
      </c>
      <c r="AI519" s="610" t="str">
        <f t="shared" si="161"/>
        <v/>
      </c>
    </row>
    <row r="520" spans="2:35" x14ac:dyDescent="0.25">
      <c r="B520" s="209">
        <v>487</v>
      </c>
      <c r="C520" s="480"/>
      <c r="D520" s="480"/>
      <c r="E520" s="481"/>
      <c r="F520" s="480"/>
      <c r="G520" s="480"/>
      <c r="H520" s="607" t="str">
        <f t="shared" si="146"/>
        <v/>
      </c>
      <c r="I520" s="607" t="str">
        <f t="shared" si="147"/>
        <v/>
      </c>
      <c r="J520" s="607" t="str">
        <f t="shared" si="148"/>
        <v/>
      </c>
      <c r="K520" s="208" t="str">
        <f t="shared" si="149"/>
        <v/>
      </c>
      <c r="L520" s="208" t="str">
        <f t="shared" si="150"/>
        <v/>
      </c>
      <c r="M520" s="208" t="str">
        <f t="shared" si="162"/>
        <v/>
      </c>
      <c r="N520" s="608" t="str">
        <f>IF($D$3="", "", IFERROR(VLOOKUP(L520,'PIPE INCENTIVE'!$B$4:$E$19,2,FALSE),""))</f>
        <v/>
      </c>
      <c r="O520" s="608" t="str">
        <f t="shared" si="163"/>
        <v/>
      </c>
      <c r="P520" s="208" t="str">
        <f t="shared" si="164"/>
        <v/>
      </c>
      <c r="Q520" s="208" t="str">
        <f t="shared" si="151"/>
        <v/>
      </c>
      <c r="R520" s="609" t="str">
        <f t="shared" si="152"/>
        <v/>
      </c>
      <c r="S520" s="609" t="str">
        <f t="shared" si="153"/>
        <v/>
      </c>
      <c r="T520" s="609" t="str">
        <f t="shared" si="154"/>
        <v/>
      </c>
      <c r="U520" s="609" t="str" cm="1">
        <f t="array" ref="U520">IFERROR(IF($D$3="","",_xlfn.LET(_xlpm.Mixed,AND(COUNTIF($G$34:$G$533,"Heating_Hot_Water")&gt;0,(COUNTIF($G$34:$G$533,"Steam_Low_Pressure") + COUNTIF($G$34:$G$533,"Steam_Medium_Pressure") + COUNTIF($G$34:$G$533,"Steam_High_Pressure"))&gt;0),_xlpm.fluid, G520,_xlpm.fuel, K520,_xlpm.load,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0" s="609" t="str">
        <f t="shared" si="165"/>
        <v/>
      </c>
      <c r="W520" s="482"/>
      <c r="X520" s="397" t="str" cm="1">
        <f t="array" ref="X520">IFERROR(IF($D$3="","", _xlfn.XLOOKUP(1,($AR$36:$AR$53=F520)*($AS$36:$AS$53=G520), INDEX($AT$36:$BJ$53,,_xlfn.XMATCH(E520,$AT$35:$BJ$35)))),"")</f>
        <v/>
      </c>
      <c r="Y520" s="480"/>
      <c r="Z520" s="482"/>
      <c r="AA520" s="607" t="str" cm="1">
        <f t="array" ref="AA520">IFERROR(IF($D$3="", "", _xlfn.LET(_xlpm.dia, E520, _xlpm.thk, Z520, _xlpm.temp, I520,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0" s="397" t="str" cm="1">
        <f t="array" ref="AB520">IFERROR(IF($D$3="", "", _xlfn.XLOOKUP(1,($AR$57:$AR$76=Y520)*($AS$57:$AS$76=Z520), INDEX($AT$57:$BJ$76,,_xlfn.XMATCH(E520,$AT$56:$BJ$56)))),"")</f>
        <v/>
      </c>
      <c r="AC520" s="208" t="str">
        <f t="shared" si="155"/>
        <v/>
      </c>
      <c r="AD520" s="397" t="str">
        <f t="shared" si="156"/>
        <v/>
      </c>
      <c r="AE520" s="610" t="str">
        <f t="shared" si="157"/>
        <v/>
      </c>
      <c r="AF520" s="610" t="str">
        <f t="shared" si="158"/>
        <v/>
      </c>
      <c r="AG520" s="610" t="str">
        <f t="shared" si="159"/>
        <v/>
      </c>
      <c r="AH520" s="608" t="str">
        <f t="shared" si="160"/>
        <v/>
      </c>
      <c r="AI520" s="610" t="str">
        <f t="shared" si="161"/>
        <v/>
      </c>
    </row>
    <row r="521" spans="2:35" x14ac:dyDescent="0.25">
      <c r="B521" s="209">
        <v>488</v>
      </c>
      <c r="C521" s="480"/>
      <c r="D521" s="480"/>
      <c r="E521" s="481"/>
      <c r="F521" s="480"/>
      <c r="G521" s="480"/>
      <c r="H521" s="607" t="str">
        <f t="shared" si="146"/>
        <v/>
      </c>
      <c r="I521" s="607" t="str">
        <f t="shared" si="147"/>
        <v/>
      </c>
      <c r="J521" s="607" t="str">
        <f t="shared" si="148"/>
        <v/>
      </c>
      <c r="K521" s="208" t="str">
        <f t="shared" si="149"/>
        <v/>
      </c>
      <c r="L521" s="208" t="str">
        <f t="shared" si="150"/>
        <v/>
      </c>
      <c r="M521" s="208" t="str">
        <f t="shared" si="162"/>
        <v/>
      </c>
      <c r="N521" s="608" t="str">
        <f>IF($D$3="", "", IFERROR(VLOOKUP(L521,'PIPE INCENTIVE'!$B$4:$E$19,2,FALSE),""))</f>
        <v/>
      </c>
      <c r="O521" s="608" t="str">
        <f t="shared" si="163"/>
        <v/>
      </c>
      <c r="P521" s="208" t="str">
        <f t="shared" si="164"/>
        <v/>
      </c>
      <c r="Q521" s="208" t="str">
        <f t="shared" si="151"/>
        <v/>
      </c>
      <c r="R521" s="609" t="str">
        <f t="shared" si="152"/>
        <v/>
      </c>
      <c r="S521" s="609" t="str">
        <f t="shared" si="153"/>
        <v/>
      </c>
      <c r="T521" s="609" t="str">
        <f t="shared" si="154"/>
        <v/>
      </c>
      <c r="U521" s="609" t="str" cm="1">
        <f t="array" ref="U521">IFERROR(IF($D$3="","",_xlfn.LET(_xlpm.Mixed,AND(COUNTIF($G$34:$G$533,"Heating_Hot_Water")&gt;0,(COUNTIF($G$34:$G$533,"Steam_Low_Pressure") + COUNTIF($G$34:$G$533,"Steam_Medium_Pressure") + COUNTIF($G$34:$G$533,"Steam_High_Pressure"))&gt;0),_xlpm.fluid, G521,_xlpm.fuel, K521,_xlpm.load,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1" s="609" t="str">
        <f t="shared" si="165"/>
        <v/>
      </c>
      <c r="W521" s="482"/>
      <c r="X521" s="397" t="str" cm="1">
        <f t="array" ref="X521">IFERROR(IF($D$3="","", _xlfn.XLOOKUP(1,($AR$36:$AR$53=F521)*($AS$36:$AS$53=G521), INDEX($AT$36:$BJ$53,,_xlfn.XMATCH(E521,$AT$35:$BJ$35)))),"")</f>
        <v/>
      </c>
      <c r="Y521" s="480"/>
      <c r="Z521" s="482"/>
      <c r="AA521" s="607" t="str" cm="1">
        <f t="array" ref="AA521">IFERROR(IF($D$3="", "", _xlfn.LET(_xlpm.dia, E521, _xlpm.thk, Z521, _xlpm.temp, I521,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1" s="397" t="str" cm="1">
        <f t="array" ref="AB521">IFERROR(IF($D$3="", "", _xlfn.XLOOKUP(1,($AR$57:$AR$76=Y521)*($AS$57:$AS$76=Z521), INDEX($AT$57:$BJ$76,,_xlfn.XMATCH(E521,$AT$56:$BJ$56)))),"")</f>
        <v/>
      </c>
      <c r="AC521" s="208" t="str">
        <f t="shared" si="155"/>
        <v/>
      </c>
      <c r="AD521" s="397" t="str">
        <f t="shared" si="156"/>
        <v/>
      </c>
      <c r="AE521" s="610" t="str">
        <f t="shared" si="157"/>
        <v/>
      </c>
      <c r="AF521" s="610" t="str">
        <f t="shared" si="158"/>
        <v/>
      </c>
      <c r="AG521" s="610" t="str">
        <f t="shared" si="159"/>
        <v/>
      </c>
      <c r="AH521" s="608" t="str">
        <f t="shared" si="160"/>
        <v/>
      </c>
      <c r="AI521" s="610" t="str">
        <f t="shared" si="161"/>
        <v/>
      </c>
    </row>
    <row r="522" spans="2:35" x14ac:dyDescent="0.25">
      <c r="B522" s="209">
        <v>489</v>
      </c>
      <c r="C522" s="480"/>
      <c r="D522" s="480"/>
      <c r="E522" s="481"/>
      <c r="F522" s="480"/>
      <c r="G522" s="480"/>
      <c r="H522" s="607" t="str">
        <f t="shared" si="146"/>
        <v/>
      </c>
      <c r="I522" s="607" t="str">
        <f t="shared" si="147"/>
        <v/>
      </c>
      <c r="J522" s="607" t="str">
        <f t="shared" si="148"/>
        <v/>
      </c>
      <c r="K522" s="208" t="str">
        <f t="shared" si="149"/>
        <v/>
      </c>
      <c r="L522" s="208" t="str">
        <f t="shared" si="150"/>
        <v/>
      </c>
      <c r="M522" s="208" t="str">
        <f t="shared" si="162"/>
        <v/>
      </c>
      <c r="N522" s="608" t="str">
        <f>IF($D$3="", "", IFERROR(VLOOKUP(L522,'PIPE INCENTIVE'!$B$4:$E$19,2,FALSE),""))</f>
        <v/>
      </c>
      <c r="O522" s="608" t="str">
        <f t="shared" si="163"/>
        <v/>
      </c>
      <c r="P522" s="208" t="str">
        <f t="shared" si="164"/>
        <v/>
      </c>
      <c r="Q522" s="208" t="str">
        <f t="shared" si="151"/>
        <v/>
      </c>
      <c r="R522" s="609" t="str">
        <f t="shared" si="152"/>
        <v/>
      </c>
      <c r="S522" s="609" t="str">
        <f t="shared" si="153"/>
        <v/>
      </c>
      <c r="T522" s="609" t="str">
        <f t="shared" si="154"/>
        <v/>
      </c>
      <c r="U522" s="609" t="str" cm="1">
        <f t="array" ref="U522">IFERROR(IF($D$3="","",_xlfn.LET(_xlpm.Mixed,AND(COUNTIF($G$34:$G$533,"Heating_Hot_Water")&gt;0,(COUNTIF($G$34:$G$533,"Steam_Low_Pressure") + COUNTIF($G$34:$G$533,"Steam_Medium_Pressure") + COUNTIF($G$34:$G$533,"Steam_High_Pressure"))&gt;0),_xlpm.fluid, G522,_xlpm.fuel, K522,_xlpm.load,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2" s="609" t="str">
        <f t="shared" si="165"/>
        <v/>
      </c>
      <c r="W522" s="482"/>
      <c r="X522" s="397" t="str" cm="1">
        <f t="array" ref="X522">IFERROR(IF($D$3="","", _xlfn.XLOOKUP(1,($AR$36:$AR$53=F522)*($AS$36:$AS$53=G522), INDEX($AT$36:$BJ$53,,_xlfn.XMATCH(E522,$AT$35:$BJ$35)))),"")</f>
        <v/>
      </c>
      <c r="Y522" s="480"/>
      <c r="Z522" s="482"/>
      <c r="AA522" s="607" t="str" cm="1">
        <f t="array" ref="AA522">IFERROR(IF($D$3="", "", _xlfn.LET(_xlpm.dia, E522, _xlpm.thk, Z522, _xlpm.temp, I522,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2" s="397" t="str" cm="1">
        <f t="array" ref="AB522">IFERROR(IF($D$3="", "", _xlfn.XLOOKUP(1,($AR$57:$AR$76=Y522)*($AS$57:$AS$76=Z522), INDEX($AT$57:$BJ$76,,_xlfn.XMATCH(E522,$AT$56:$BJ$56)))),"")</f>
        <v/>
      </c>
      <c r="AC522" s="208" t="str">
        <f t="shared" si="155"/>
        <v/>
      </c>
      <c r="AD522" s="397" t="str">
        <f t="shared" si="156"/>
        <v/>
      </c>
      <c r="AE522" s="610" t="str">
        <f t="shared" si="157"/>
        <v/>
      </c>
      <c r="AF522" s="610" t="str">
        <f t="shared" si="158"/>
        <v/>
      </c>
      <c r="AG522" s="610" t="str">
        <f t="shared" si="159"/>
        <v/>
      </c>
      <c r="AH522" s="608" t="str">
        <f t="shared" si="160"/>
        <v/>
      </c>
      <c r="AI522" s="610" t="str">
        <f t="shared" si="161"/>
        <v/>
      </c>
    </row>
    <row r="523" spans="2:35" x14ac:dyDescent="0.25">
      <c r="B523" s="209">
        <v>490</v>
      </c>
      <c r="C523" s="480"/>
      <c r="D523" s="480"/>
      <c r="E523" s="481"/>
      <c r="F523" s="480"/>
      <c r="G523" s="480"/>
      <c r="H523" s="607" t="str">
        <f t="shared" si="146"/>
        <v/>
      </c>
      <c r="I523" s="607" t="str">
        <f t="shared" si="147"/>
        <v/>
      </c>
      <c r="J523" s="607" t="str">
        <f t="shared" si="148"/>
        <v/>
      </c>
      <c r="K523" s="208" t="str">
        <f t="shared" si="149"/>
        <v/>
      </c>
      <c r="L523" s="208" t="str">
        <f t="shared" si="150"/>
        <v/>
      </c>
      <c r="M523" s="208" t="str">
        <f t="shared" si="162"/>
        <v/>
      </c>
      <c r="N523" s="608" t="str">
        <f>IF($D$3="", "", IFERROR(VLOOKUP(L523,'PIPE INCENTIVE'!$B$4:$E$19,2,FALSE),""))</f>
        <v/>
      </c>
      <c r="O523" s="608" t="str">
        <f t="shared" si="163"/>
        <v/>
      </c>
      <c r="P523" s="208" t="str">
        <f t="shared" si="164"/>
        <v/>
      </c>
      <c r="Q523" s="208" t="str">
        <f t="shared" si="151"/>
        <v/>
      </c>
      <c r="R523" s="609" t="str">
        <f t="shared" si="152"/>
        <v/>
      </c>
      <c r="S523" s="609" t="str">
        <f t="shared" si="153"/>
        <v/>
      </c>
      <c r="T523" s="609" t="str">
        <f t="shared" si="154"/>
        <v/>
      </c>
      <c r="U523" s="609" t="str" cm="1">
        <f t="array" ref="U523">IFERROR(IF($D$3="","",_xlfn.LET(_xlpm.Mixed,AND(COUNTIF($G$34:$G$533,"Heating_Hot_Water")&gt;0,(COUNTIF($G$34:$G$533,"Steam_Low_Pressure") + COUNTIF($G$34:$G$533,"Steam_Medium_Pressure") + COUNTIF($G$34:$G$533,"Steam_High_Pressure"))&gt;0),_xlpm.fluid, G523,_xlpm.fuel, K523,_xlpm.load,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3" s="609" t="str">
        <f t="shared" si="165"/>
        <v/>
      </c>
      <c r="W523" s="482"/>
      <c r="X523" s="397" t="str" cm="1">
        <f t="array" ref="X523">IFERROR(IF($D$3="","", _xlfn.XLOOKUP(1,($AR$36:$AR$53=F523)*($AS$36:$AS$53=G523), INDEX($AT$36:$BJ$53,,_xlfn.XMATCH(E523,$AT$35:$BJ$35)))),"")</f>
        <v/>
      </c>
      <c r="Y523" s="480"/>
      <c r="Z523" s="482"/>
      <c r="AA523" s="607" t="str" cm="1">
        <f t="array" ref="AA523">IFERROR(IF($D$3="", "", _xlfn.LET(_xlpm.dia, E523, _xlpm.thk, Z523, _xlpm.temp, I523,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3" s="397" t="str" cm="1">
        <f t="array" ref="AB523">IFERROR(IF($D$3="", "", _xlfn.XLOOKUP(1,($AR$57:$AR$76=Y523)*($AS$57:$AS$76=Z523), INDEX($AT$57:$BJ$76,,_xlfn.XMATCH(E523,$AT$56:$BJ$56)))),"")</f>
        <v/>
      </c>
      <c r="AC523" s="208" t="str">
        <f t="shared" si="155"/>
        <v/>
      </c>
      <c r="AD523" s="397" t="str">
        <f t="shared" si="156"/>
        <v/>
      </c>
      <c r="AE523" s="610" t="str">
        <f t="shared" si="157"/>
        <v/>
      </c>
      <c r="AF523" s="610" t="str">
        <f t="shared" si="158"/>
        <v/>
      </c>
      <c r="AG523" s="610" t="str">
        <f t="shared" si="159"/>
        <v/>
      </c>
      <c r="AH523" s="608" t="str">
        <f t="shared" si="160"/>
        <v/>
      </c>
      <c r="AI523" s="610" t="str">
        <f t="shared" si="161"/>
        <v/>
      </c>
    </row>
    <row r="524" spans="2:35" x14ac:dyDescent="0.25">
      <c r="B524" s="209">
        <v>491</v>
      </c>
      <c r="C524" s="480"/>
      <c r="D524" s="480"/>
      <c r="E524" s="481"/>
      <c r="F524" s="480"/>
      <c r="G524" s="480"/>
      <c r="H524" s="607" t="str">
        <f t="shared" si="146"/>
        <v/>
      </c>
      <c r="I524" s="607" t="str">
        <f t="shared" si="147"/>
        <v/>
      </c>
      <c r="J524" s="607" t="str">
        <f t="shared" si="148"/>
        <v/>
      </c>
      <c r="K524" s="208" t="str">
        <f t="shared" si="149"/>
        <v/>
      </c>
      <c r="L524" s="208" t="str">
        <f t="shared" si="150"/>
        <v/>
      </c>
      <c r="M524" s="208" t="str">
        <f t="shared" si="162"/>
        <v/>
      </c>
      <c r="N524" s="608" t="str">
        <f>IF($D$3="", "", IFERROR(VLOOKUP(L524,'PIPE INCENTIVE'!$B$4:$E$19,2,FALSE),""))</f>
        <v/>
      </c>
      <c r="O524" s="608" t="str">
        <f t="shared" si="163"/>
        <v/>
      </c>
      <c r="P524" s="208" t="str">
        <f t="shared" si="164"/>
        <v/>
      </c>
      <c r="Q524" s="208" t="str">
        <f t="shared" si="151"/>
        <v/>
      </c>
      <c r="R524" s="609" t="str">
        <f t="shared" si="152"/>
        <v/>
      </c>
      <c r="S524" s="609" t="str">
        <f t="shared" si="153"/>
        <v/>
      </c>
      <c r="T524" s="609" t="str">
        <f t="shared" si="154"/>
        <v/>
      </c>
      <c r="U524" s="609" t="str" cm="1">
        <f t="array" ref="U524">IFERROR(IF($D$3="","",_xlfn.LET(_xlpm.Mixed,AND(COUNTIF($G$34:$G$533,"Heating_Hot_Water")&gt;0,(COUNTIF($G$34:$G$533,"Steam_Low_Pressure") + COUNTIF($G$34:$G$533,"Steam_Medium_Pressure") + COUNTIF($G$34:$G$533,"Steam_High_Pressure"))&gt;0),_xlpm.fluid, G524,_xlpm.fuel, K524,_xlpm.load,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4" s="609" t="str">
        <f t="shared" si="165"/>
        <v/>
      </c>
      <c r="W524" s="482"/>
      <c r="X524" s="397" t="str" cm="1">
        <f t="array" ref="X524">IFERROR(IF($D$3="","", _xlfn.XLOOKUP(1,($AR$36:$AR$53=F524)*($AS$36:$AS$53=G524), INDEX($AT$36:$BJ$53,,_xlfn.XMATCH(E524,$AT$35:$BJ$35)))),"")</f>
        <v/>
      </c>
      <c r="Y524" s="480"/>
      <c r="Z524" s="482"/>
      <c r="AA524" s="607" t="str" cm="1">
        <f t="array" ref="AA524">IFERROR(IF($D$3="", "", _xlfn.LET(_xlpm.dia, E524, _xlpm.thk, Z524, _xlpm.temp, I524,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4" s="397" t="str" cm="1">
        <f t="array" ref="AB524">IFERROR(IF($D$3="", "", _xlfn.XLOOKUP(1,($AR$57:$AR$76=Y524)*($AS$57:$AS$76=Z524), INDEX($AT$57:$BJ$76,,_xlfn.XMATCH(E524,$AT$56:$BJ$56)))),"")</f>
        <v/>
      </c>
      <c r="AC524" s="208" t="str">
        <f t="shared" si="155"/>
        <v/>
      </c>
      <c r="AD524" s="397" t="str">
        <f t="shared" si="156"/>
        <v/>
      </c>
      <c r="AE524" s="610" t="str">
        <f t="shared" si="157"/>
        <v/>
      </c>
      <c r="AF524" s="610" t="str">
        <f t="shared" si="158"/>
        <v/>
      </c>
      <c r="AG524" s="610" t="str">
        <f t="shared" si="159"/>
        <v/>
      </c>
      <c r="AH524" s="608" t="str">
        <f t="shared" si="160"/>
        <v/>
      </c>
      <c r="AI524" s="610" t="str">
        <f t="shared" si="161"/>
        <v/>
      </c>
    </row>
    <row r="525" spans="2:35" x14ac:dyDescent="0.25">
      <c r="B525" s="209">
        <v>492</v>
      </c>
      <c r="C525" s="480"/>
      <c r="D525" s="480"/>
      <c r="E525" s="481"/>
      <c r="F525" s="480"/>
      <c r="G525" s="480"/>
      <c r="H525" s="607" t="str">
        <f t="shared" si="146"/>
        <v/>
      </c>
      <c r="I525" s="607" t="str">
        <f t="shared" si="147"/>
        <v/>
      </c>
      <c r="J525" s="607" t="str">
        <f t="shared" si="148"/>
        <v/>
      </c>
      <c r="K525" s="208" t="str">
        <f t="shared" si="149"/>
        <v/>
      </c>
      <c r="L525" s="208" t="str">
        <f t="shared" si="150"/>
        <v/>
      </c>
      <c r="M525" s="208" t="str">
        <f t="shared" si="162"/>
        <v/>
      </c>
      <c r="N525" s="608" t="str">
        <f>IF($D$3="", "", IFERROR(VLOOKUP(L525,'PIPE INCENTIVE'!$B$4:$E$19,2,FALSE),""))</f>
        <v/>
      </c>
      <c r="O525" s="608" t="str">
        <f t="shared" si="163"/>
        <v/>
      </c>
      <c r="P525" s="208" t="str">
        <f t="shared" si="164"/>
        <v/>
      </c>
      <c r="Q525" s="208" t="str">
        <f t="shared" si="151"/>
        <v/>
      </c>
      <c r="R525" s="609" t="str">
        <f t="shared" si="152"/>
        <v/>
      </c>
      <c r="S525" s="609" t="str">
        <f t="shared" si="153"/>
        <v/>
      </c>
      <c r="T525" s="609" t="str">
        <f t="shared" si="154"/>
        <v/>
      </c>
      <c r="U525" s="609" t="str" cm="1">
        <f t="array" ref="U525">IFERROR(IF($D$3="","",_xlfn.LET(_xlpm.Mixed,AND(COUNTIF($G$34:$G$533,"Heating_Hot_Water")&gt;0,(COUNTIF($G$34:$G$533,"Steam_Low_Pressure") + COUNTIF($G$34:$G$533,"Steam_Medium_Pressure") + COUNTIF($G$34:$G$533,"Steam_High_Pressure"))&gt;0),_xlpm.fluid, G525,_xlpm.fuel, K525,_xlpm.load,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5" s="609" t="str">
        <f t="shared" si="165"/>
        <v/>
      </c>
      <c r="W525" s="482"/>
      <c r="X525" s="397" t="str" cm="1">
        <f t="array" ref="X525">IFERROR(IF($D$3="","", _xlfn.XLOOKUP(1,($AR$36:$AR$53=F525)*($AS$36:$AS$53=G525), INDEX($AT$36:$BJ$53,,_xlfn.XMATCH(E525,$AT$35:$BJ$35)))),"")</f>
        <v/>
      </c>
      <c r="Y525" s="480"/>
      <c r="Z525" s="482"/>
      <c r="AA525" s="607" t="str" cm="1">
        <f t="array" ref="AA525">IFERROR(IF($D$3="", "", _xlfn.LET(_xlpm.dia, E525, _xlpm.thk, Z525, _xlpm.temp, I525,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5" s="397" t="str" cm="1">
        <f t="array" ref="AB525">IFERROR(IF($D$3="", "", _xlfn.XLOOKUP(1,($AR$57:$AR$76=Y525)*($AS$57:$AS$76=Z525), INDEX($AT$57:$BJ$76,,_xlfn.XMATCH(E525,$AT$56:$BJ$56)))),"")</f>
        <v/>
      </c>
      <c r="AC525" s="208" t="str">
        <f t="shared" si="155"/>
        <v/>
      </c>
      <c r="AD525" s="397" t="str">
        <f t="shared" si="156"/>
        <v/>
      </c>
      <c r="AE525" s="610" t="str">
        <f t="shared" si="157"/>
        <v/>
      </c>
      <c r="AF525" s="610" t="str">
        <f t="shared" si="158"/>
        <v/>
      </c>
      <c r="AG525" s="610" t="str">
        <f t="shared" si="159"/>
        <v/>
      </c>
      <c r="AH525" s="608" t="str">
        <f t="shared" si="160"/>
        <v/>
      </c>
      <c r="AI525" s="610" t="str">
        <f t="shared" si="161"/>
        <v/>
      </c>
    </row>
    <row r="526" spans="2:35" x14ac:dyDescent="0.25">
      <c r="B526" s="209">
        <v>493</v>
      </c>
      <c r="C526" s="480"/>
      <c r="D526" s="480"/>
      <c r="E526" s="481"/>
      <c r="F526" s="480"/>
      <c r="G526" s="480"/>
      <c r="H526" s="607" t="str">
        <f t="shared" si="146"/>
        <v/>
      </c>
      <c r="I526" s="607" t="str">
        <f t="shared" si="147"/>
        <v/>
      </c>
      <c r="J526" s="607" t="str">
        <f t="shared" si="148"/>
        <v/>
      </c>
      <c r="K526" s="208" t="str">
        <f t="shared" si="149"/>
        <v/>
      </c>
      <c r="L526" s="208" t="str">
        <f t="shared" si="150"/>
        <v/>
      </c>
      <c r="M526" s="208" t="str">
        <f t="shared" si="162"/>
        <v/>
      </c>
      <c r="N526" s="608" t="str">
        <f>IF($D$3="", "", IFERROR(VLOOKUP(L526,'PIPE INCENTIVE'!$B$4:$E$19,2,FALSE),""))</f>
        <v/>
      </c>
      <c r="O526" s="608" t="str">
        <f t="shared" si="163"/>
        <v/>
      </c>
      <c r="P526" s="208" t="str">
        <f t="shared" si="164"/>
        <v/>
      </c>
      <c r="Q526" s="208" t="str">
        <f t="shared" si="151"/>
        <v/>
      </c>
      <c r="R526" s="609" t="str">
        <f t="shared" si="152"/>
        <v/>
      </c>
      <c r="S526" s="609" t="str">
        <f t="shared" si="153"/>
        <v/>
      </c>
      <c r="T526" s="609" t="str">
        <f t="shared" si="154"/>
        <v/>
      </c>
      <c r="U526" s="609" t="str" cm="1">
        <f t="array" ref="U526">IFERROR(IF($D$3="","",_xlfn.LET(_xlpm.Mixed,AND(COUNTIF($G$34:$G$533,"Heating_Hot_Water")&gt;0,(COUNTIF($G$34:$G$533,"Steam_Low_Pressure") + COUNTIF($G$34:$G$533,"Steam_Medium_Pressure") + COUNTIF($G$34:$G$533,"Steam_High_Pressure"))&gt;0),_xlpm.fluid, G526,_xlpm.fuel, K526,_xlpm.load,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6" s="609" t="str">
        <f t="shared" si="165"/>
        <v/>
      </c>
      <c r="W526" s="482"/>
      <c r="X526" s="397" t="str" cm="1">
        <f t="array" ref="X526">IFERROR(IF($D$3="","", _xlfn.XLOOKUP(1,($AR$36:$AR$53=F526)*($AS$36:$AS$53=G526), INDEX($AT$36:$BJ$53,,_xlfn.XMATCH(E526,$AT$35:$BJ$35)))),"")</f>
        <v/>
      </c>
      <c r="Y526" s="480"/>
      <c r="Z526" s="482"/>
      <c r="AA526" s="607" t="str" cm="1">
        <f t="array" ref="AA526">IFERROR(IF($D$3="", "", _xlfn.LET(_xlpm.dia, E526, _xlpm.thk, Z526, _xlpm.temp, I526,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6" s="397" t="str" cm="1">
        <f t="array" ref="AB526">IFERROR(IF($D$3="", "", _xlfn.XLOOKUP(1,($AR$57:$AR$76=Y526)*($AS$57:$AS$76=Z526), INDEX($AT$57:$BJ$76,,_xlfn.XMATCH(E526,$AT$56:$BJ$56)))),"")</f>
        <v/>
      </c>
      <c r="AC526" s="208" t="str">
        <f t="shared" si="155"/>
        <v/>
      </c>
      <c r="AD526" s="397" t="str">
        <f t="shared" si="156"/>
        <v/>
      </c>
      <c r="AE526" s="610" t="str">
        <f t="shared" si="157"/>
        <v/>
      </c>
      <c r="AF526" s="610" t="str">
        <f t="shared" si="158"/>
        <v/>
      </c>
      <c r="AG526" s="610" t="str">
        <f t="shared" si="159"/>
        <v/>
      </c>
      <c r="AH526" s="608" t="str">
        <f t="shared" si="160"/>
        <v/>
      </c>
      <c r="AI526" s="610" t="str">
        <f t="shared" si="161"/>
        <v/>
      </c>
    </row>
    <row r="527" spans="2:35" x14ac:dyDescent="0.25">
      <c r="B527" s="209">
        <v>494</v>
      </c>
      <c r="C527" s="480"/>
      <c r="D527" s="480"/>
      <c r="E527" s="481"/>
      <c r="F527" s="480"/>
      <c r="G527" s="480"/>
      <c r="H527" s="607" t="str">
        <f t="shared" si="146"/>
        <v/>
      </c>
      <c r="I527" s="607" t="str">
        <f t="shared" si="147"/>
        <v/>
      </c>
      <c r="J527" s="607" t="str">
        <f t="shared" si="148"/>
        <v/>
      </c>
      <c r="K527" s="208" t="str">
        <f t="shared" si="149"/>
        <v/>
      </c>
      <c r="L527" s="208" t="str">
        <f t="shared" si="150"/>
        <v/>
      </c>
      <c r="M527" s="208" t="str">
        <f t="shared" si="162"/>
        <v/>
      </c>
      <c r="N527" s="608" t="str">
        <f>IF($D$3="", "", IFERROR(VLOOKUP(L527,'PIPE INCENTIVE'!$B$4:$E$19,2,FALSE),""))</f>
        <v/>
      </c>
      <c r="O527" s="608" t="str">
        <f t="shared" si="163"/>
        <v/>
      </c>
      <c r="P527" s="208" t="str">
        <f t="shared" si="164"/>
        <v/>
      </c>
      <c r="Q527" s="208" t="str">
        <f t="shared" si="151"/>
        <v/>
      </c>
      <c r="R527" s="609" t="str">
        <f t="shared" si="152"/>
        <v/>
      </c>
      <c r="S527" s="609" t="str">
        <f t="shared" si="153"/>
        <v/>
      </c>
      <c r="T527" s="609" t="str">
        <f t="shared" si="154"/>
        <v/>
      </c>
      <c r="U527" s="609" t="str" cm="1">
        <f t="array" ref="U527">IFERROR(IF($D$3="","",_xlfn.LET(_xlpm.Mixed,AND(COUNTIF($G$34:$G$533,"Heating_Hot_Water")&gt;0,(COUNTIF($G$34:$G$533,"Steam_Low_Pressure") + COUNTIF($G$34:$G$533,"Steam_Medium_Pressure") + COUNTIF($G$34:$G$533,"Steam_High_Pressure"))&gt;0),_xlpm.fluid, G527,_xlpm.fuel, K527,_xlpm.load,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7" s="609" t="str">
        <f t="shared" si="165"/>
        <v/>
      </c>
      <c r="W527" s="482"/>
      <c r="X527" s="397" t="str" cm="1">
        <f t="array" ref="X527">IFERROR(IF($D$3="","", _xlfn.XLOOKUP(1,($AR$36:$AR$53=F527)*($AS$36:$AS$53=G527), INDEX($AT$36:$BJ$53,,_xlfn.XMATCH(E527,$AT$35:$BJ$35)))),"")</f>
        <v/>
      </c>
      <c r="Y527" s="480"/>
      <c r="Z527" s="482"/>
      <c r="AA527" s="607" t="str" cm="1">
        <f t="array" ref="AA527">IFERROR(IF($D$3="", "", _xlfn.LET(_xlpm.dia, E527, _xlpm.thk, Z527, _xlpm.temp, I527,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7" s="397" t="str" cm="1">
        <f t="array" ref="AB527">IFERROR(IF($D$3="", "", _xlfn.XLOOKUP(1,($AR$57:$AR$76=Y527)*($AS$57:$AS$76=Z527), INDEX($AT$57:$BJ$76,,_xlfn.XMATCH(E527,$AT$56:$BJ$56)))),"")</f>
        <v/>
      </c>
      <c r="AC527" s="208" t="str">
        <f t="shared" si="155"/>
        <v/>
      </c>
      <c r="AD527" s="397" t="str">
        <f t="shared" si="156"/>
        <v/>
      </c>
      <c r="AE527" s="610" t="str">
        <f t="shared" si="157"/>
        <v/>
      </c>
      <c r="AF527" s="610" t="str">
        <f t="shared" si="158"/>
        <v/>
      </c>
      <c r="AG527" s="610" t="str">
        <f t="shared" si="159"/>
        <v/>
      </c>
      <c r="AH527" s="608" t="str">
        <f t="shared" si="160"/>
        <v/>
      </c>
      <c r="AI527" s="610" t="str">
        <f t="shared" si="161"/>
        <v/>
      </c>
    </row>
    <row r="528" spans="2:35" x14ac:dyDescent="0.25">
      <c r="B528" s="209">
        <v>495</v>
      </c>
      <c r="C528" s="480"/>
      <c r="D528" s="480"/>
      <c r="E528" s="481"/>
      <c r="F528" s="480"/>
      <c r="G528" s="480"/>
      <c r="H528" s="607" t="str">
        <f t="shared" si="146"/>
        <v/>
      </c>
      <c r="I528" s="607" t="str">
        <f t="shared" si="147"/>
        <v/>
      </c>
      <c r="J528" s="607" t="str">
        <f t="shared" si="148"/>
        <v/>
      </c>
      <c r="K528" s="208" t="str">
        <f t="shared" si="149"/>
        <v/>
      </c>
      <c r="L528" s="208" t="str">
        <f t="shared" si="150"/>
        <v/>
      </c>
      <c r="M528" s="208" t="str">
        <f t="shared" si="162"/>
        <v/>
      </c>
      <c r="N528" s="608" t="str">
        <f>IF($D$3="", "", IFERROR(VLOOKUP(L528,'PIPE INCENTIVE'!$B$4:$E$19,2,FALSE),""))</f>
        <v/>
      </c>
      <c r="O528" s="608" t="str">
        <f t="shared" si="163"/>
        <v/>
      </c>
      <c r="P528" s="208" t="str">
        <f t="shared" si="164"/>
        <v/>
      </c>
      <c r="Q528" s="208" t="str">
        <f t="shared" si="151"/>
        <v/>
      </c>
      <c r="R528" s="609" t="str">
        <f t="shared" si="152"/>
        <v/>
      </c>
      <c r="S528" s="609" t="str">
        <f t="shared" si="153"/>
        <v/>
      </c>
      <c r="T528" s="609" t="str">
        <f t="shared" si="154"/>
        <v/>
      </c>
      <c r="U528" s="609" t="str" cm="1">
        <f t="array" ref="U528">IFERROR(IF($D$3="","",_xlfn.LET(_xlpm.Mixed,AND(COUNTIF($G$34:$G$533,"Heating_Hot_Water")&gt;0,(COUNTIF($G$34:$G$533,"Steam_Low_Pressure") + COUNTIF($G$34:$G$533,"Steam_Medium_Pressure") + COUNTIF($G$34:$G$533,"Steam_High_Pressure"))&gt;0),_xlpm.fluid, G528,_xlpm.fuel, K528,_xlpm.load,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8" s="609" t="str">
        <f t="shared" si="165"/>
        <v/>
      </c>
      <c r="W528" s="482"/>
      <c r="X528" s="397" t="str" cm="1">
        <f t="array" ref="X528">IFERROR(IF($D$3="","", _xlfn.XLOOKUP(1,($AR$36:$AR$53=F528)*($AS$36:$AS$53=G528), INDEX($AT$36:$BJ$53,,_xlfn.XMATCH(E528,$AT$35:$BJ$35)))),"")</f>
        <v/>
      </c>
      <c r="Y528" s="480"/>
      <c r="Z528" s="482"/>
      <c r="AA528" s="607" t="str" cm="1">
        <f t="array" ref="AA528">IFERROR(IF($D$3="", "", _xlfn.LET(_xlpm.dia, E528, _xlpm.thk, Z528, _xlpm.temp, I528,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8" s="397" t="str" cm="1">
        <f t="array" ref="AB528">IFERROR(IF($D$3="", "", _xlfn.XLOOKUP(1,($AR$57:$AR$76=Y528)*($AS$57:$AS$76=Z528), INDEX($AT$57:$BJ$76,,_xlfn.XMATCH(E528,$AT$56:$BJ$56)))),"")</f>
        <v/>
      </c>
      <c r="AC528" s="208" t="str">
        <f t="shared" si="155"/>
        <v/>
      </c>
      <c r="AD528" s="397" t="str">
        <f t="shared" si="156"/>
        <v/>
      </c>
      <c r="AE528" s="610" t="str">
        <f t="shared" si="157"/>
        <v/>
      </c>
      <c r="AF528" s="610" t="str">
        <f t="shared" si="158"/>
        <v/>
      </c>
      <c r="AG528" s="610" t="str">
        <f t="shared" si="159"/>
        <v/>
      </c>
      <c r="AH528" s="608" t="str">
        <f t="shared" si="160"/>
        <v/>
      </c>
      <c r="AI528" s="610" t="str">
        <f t="shared" si="161"/>
        <v/>
      </c>
    </row>
    <row r="529" spans="2:36" x14ac:dyDescent="0.25">
      <c r="B529" s="209">
        <v>496</v>
      </c>
      <c r="C529" s="480"/>
      <c r="D529" s="480"/>
      <c r="E529" s="481"/>
      <c r="F529" s="480"/>
      <c r="G529" s="480"/>
      <c r="H529" s="607" t="str">
        <f t="shared" si="146"/>
        <v/>
      </c>
      <c r="I529" s="607" t="str">
        <f t="shared" si="147"/>
        <v/>
      </c>
      <c r="J529" s="607" t="str">
        <f t="shared" si="148"/>
        <v/>
      </c>
      <c r="K529" s="208" t="str">
        <f t="shared" si="149"/>
        <v/>
      </c>
      <c r="L529" s="208" t="str">
        <f t="shared" si="150"/>
        <v/>
      </c>
      <c r="M529" s="208" t="str">
        <f t="shared" si="162"/>
        <v/>
      </c>
      <c r="N529" s="608" t="str">
        <f>IF($D$3="", "", IFERROR(VLOOKUP(L529,'PIPE INCENTIVE'!$B$4:$E$19,2,FALSE),""))</f>
        <v/>
      </c>
      <c r="O529" s="608" t="str">
        <f t="shared" si="163"/>
        <v/>
      </c>
      <c r="P529" s="208" t="str">
        <f t="shared" si="164"/>
        <v/>
      </c>
      <c r="Q529" s="208" t="str">
        <f t="shared" si="151"/>
        <v/>
      </c>
      <c r="R529" s="609" t="str">
        <f t="shared" si="152"/>
        <v/>
      </c>
      <c r="S529" s="609" t="str">
        <f t="shared" si="153"/>
        <v/>
      </c>
      <c r="T529" s="609" t="str">
        <f t="shared" si="154"/>
        <v/>
      </c>
      <c r="U529" s="609" t="str" cm="1">
        <f t="array" ref="U529">IFERROR(IF($D$3="","",_xlfn.LET(_xlpm.Mixed,AND(COUNTIF($G$34:$G$533,"Heating_Hot_Water")&gt;0,(COUNTIF($G$34:$G$533,"Steam_Low_Pressure") + COUNTIF($G$34:$G$533,"Steam_Medium_Pressure") + COUNTIF($G$34:$G$533,"Steam_High_Pressure"))&gt;0),_xlpm.fluid, G529,_xlpm.fuel, K529,_xlpm.load,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29" s="609" t="str">
        <f t="shared" si="165"/>
        <v/>
      </c>
      <c r="W529" s="482"/>
      <c r="X529" s="397" t="str" cm="1">
        <f t="array" ref="X529">IFERROR(IF($D$3="","", _xlfn.XLOOKUP(1,($AR$36:$AR$53=F529)*($AS$36:$AS$53=G529), INDEX($AT$36:$BJ$53,,_xlfn.XMATCH(E529,$AT$35:$BJ$35)))),"")</f>
        <v/>
      </c>
      <c r="Y529" s="480"/>
      <c r="Z529" s="482"/>
      <c r="AA529" s="607" t="str" cm="1">
        <f t="array" ref="AA529">IFERROR(IF($D$3="", "", _xlfn.LET(_xlpm.dia, E529, _xlpm.thk, Z529, _xlpm.temp, I529,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29" s="397" t="str" cm="1">
        <f t="array" ref="AB529">IFERROR(IF($D$3="", "", _xlfn.XLOOKUP(1,($AR$57:$AR$76=Y529)*($AS$57:$AS$76=Z529), INDEX($AT$57:$BJ$76,,_xlfn.XMATCH(E529,$AT$56:$BJ$56)))),"")</f>
        <v/>
      </c>
      <c r="AC529" s="208" t="str">
        <f t="shared" si="155"/>
        <v/>
      </c>
      <c r="AD529" s="397" t="str">
        <f t="shared" si="156"/>
        <v/>
      </c>
      <c r="AE529" s="610" t="str">
        <f t="shared" si="157"/>
        <v/>
      </c>
      <c r="AF529" s="610" t="str">
        <f t="shared" si="158"/>
        <v/>
      </c>
      <c r="AG529" s="610" t="str">
        <f t="shared" si="159"/>
        <v/>
      </c>
      <c r="AH529" s="608" t="str">
        <f t="shared" si="160"/>
        <v/>
      </c>
      <c r="AI529" s="610" t="str">
        <f t="shared" si="161"/>
        <v/>
      </c>
    </row>
    <row r="530" spans="2:36" x14ac:dyDescent="0.25">
      <c r="B530" s="209">
        <v>497</v>
      </c>
      <c r="C530" s="480"/>
      <c r="D530" s="480"/>
      <c r="E530" s="481"/>
      <c r="F530" s="480"/>
      <c r="G530" s="480"/>
      <c r="H530" s="607" t="str">
        <f t="shared" si="146"/>
        <v/>
      </c>
      <c r="I530" s="607" t="str">
        <f t="shared" si="147"/>
        <v/>
      </c>
      <c r="J530" s="607" t="str">
        <f t="shared" si="148"/>
        <v/>
      </c>
      <c r="K530" s="208" t="str">
        <f t="shared" si="149"/>
        <v/>
      </c>
      <c r="L530" s="208" t="str">
        <f t="shared" si="150"/>
        <v/>
      </c>
      <c r="M530" s="208" t="str">
        <f t="shared" si="162"/>
        <v/>
      </c>
      <c r="N530" s="608" t="str">
        <f>IF($D$3="", "", IFERROR(VLOOKUP(L530,'PIPE INCENTIVE'!$B$4:$E$19,2,FALSE),""))</f>
        <v/>
      </c>
      <c r="O530" s="608" t="str">
        <f t="shared" si="163"/>
        <v/>
      </c>
      <c r="P530" s="208" t="str">
        <f t="shared" si="164"/>
        <v/>
      </c>
      <c r="Q530" s="208" t="str">
        <f t="shared" si="151"/>
        <v/>
      </c>
      <c r="R530" s="609" t="str">
        <f t="shared" si="152"/>
        <v/>
      </c>
      <c r="S530" s="609" t="str">
        <f t="shared" si="153"/>
        <v/>
      </c>
      <c r="T530" s="609" t="str">
        <f t="shared" si="154"/>
        <v/>
      </c>
      <c r="U530" s="609" t="str" cm="1">
        <f t="array" ref="U530">IFERROR(IF($D$3="","",_xlfn.LET(_xlpm.Mixed,AND(COUNTIF($G$34:$G$533,"Heating_Hot_Water")&gt;0,(COUNTIF($G$34:$G$533,"Steam_Low_Pressure") + COUNTIF($G$34:$G$533,"Steam_Medium_Pressure") + COUNTIF($G$34:$G$533,"Steam_High_Pressure"))&gt;0),_xlpm.fluid, G530,_xlpm.fuel, K530,_xlpm.load,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0" s="609" t="str">
        <f t="shared" si="165"/>
        <v/>
      </c>
      <c r="W530" s="482"/>
      <c r="X530" s="397" t="str" cm="1">
        <f t="array" ref="X530">IFERROR(IF($D$3="","", _xlfn.XLOOKUP(1,($AR$36:$AR$53=F530)*($AS$36:$AS$53=G530), INDEX($AT$36:$BJ$53,,_xlfn.XMATCH(E530,$AT$35:$BJ$35)))),"")</f>
        <v/>
      </c>
      <c r="Y530" s="480"/>
      <c r="Z530" s="482"/>
      <c r="AA530" s="607" t="str" cm="1">
        <f t="array" ref="AA530">IFERROR(IF($D$3="", "", _xlfn.LET(_xlpm.dia, E530, _xlpm.thk, Z530, _xlpm.temp, I530,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0" s="397" t="str" cm="1">
        <f t="array" ref="AB530">IFERROR(IF($D$3="", "", _xlfn.XLOOKUP(1,($AR$57:$AR$76=Y530)*($AS$57:$AS$76=Z530), INDEX($AT$57:$BJ$76,,_xlfn.XMATCH(E530,$AT$56:$BJ$56)))),"")</f>
        <v/>
      </c>
      <c r="AC530" s="208" t="str">
        <f t="shared" si="155"/>
        <v/>
      </c>
      <c r="AD530" s="397" t="str">
        <f t="shared" si="156"/>
        <v/>
      </c>
      <c r="AE530" s="610" t="str">
        <f t="shared" si="157"/>
        <v/>
      </c>
      <c r="AF530" s="610" t="str">
        <f t="shared" si="158"/>
        <v/>
      </c>
      <c r="AG530" s="610" t="str">
        <f t="shared" si="159"/>
        <v/>
      </c>
      <c r="AH530" s="608" t="str">
        <f t="shared" si="160"/>
        <v/>
      </c>
      <c r="AI530" s="610" t="str">
        <f t="shared" si="161"/>
        <v/>
      </c>
    </row>
    <row r="531" spans="2:36" x14ac:dyDescent="0.25">
      <c r="B531" s="209">
        <v>498</v>
      </c>
      <c r="C531" s="480"/>
      <c r="D531" s="480"/>
      <c r="E531" s="481"/>
      <c r="F531" s="480"/>
      <c r="G531" s="480"/>
      <c r="H531" s="607" t="str">
        <f t="shared" si="146"/>
        <v/>
      </c>
      <c r="I531" s="607" t="str">
        <f t="shared" si="147"/>
        <v/>
      </c>
      <c r="J531" s="607" t="str">
        <f t="shared" si="148"/>
        <v/>
      </c>
      <c r="K531" s="208" t="str">
        <f t="shared" si="149"/>
        <v/>
      </c>
      <c r="L531" s="208" t="str">
        <f t="shared" si="150"/>
        <v/>
      </c>
      <c r="M531" s="208" t="str">
        <f t="shared" si="162"/>
        <v/>
      </c>
      <c r="N531" s="608" t="str">
        <f>IF($D$3="", "", IFERROR(VLOOKUP(L531,'PIPE INCENTIVE'!$B$4:$E$19,2,FALSE),""))</f>
        <v/>
      </c>
      <c r="O531" s="608" t="str">
        <f t="shared" si="163"/>
        <v/>
      </c>
      <c r="P531" s="208" t="str">
        <f t="shared" si="164"/>
        <v/>
      </c>
      <c r="Q531" s="208" t="str">
        <f t="shared" si="151"/>
        <v/>
      </c>
      <c r="R531" s="609" t="str">
        <f t="shared" si="152"/>
        <v/>
      </c>
      <c r="S531" s="609" t="str">
        <f t="shared" si="153"/>
        <v/>
      </c>
      <c r="T531" s="609" t="str">
        <f t="shared" si="154"/>
        <v/>
      </c>
      <c r="U531" s="609" t="str" cm="1">
        <f t="array" ref="U531">IFERROR(IF($D$3="","",_xlfn.LET(_xlpm.Mixed,AND(COUNTIF($G$34:$G$533,"Heating_Hot_Water")&gt;0,(COUNTIF($G$34:$G$533,"Steam_Low_Pressure") + COUNTIF($G$34:$G$533,"Steam_Medium_Pressure") + COUNTIF($G$34:$G$533,"Steam_High_Pressure"))&gt;0),_xlpm.fluid, G531,_xlpm.fuel, K531,_xlpm.load,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1" s="609" t="str">
        <f t="shared" si="165"/>
        <v/>
      </c>
      <c r="W531" s="482"/>
      <c r="X531" s="397" t="str" cm="1">
        <f t="array" ref="X531">IFERROR(IF($D$3="","", _xlfn.XLOOKUP(1,($AR$36:$AR$53=F531)*($AS$36:$AS$53=G531), INDEX($AT$36:$BJ$53,,_xlfn.XMATCH(E531,$AT$35:$BJ$35)))),"")</f>
        <v/>
      </c>
      <c r="Y531" s="480"/>
      <c r="Z531" s="482"/>
      <c r="AA531" s="607" t="str" cm="1">
        <f t="array" ref="AA531">IFERROR(IF($D$3="", "", _xlfn.LET(_xlpm.dia, E531, _xlpm.thk, Z531, _xlpm.temp, I531,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1" s="397" t="str" cm="1">
        <f t="array" ref="AB531">IFERROR(IF($D$3="", "", _xlfn.XLOOKUP(1,($AR$57:$AR$76=Y531)*($AS$57:$AS$76=Z531), INDEX($AT$57:$BJ$76,,_xlfn.XMATCH(E531,$AT$56:$BJ$56)))),"")</f>
        <v/>
      </c>
      <c r="AC531" s="208" t="str">
        <f t="shared" si="155"/>
        <v/>
      </c>
      <c r="AD531" s="397" t="str">
        <f t="shared" si="156"/>
        <v/>
      </c>
      <c r="AE531" s="610" t="str">
        <f t="shared" si="157"/>
        <v/>
      </c>
      <c r="AF531" s="610" t="str">
        <f t="shared" si="158"/>
        <v/>
      </c>
      <c r="AG531" s="610" t="str">
        <f t="shared" si="159"/>
        <v/>
      </c>
      <c r="AH531" s="608" t="str">
        <f t="shared" si="160"/>
        <v/>
      </c>
      <c r="AI531" s="610" t="str">
        <f t="shared" si="161"/>
        <v/>
      </c>
    </row>
    <row r="532" spans="2:36" x14ac:dyDescent="0.25">
      <c r="B532" s="209">
        <v>499</v>
      </c>
      <c r="C532" s="480"/>
      <c r="D532" s="480"/>
      <c r="E532" s="481"/>
      <c r="F532" s="480"/>
      <c r="G532" s="480"/>
      <c r="H532" s="607" t="str">
        <f t="shared" si="146"/>
        <v/>
      </c>
      <c r="I532" s="607" t="str">
        <f t="shared" si="147"/>
        <v/>
      </c>
      <c r="J532" s="607" t="str">
        <f t="shared" si="148"/>
        <v/>
      </c>
      <c r="K532" s="208" t="str">
        <f t="shared" si="149"/>
        <v/>
      </c>
      <c r="L532" s="208" t="str">
        <f t="shared" si="150"/>
        <v/>
      </c>
      <c r="M532" s="208" t="str">
        <f t="shared" si="162"/>
        <v/>
      </c>
      <c r="N532" s="608" t="str">
        <f>IF($D$3="", "", IFERROR(VLOOKUP(L532,'PIPE INCENTIVE'!$B$4:$E$19,2,FALSE),""))</f>
        <v/>
      </c>
      <c r="O532" s="608" t="str">
        <f t="shared" si="163"/>
        <v/>
      </c>
      <c r="P532" s="208" t="str">
        <f t="shared" si="164"/>
        <v/>
      </c>
      <c r="Q532" s="208" t="str">
        <f t="shared" si="151"/>
        <v/>
      </c>
      <c r="R532" s="609" t="str">
        <f t="shared" si="152"/>
        <v/>
      </c>
      <c r="S532" s="609" t="str">
        <f t="shared" si="153"/>
        <v/>
      </c>
      <c r="T532" s="609" t="str">
        <f t="shared" si="154"/>
        <v/>
      </c>
      <c r="U532" s="609" t="str" cm="1">
        <f t="array" ref="U532">IFERROR(IF($D$3="","",_xlfn.LET(_xlpm.Mixed,AND(COUNTIF($G$34:$G$533,"Heating_Hot_Water")&gt;0,(COUNTIF($G$34:$G$533,"Steam_Low_Pressure") + COUNTIF($G$34:$G$533,"Steam_Medium_Pressure") + COUNTIF($G$34:$G$533,"Steam_High_Pressure"))&gt;0),_xlpm.fluid, G532,_xlpm.fuel, K532,_xlpm.load,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2" s="609" t="str">
        <f t="shared" si="165"/>
        <v/>
      </c>
      <c r="W532" s="482"/>
      <c r="X532" s="397" t="str" cm="1">
        <f t="array" ref="X532">IFERROR(IF($D$3="","", _xlfn.XLOOKUP(1,($AR$36:$AR$53=F532)*($AS$36:$AS$53=G532), INDEX($AT$36:$BJ$53,,_xlfn.XMATCH(E532,$AT$35:$BJ$35)))),"")</f>
        <v/>
      </c>
      <c r="Y532" s="480"/>
      <c r="Z532" s="482"/>
      <c r="AA532" s="607" t="str" cm="1">
        <f t="array" ref="AA532">IFERROR(IF($D$3="", "", _xlfn.LET(_xlpm.dia, E532, _xlpm.thk, Z532, _xlpm.temp, I532,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2" s="397" t="str" cm="1">
        <f t="array" ref="AB532">IFERROR(IF($D$3="", "", _xlfn.XLOOKUP(1,($AR$57:$AR$76=Y532)*($AS$57:$AS$76=Z532), INDEX($AT$57:$BJ$76,,_xlfn.XMATCH(E532,$AT$56:$BJ$56)))),"")</f>
        <v/>
      </c>
      <c r="AC532" s="208" t="str">
        <f t="shared" si="155"/>
        <v/>
      </c>
      <c r="AD532" s="397" t="str">
        <f t="shared" si="156"/>
        <v/>
      </c>
      <c r="AE532" s="610" t="str">
        <f t="shared" si="157"/>
        <v/>
      </c>
      <c r="AF532" s="610" t="str">
        <f t="shared" si="158"/>
        <v/>
      </c>
      <c r="AG532" s="610" t="str">
        <f t="shared" si="159"/>
        <v/>
      </c>
      <c r="AH532" s="608" t="str">
        <f t="shared" si="160"/>
        <v/>
      </c>
      <c r="AI532" s="610" t="str">
        <f t="shared" si="161"/>
        <v/>
      </c>
    </row>
    <row r="533" spans="2:36" x14ac:dyDescent="0.25">
      <c r="B533" s="209">
        <v>500</v>
      </c>
      <c r="C533" s="480"/>
      <c r="D533" s="480"/>
      <c r="E533" s="481"/>
      <c r="F533" s="480"/>
      <c r="G533" s="480"/>
      <c r="H533" s="607" t="str">
        <f t="shared" si="146"/>
        <v/>
      </c>
      <c r="I533" s="607" t="str">
        <f t="shared" si="147"/>
        <v/>
      </c>
      <c r="J533" s="607" t="str">
        <f t="shared" si="148"/>
        <v/>
      </c>
      <c r="K533" s="208" t="str">
        <f t="shared" si="149"/>
        <v/>
      </c>
      <c r="L533" s="208" t="str">
        <f t="shared" si="150"/>
        <v/>
      </c>
      <c r="M533" s="208" t="str">
        <f t="shared" si="162"/>
        <v/>
      </c>
      <c r="N533" s="608" t="str">
        <f>IF($D$3="", "", IFERROR(VLOOKUP(L533,'PIPE INCENTIVE'!$B$4:$E$19,2,FALSE),""))</f>
        <v/>
      </c>
      <c r="O533" s="608" t="str">
        <f t="shared" si="163"/>
        <v/>
      </c>
      <c r="P533" s="208" t="str">
        <f t="shared" si="164"/>
        <v/>
      </c>
      <c r="Q533" s="208" t="str">
        <f t="shared" si="151"/>
        <v/>
      </c>
      <c r="R533" s="609" t="str">
        <f t="shared" si="152"/>
        <v/>
      </c>
      <c r="S533" s="609" t="str">
        <f t="shared" si="153"/>
        <v/>
      </c>
      <c r="T533" s="609" t="str">
        <f t="shared" si="154"/>
        <v/>
      </c>
      <c r="U533" s="609" t="str" cm="1">
        <f t="array" ref="U533">IFERROR(IF($D$3="","",_xlfn.LET(_xlpm.Mixed,AND(COUNTIF($G$34:$G$533,"Heating_Hot_Water")&gt;0,(COUNTIF($G$34:$G$533,"Steam_Low_Pressure") + COUNTIF($G$34:$G$533,"Steam_Medium_Pressure") + COUNTIF($G$34:$G$533,"Steam_High_Pressure"))&gt;0),_xlpm.fluid, G533,_xlpm.fuel, K533,_xlpm.load, $D$19,_xlpm.fluidKey,IF(OR(_xlpm.fluid="Steam_Condensate",_xlpm.fluid="Steam_Low_Pressure",_xlpm.fluid="Steam_Medium_Pressure",_xlpm.fluid="Steam_High_Pressure"),"Steam", _xlpm.fluid),IF(_xlpm.fluid="Domestic_Hot_Water",0.8,IF(OR(_xlpm.fuel="CoolingSupplyFossil",_xlpm.fuel="CoolingReturnFossil",_xlpm.fuel="CoolingSupplyElectric",_xlpm.fuel="CoolingReturnElectric"),_xlfn.XLOOKUP(_xlpm.fuel, $AR$102:$AR$107, $AS$102:$AS$107),_xlfn.XLOOKUP(1,($AR$93:$AR$100 = IF(_xlpm.Mixed, "Steam", _xlpm.fluidKey)) * (_xlpm.load &gt;= $AS$93:$AS$100) * (_xlpm.load &lt;= $AT$93:$AT$100), AU$93:$AU$100))))),"")</f>
        <v/>
      </c>
      <c r="V533" s="609" t="str">
        <f t="shared" si="165"/>
        <v/>
      </c>
      <c r="W533" s="482"/>
      <c r="X533" s="397" t="str" cm="1">
        <f t="array" ref="X533">IFERROR(IF($D$3="","", _xlfn.XLOOKUP(1,($AR$36:$AR$53=F533)*($AS$36:$AS$53=G533), INDEX($AT$36:$BJ$53,,_xlfn.XMATCH(E533,$AT$35:$BJ$35)))),"")</f>
        <v/>
      </c>
      <c r="Y533" s="480"/>
      <c r="Z533" s="482"/>
      <c r="AA533" s="607" t="str" cm="1">
        <f t="array" ref="AA533">IFERROR(IF($D$3="", "", _xlfn.LET(_xlpm.dia, E533, _xlpm.thk, Z533, _xlpm.temp, I533, _xlpm.mn, 'PIPE CODE'!$B$5:$B$11, _xlpm.mx, 'PIPE CODE'!$C$5:$C$11, _xlpm.reqTbl, 'PIPE CODE'!$F$5:$J$11, _xlpm.r, _xlfn.XMATCH(1, (_xlpm.temp&gt;=_xlpm.mn)*(_xlpm.temp&lt;=_xlpm.mx), 0), _xlpm.c, 1 + (_xlpm.dia&gt;=1) + (_xlpm.dia&gt;=1.5) + (_xlpm.dia&gt;=4) + (_xlpm.dia&gt;=8), _xlpm.req, INDEX(_xlpm.reqTbl, _xlpm.r, _xlpm.c), IF(OR(_xlpm.dia="",_xlpm.thk="",_xlpm.temp=""),"", IF(_xlpm.thk&gt;=_xlpm.req,"Yes","No")))),"")</f>
        <v/>
      </c>
      <c r="AB533" s="397" t="str" cm="1">
        <f t="array" ref="AB533">IFERROR(IF($D$3="", "", _xlfn.XLOOKUP(1,($AR$57:$AR$76=Y533)*($AS$57:$AS$76=Z533), INDEX($AT$57:$BJ$76,,_xlfn.XMATCH(E533,$AT$56:$BJ$56)))),"")</f>
        <v/>
      </c>
      <c r="AC533" s="208" t="str">
        <f t="shared" si="155"/>
        <v/>
      </c>
      <c r="AD533" s="397" t="str">
        <f t="shared" si="156"/>
        <v/>
      </c>
      <c r="AE533" s="610" t="str">
        <f t="shared" si="157"/>
        <v/>
      </c>
      <c r="AF533" s="610" t="str">
        <f t="shared" si="158"/>
        <v/>
      </c>
      <c r="AG533" s="610" t="str">
        <f t="shared" si="159"/>
        <v/>
      </c>
      <c r="AH533" s="608" t="str">
        <f t="shared" si="160"/>
        <v/>
      </c>
      <c r="AI533" s="610" t="str">
        <f t="shared" si="161"/>
        <v/>
      </c>
    </row>
    <row r="534" spans="2:36" x14ac:dyDescent="0.25">
      <c r="AB534" s="604" t="s">
        <v>327</v>
      </c>
      <c r="AC534" s="698">
        <f t="shared" ref="AC534:AH534" si="166">SUMIF($AA$34:$AA$533,"&lt;&gt;No",AC34:AC533)</f>
        <v>0</v>
      </c>
      <c r="AD534" s="699">
        <f t="shared" si="166"/>
        <v>0</v>
      </c>
      <c r="AE534" s="700">
        <f t="shared" si="166"/>
        <v>0</v>
      </c>
      <c r="AF534" s="700">
        <f t="shared" si="166"/>
        <v>0</v>
      </c>
      <c r="AG534" s="700">
        <f t="shared" si="166"/>
        <v>0</v>
      </c>
      <c r="AH534" s="701">
        <f t="shared" si="166"/>
        <v>0</v>
      </c>
      <c r="AI534" s="699">
        <f>SUMIF($AA$34:$AA$533,"&lt;&gt;No",AI34:AI533)</f>
        <v>0</v>
      </c>
    </row>
    <row r="536" spans="2:36" x14ac:dyDescent="0.25">
      <c r="B536" s="702" t="s">
        <v>328</v>
      </c>
      <c r="C536" s="702"/>
      <c r="AE536" s="703"/>
      <c r="AG536" s="703"/>
      <c r="AJ536" s="593"/>
    </row>
    <row r="548" spans="2:4" x14ac:dyDescent="0.25">
      <c r="B548" s="1"/>
      <c r="C548" s="1"/>
      <c r="D548" s="704"/>
    </row>
  </sheetData>
  <sheetProtection algorithmName="SHA-512" hashValue="lESI3rww98k33h5ZwWPmP9g6rDrU9ka5TtYvSPyxFjZSHaDGB14GesqOSebHNLJuZYIGFHOlsPkE2RYQ9FPgZQ==" saltValue="DK2FQTP/LRFDkx2JspSbtw==" spinCount="100000" sheet="1" selectLockedCells="1"/>
  <dataConsolidate/>
  <mergeCells count="7">
    <mergeCell ref="AC2:AG2"/>
    <mergeCell ref="AC3:AG16"/>
    <mergeCell ref="F15:G15"/>
    <mergeCell ref="F28:G28"/>
    <mergeCell ref="R32:S32"/>
    <mergeCell ref="Y32:AB32"/>
    <mergeCell ref="AC32:AI32"/>
  </mergeCells>
  <conditionalFormatting sqref="B22:C23">
    <cfRule type="expression" dxfId="168" priority="17">
      <formula>$D$21="Yes"</formula>
    </cfRule>
  </conditionalFormatting>
  <conditionalFormatting sqref="B22:D22">
    <cfRule type="expression" dxfId="167" priority="22">
      <formula>$D$21=""</formula>
    </cfRule>
    <cfRule type="expression" dxfId="166" priority="23">
      <formula>$D$21="No"</formula>
    </cfRule>
  </conditionalFormatting>
  <conditionalFormatting sqref="B23:D23">
    <cfRule type="expression" dxfId="165" priority="18">
      <formula>$D$21=""</formula>
    </cfRule>
    <cfRule type="expression" dxfId="164" priority="19">
      <formula>$D$21="No"</formula>
    </cfRule>
  </conditionalFormatting>
  <conditionalFormatting sqref="B29:D31">
    <cfRule type="expression" dxfId="163" priority="6">
      <formula>$D$3=""</formula>
    </cfRule>
  </conditionalFormatting>
  <conditionalFormatting sqref="D4">
    <cfRule type="expression" dxfId="162" priority="5">
      <formula>$D$4="NOT A VALID NYS ZIP CODE"</formula>
    </cfRule>
  </conditionalFormatting>
  <conditionalFormatting sqref="D5">
    <cfRule type="expression" dxfId="161" priority="4">
      <formula>$D$5="NOT A VALID NYS ZIP CODE"</formula>
    </cfRule>
  </conditionalFormatting>
  <conditionalFormatting sqref="D27">
    <cfRule type="expression" dxfId="160" priority="15">
      <formula>$D$27=0</formula>
    </cfRule>
  </conditionalFormatting>
  <conditionalFormatting sqref="D29">
    <cfRule type="expression" dxfId="159" priority="12">
      <formula>$D$29="Check Your Inputs for Heating/Cooling/DHW Energy"</formula>
    </cfRule>
  </conditionalFormatting>
  <conditionalFormatting sqref="D30">
    <cfRule type="expression" dxfId="158" priority="11">
      <formula>$D$30="Check Your Inputs for Heating/Cooling/DHW Energy"</formula>
    </cfRule>
  </conditionalFormatting>
  <conditionalFormatting sqref="D31">
    <cfRule type="expression" dxfId="157" priority="16">
      <formula>$D$31=0</formula>
    </cfRule>
  </conditionalFormatting>
  <conditionalFormatting sqref="F28:G31">
    <cfRule type="expression" dxfId="156" priority="7">
      <formula>$D$3=""</formula>
    </cfRule>
  </conditionalFormatting>
  <conditionalFormatting sqref="F25:N26">
    <cfRule type="expression" dxfId="155" priority="1">
      <formula>$D$2=""</formula>
    </cfRule>
  </conditionalFormatting>
  <conditionalFormatting sqref="F15:W21">
    <cfRule type="expression" dxfId="154" priority="8">
      <formula>$D$3=""</formula>
    </cfRule>
  </conditionalFormatting>
  <conditionalFormatting sqref="Y20:Z20">
    <cfRule type="expression" dxfId="153" priority="10">
      <formula>$G$20=""</formula>
    </cfRule>
  </conditionalFormatting>
  <conditionalFormatting sqref="Y21:Z21">
    <cfRule type="expression" dxfId="152" priority="9">
      <formula>$G$21=""</formula>
    </cfRule>
  </conditionalFormatting>
  <conditionalFormatting sqref="AA34:AA533">
    <cfRule type="cellIs" dxfId="151" priority="20" operator="equal">
      <formula>"No"</formula>
    </cfRule>
    <cfRule type="expression" dxfId="150" priority="21">
      <formula>"No"</formula>
    </cfRule>
  </conditionalFormatting>
  <conditionalFormatting sqref="AB34:AI533">
    <cfRule type="expression" dxfId="149" priority="2">
      <formula>$AA34="No"</formula>
    </cfRule>
  </conditionalFormatting>
  <conditionalFormatting sqref="AN123">
    <cfRule type="expression" dxfId="148" priority="14">
      <formula>$AN$123="Error"</formula>
    </cfRule>
  </conditionalFormatting>
  <conditionalFormatting sqref="AN127">
    <cfRule type="expression" dxfId="147" priority="13">
      <formula>$AN$127="Error"</formula>
    </cfRule>
  </conditionalFormatting>
  <dataValidations count="15">
    <dataValidation type="list" allowBlank="1" showInputMessage="1" showErrorMessage="1" sqref="D7" xr:uid="{4774EB90-7111-4E03-8742-4F3ECA0B503D}">
      <formula1>$AO$47:$AO$48</formula1>
    </dataValidation>
    <dataValidation type="list" allowBlank="1" showInputMessage="1" showErrorMessage="1" sqref="D13" xr:uid="{5A40CD95-BCEE-42A4-80F9-8F04006E8B64}">
      <formula1>$AM$116:$AM$117</formula1>
    </dataValidation>
    <dataValidation type="list" allowBlank="1" showInputMessage="1" showErrorMessage="1" sqref="E34:E533" xr:uid="{AE52B9DF-9A40-4073-9AED-E0B584D21101}">
      <formula1>$AT$35:$BJ$35</formula1>
    </dataValidation>
    <dataValidation type="list" allowBlank="1" showInputMessage="1" showErrorMessage="1" sqref="D17" xr:uid="{F74E2CF1-5132-4E00-B04B-B10D2C19E7E3}">
      <formula1>$AS$125:$AS$130</formula1>
    </dataValidation>
    <dataValidation type="list" allowBlank="1" showInputMessage="1" showErrorMessage="1" sqref="D16" xr:uid="{BD099FE6-8537-4FEF-B6C8-0A9DB891CA59}">
      <formula1>$AS$118:$AS$121</formula1>
    </dataValidation>
    <dataValidation type="list" allowBlank="1" showInputMessage="1" showErrorMessage="1" sqref="D15" xr:uid="{E3A1FDB5-8F36-451E-A549-D5D1320E7A5C}">
      <formula1>$AS$110:$AS$115</formula1>
    </dataValidation>
    <dataValidation type="list" allowBlank="1" showInputMessage="1" showErrorMessage="1" sqref="D15" xr:uid="{E91DE622-10D2-4F9A-9325-F14AA2A187BA}">
      <formula1>$AS$110:$AS$114</formula1>
    </dataValidation>
    <dataValidation type="list" allowBlank="1" showInputMessage="1" showErrorMessage="1" sqref="Z34:Z533" xr:uid="{74C4164B-A672-45C9-8C20-29B32A911162}">
      <formula1>$AS$57:$AS$72</formula1>
    </dataValidation>
    <dataValidation type="list" allowBlank="1" showInputMessage="1" showErrorMessage="1" sqref="Y34:Y533" xr:uid="{17AC8022-C1CB-405C-816A-E41395831F8D}">
      <formula1>$AM$44:$AM$45</formula1>
    </dataValidation>
    <dataValidation type="list" allowBlank="1" showInputMessage="1" showErrorMessage="1" sqref="D14" xr:uid="{A9B32342-35EC-4E28-8DFC-862BAB416AFA}">
      <formula1>INDIRECT(IF(D13="Multifamily_Low_Rise","Multifamily_Low_Rise", IF(D13="Multifamily_High_Rise","Multifamily_High_Rise",IF(D13="Small_Commercial","Small_Commercial", IF(D13="Large_Commercial","Large_Commercial","") ))))</formula1>
    </dataValidation>
    <dataValidation type="list" allowBlank="1" showInputMessage="1" showErrorMessage="1" sqref="D18" xr:uid="{9520A5F0-972C-412E-9EFC-4D139DCCF934}">
      <formula1>"Heating Season Only, All Year"</formula1>
    </dataValidation>
    <dataValidation type="list" allowBlank="1" showInputMessage="1" showErrorMessage="1" sqref="D21" xr:uid="{4688F8DB-799C-48D8-BA7C-20AF1768C908}">
      <formula1>"Yes, No"</formula1>
    </dataValidation>
    <dataValidation type="list" allowBlank="1" showInputMessage="1" showErrorMessage="1" sqref="F34:F533" xr:uid="{A96F20A2-F3C8-4D33-8136-08E902C2E1F1}">
      <formula1>$AM$35:$AM$37</formula1>
    </dataValidation>
    <dataValidation type="list" allowBlank="1" showInputMessage="1" showErrorMessage="1" sqref="G34:G533" xr:uid="{3ADCC1A2-F9F8-42CE-A20D-FB310E7AAC3C}">
      <formula1>INDIRECT(IF(F34="Bare_Copper","Bare_Copper", IF(F34="Bare_Steel","Bare_Steel",IF(F34="Bare_CPVC_PEX","Bare_CPVC_PEX",""))))</formula1>
    </dataValidation>
    <dataValidation type="list" allowBlank="1" showInputMessage="1" showErrorMessage="1" sqref="G34:G533" xr:uid="{EBA7B207-1784-4E38-94CE-318B2FA8459C}">
      <formula1>INDIRECT(IF(F35="Bare_Copper","Bare_Copper", IF(F35="Bare_Steel","Bare_Steel",IF(F35="Bare_CPVC_PEX","Bare_CPVC_PEX",""))))=INDIRECT(IF(F35="Bare_Copper","Bare_Copper", IF(F35="Bare_Steel","Bare_Steel",IF(F35="Bare_CPVC_PEX","Bare_CPVC_PEX",""))))</formula1>
    </dataValidation>
  </dataValidations>
  <hyperlinks>
    <hyperlink ref="D10" r:id="rId1" display="https://www.nyserda.ny.gov/ny/disadvantaged-communities" xr:uid="{5C415551-1F1C-42C3-98BF-72D011D414B2}"/>
  </hyperlinks>
  <pageMargins left="0.7" right="0.7" top="0.75" bottom="0.75" header="0.3" footer="0.3"/>
  <pageSetup scale="44" fitToHeight="10" orientation="landscape" r:id="rId2"/>
  <headerFooter>
    <oddFooter>&amp;LPIPE INSULATION&amp;R&amp;P</oddFooter>
  </headerFooter>
  <colBreaks count="1" manualBreakCount="1">
    <brk id="35" max="1048575" man="1"/>
  </col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B1:AU84"/>
  <sheetViews>
    <sheetView zoomScaleNormal="100" workbookViewId="0">
      <selection activeCell="D9" sqref="D9"/>
    </sheetView>
  </sheetViews>
  <sheetFormatPr defaultColWidth="9.140625" defaultRowHeight="15" x14ac:dyDescent="0.25"/>
  <cols>
    <col min="1" max="1" width="4.140625" style="1" customWidth="1"/>
    <col min="2" max="2" width="6.42578125" style="1" customWidth="1"/>
    <col min="3" max="3" width="45.42578125" style="1" customWidth="1"/>
    <col min="4" max="4" width="39.7109375" style="81" customWidth="1"/>
    <col min="5" max="5" width="27.140625" style="143" customWidth="1"/>
    <col min="6" max="6" width="35.7109375" style="143" customWidth="1"/>
    <col min="7" max="7" width="14" style="63" customWidth="1"/>
    <col min="8" max="8" width="18.85546875" style="63" customWidth="1"/>
    <col min="9" max="9" width="19.28515625" style="63" customWidth="1"/>
    <col min="10" max="10" width="17.5703125" style="63" hidden="1" customWidth="1"/>
    <col min="11" max="11" width="7" style="63" hidden="1" customWidth="1"/>
    <col min="12" max="12" width="7.5703125" style="63" hidden="1" customWidth="1"/>
    <col min="13" max="13" width="12" style="63" hidden="1" customWidth="1"/>
    <col min="14" max="14" width="7.7109375" style="63" hidden="1" customWidth="1"/>
    <col min="15" max="15" width="18.7109375" style="63" hidden="1" customWidth="1"/>
    <col min="16" max="16" width="22.5703125" style="63" hidden="1" customWidth="1"/>
    <col min="17" max="17" width="11.5703125" style="63" hidden="1" customWidth="1"/>
    <col min="18" max="18" width="12.42578125" style="63" hidden="1" customWidth="1"/>
    <col min="19" max="19" width="10" style="63" hidden="1" customWidth="1"/>
    <col min="20" max="20" width="8.42578125" style="63" bestFit="1" customWidth="1"/>
    <col min="21" max="21" width="13.85546875" style="63" customWidth="1"/>
    <col min="22" max="22" width="12.7109375" style="63" customWidth="1"/>
    <col min="23" max="23" width="13" style="63" customWidth="1"/>
    <col min="24" max="24" width="12.5703125" style="63" customWidth="1"/>
    <col min="25" max="25" width="14.28515625" style="63" customWidth="1"/>
    <col min="26" max="26" width="10" style="63" customWidth="1"/>
    <col min="27" max="27" width="13" style="63" hidden="1" customWidth="1"/>
    <col min="28" max="28" width="10" style="63" hidden="1" customWidth="1"/>
    <col min="29" max="29" width="11.5703125" style="63" hidden="1" customWidth="1"/>
    <col min="30" max="30" width="13.140625" style="63" hidden="1" customWidth="1"/>
    <col min="31" max="32" width="11.5703125" style="63" hidden="1" customWidth="1"/>
    <col min="33" max="33" width="12.7109375" style="63" hidden="1" customWidth="1"/>
    <col min="34" max="34" width="17.7109375" style="1" hidden="1" customWidth="1"/>
    <col min="35" max="35" width="11.140625" style="1" hidden="1" customWidth="1"/>
    <col min="36" max="36" width="11.5703125" style="1" hidden="1" customWidth="1"/>
    <col min="37" max="37" width="15.42578125" style="1" hidden="1" customWidth="1"/>
    <col min="38" max="38" width="17.42578125" style="1" hidden="1" customWidth="1"/>
    <col min="39" max="40" width="16.140625" style="1" hidden="1" customWidth="1"/>
    <col min="41" max="41" width="7.85546875" style="1" hidden="1" customWidth="1"/>
    <col min="42" max="42" width="17.7109375" style="1" customWidth="1"/>
    <col min="43" max="43" width="33.28515625" style="1" bestFit="1" customWidth="1"/>
    <col min="44" max="44" width="32.7109375" style="1" bestFit="1" customWidth="1"/>
    <col min="45" max="45" width="13.85546875" style="1" bestFit="1" customWidth="1"/>
    <col min="46" max="46" width="15.7109375" style="1" customWidth="1"/>
    <col min="47" max="47" width="14.85546875" style="1" bestFit="1" customWidth="1"/>
    <col min="48" max="48" width="16.140625" style="1" bestFit="1" customWidth="1"/>
    <col min="49" max="49" width="31.28515625" style="1" bestFit="1" customWidth="1"/>
    <col min="50" max="16384" width="9.140625" style="1"/>
  </cols>
  <sheetData>
    <row r="1" spans="3:47" ht="15.75" thickBot="1" x14ac:dyDescent="0.3"/>
    <row r="2" spans="3:47" ht="15" customHeight="1" thickBot="1" x14ac:dyDescent="0.4">
      <c r="C2" s="113" t="s">
        <v>93</v>
      </c>
      <c r="D2" s="121" t="str">
        <f>IF('App Cust Info'!$K$18="","","ROOF/ATTIC/CEILING INSULATION")</f>
        <v/>
      </c>
      <c r="F2" s="954" t="s">
        <v>94</v>
      </c>
      <c r="G2" s="955"/>
      <c r="H2" s="955"/>
      <c r="I2" s="956"/>
      <c r="U2" s="980" t="s">
        <v>329</v>
      </c>
      <c r="V2" s="981"/>
      <c r="W2" s="201" t="s">
        <v>330</v>
      </c>
      <c r="AH2" s="71" t="s">
        <v>331</v>
      </c>
      <c r="AI2" s="114" t="str">
        <f>IFERROR(IF('App Cust Info'!$K$18="", "", IFERROR(VLOOKUP('App Cust Info'!$K$18,'Zip Lookup'!$B$6:$G$2214,2,FALSE),"ZIP ERROR")),"")</f>
        <v/>
      </c>
      <c r="AL2" s="71" t="s">
        <v>332</v>
      </c>
      <c r="AN2" s="77" t="s">
        <v>333</v>
      </c>
      <c r="AO2" s="410">
        <f>IFERROR(IF($D$10=$AL$3, 1, 0),"")</f>
        <v>0</v>
      </c>
      <c r="AP2" s="382"/>
      <c r="AQ2" s="382"/>
      <c r="AR2" s="382"/>
      <c r="AS2" s="382"/>
      <c r="AT2" s="382"/>
      <c r="AU2" s="382"/>
    </row>
    <row r="3" spans="3:47" ht="15" customHeight="1" x14ac:dyDescent="0.35">
      <c r="C3" s="112" t="s">
        <v>334</v>
      </c>
      <c r="D3" s="111" t="str">
        <f>IFERROR(IF('App Cust Info'!$K$18="", "", 'App Cust Info'!$K$18), "ZIP Code Not Entered Correctly")</f>
        <v/>
      </c>
      <c r="F3" s="986"/>
      <c r="G3" s="987"/>
      <c r="H3" s="987"/>
      <c r="I3" s="988"/>
      <c r="U3" s="119" t="s">
        <v>335</v>
      </c>
      <c r="V3" s="215">
        <f>IF($C$25&lt;&gt;"", "", IFERROR($V$78,""))</f>
        <v>0</v>
      </c>
      <c r="W3" s="220"/>
      <c r="AH3" s="71" t="s">
        <v>336</v>
      </c>
      <c r="AI3" s="114" t="str">
        <f>IFERROR(IF('App Cust Info'!$K$18="", "", IFERROR(VLOOKUP('App Cust Info'!$K$18,'Zip Lookup'!$B$6:$G$2214,6,FALSE),"ZIP ERROR")),"")</f>
        <v/>
      </c>
      <c r="AL3" s="75" t="s">
        <v>192</v>
      </c>
      <c r="AN3" s="77" t="s">
        <v>337</v>
      </c>
      <c r="AO3" s="410">
        <f>IFERROR(IF(OR($D$10=$AL$4, $D$10=$AL$5), 1, 0),"")</f>
        <v>1</v>
      </c>
    </row>
    <row r="4" spans="3:47" ht="15" customHeight="1" x14ac:dyDescent="0.35">
      <c r="C4" s="112" t="s">
        <v>99</v>
      </c>
      <c r="D4" s="707"/>
      <c r="F4" s="989"/>
      <c r="G4" s="990"/>
      <c r="H4" s="990"/>
      <c r="I4" s="991"/>
      <c r="U4" s="119" t="s">
        <v>338</v>
      </c>
      <c r="V4" s="215">
        <f>IF($C$25&lt;&gt;"", "", IFERROR($U$78,""))</f>
        <v>0</v>
      </c>
      <c r="W4" s="220"/>
      <c r="AL4" s="75" t="s">
        <v>194</v>
      </c>
      <c r="AN4" s="77" t="s">
        <v>339</v>
      </c>
      <c r="AO4" s="410">
        <f>IFERROR(IF($D$13=$AL$7, 1, 0),"")</f>
        <v>0</v>
      </c>
    </row>
    <row r="5" spans="3:47" ht="15" customHeight="1" x14ac:dyDescent="0.35">
      <c r="C5" s="112" t="s">
        <v>104</v>
      </c>
      <c r="D5" s="707"/>
      <c r="F5" s="989"/>
      <c r="G5" s="990"/>
      <c r="H5" s="990"/>
      <c r="I5" s="991"/>
      <c r="U5" s="119" t="s">
        <v>340</v>
      </c>
      <c r="V5" s="215">
        <f>IF($C$25&lt;&gt;"", "", IFERROR($W$78,""))</f>
        <v>0</v>
      </c>
      <c r="W5" s="219" t="str">
        <f>IF($V$5="", "", IFERROR($V$5/'App Cust Info'!$F$24,""))</f>
        <v/>
      </c>
      <c r="AH5" s="71" t="s">
        <v>209</v>
      </c>
      <c r="AI5" s="72" t="s">
        <v>341</v>
      </c>
      <c r="AJ5" s="72" t="s">
        <v>342</v>
      </c>
      <c r="AN5" s="77" t="s">
        <v>343</v>
      </c>
      <c r="AO5" s="94">
        <v>7.0000000000000007E-2</v>
      </c>
    </row>
    <row r="6" spans="3:47" ht="15" customHeight="1" x14ac:dyDescent="0.35">
      <c r="C6" s="112" t="s">
        <v>344</v>
      </c>
      <c r="D6" s="707"/>
      <c r="F6" s="989"/>
      <c r="G6" s="990"/>
      <c r="H6" s="990"/>
      <c r="I6" s="991"/>
      <c r="U6" s="119" t="s">
        <v>345</v>
      </c>
      <c r="V6" s="217">
        <f>IF($C$25&lt;&gt;"", "", IFERROR($X$78,""))</f>
        <v>0</v>
      </c>
      <c r="W6" s="220"/>
      <c r="AH6" s="75" t="s">
        <v>211</v>
      </c>
      <c r="AI6" s="86">
        <v>6391</v>
      </c>
      <c r="AJ6" s="86">
        <v>721</v>
      </c>
      <c r="AL6" s="71" t="s">
        <v>346</v>
      </c>
      <c r="AN6" s="77" t="s">
        <v>347</v>
      </c>
      <c r="AO6" s="94">
        <v>0.25</v>
      </c>
    </row>
    <row r="7" spans="3:47" ht="15" customHeight="1" x14ac:dyDescent="0.25">
      <c r="C7" s="112" t="s">
        <v>348</v>
      </c>
      <c r="D7" s="708" t="str">
        <f>IFERROR(IF('App Cust Info'!$I$26="", "", IF('App Cust Info'!$I$26&lt;&gt;"", "Additional Supporting Documents Provided")),"")</f>
        <v/>
      </c>
      <c r="F7" s="989"/>
      <c r="G7" s="990"/>
      <c r="H7" s="990"/>
      <c r="I7" s="991"/>
      <c r="U7" s="119" t="s">
        <v>349</v>
      </c>
      <c r="V7" s="217">
        <f>IF($C$25&lt;&gt;"", "", IFERROR($Y$78,""))</f>
        <v>0</v>
      </c>
      <c r="W7" s="221"/>
      <c r="AH7" s="75" t="s">
        <v>212</v>
      </c>
      <c r="AI7" s="86">
        <v>7200</v>
      </c>
      <c r="AJ7" s="86">
        <v>383</v>
      </c>
      <c r="AL7" s="75" t="s">
        <v>192</v>
      </c>
      <c r="AN7" s="77" t="str">
        <f>IF(AI2="NYC", "CF ("&amp;AI2&amp;")", "CF (Non-NYC)")</f>
        <v>CF (Non-NYC)</v>
      </c>
      <c r="AO7" s="411">
        <f>IFERROR(IF($AI$2="NYC", 0.822, IF($AI$2="ZIP ERROR", "ZIP ERROR", 0.477)),"")</f>
        <v>0.47699999999999998</v>
      </c>
    </row>
    <row r="8" spans="3:47" ht="15.75" thickBot="1" x14ac:dyDescent="0.3">
      <c r="C8" s="112" t="s">
        <v>350</v>
      </c>
      <c r="D8" s="111" t="str">
        <f>IFERROR(IF('App Cust Info'!$H$21="", "", 'App Cust Info'!$H$21),"")</f>
        <v/>
      </c>
      <c r="F8" s="989"/>
      <c r="G8" s="990"/>
      <c r="H8" s="990"/>
      <c r="I8" s="991"/>
      <c r="U8" s="120" t="s">
        <v>351</v>
      </c>
      <c r="V8" s="218">
        <f>IF($C$25&lt;&gt;"", "", IFERROR($Z$78,""))</f>
        <v>0</v>
      </c>
      <c r="W8" s="222" t="str">
        <f>IF($V$8="", "", IFERROR($V$8/'App Cust Info'!$F$26,""))</f>
        <v/>
      </c>
      <c r="AH8" s="75" t="s">
        <v>213</v>
      </c>
      <c r="AI8" s="86">
        <v>6502</v>
      </c>
      <c r="AJ8" s="86">
        <v>607</v>
      </c>
      <c r="AL8" s="75" t="s">
        <v>352</v>
      </c>
    </row>
    <row r="9" spans="3:47" ht="15.75" thickBot="1" x14ac:dyDescent="0.3">
      <c r="C9" s="112" t="s">
        <v>353</v>
      </c>
      <c r="D9" s="707"/>
      <c r="F9" s="989"/>
      <c r="G9" s="990"/>
      <c r="H9" s="990"/>
      <c r="I9" s="991"/>
      <c r="U9" s="65"/>
      <c r="V9" s="65"/>
      <c r="W9" s="65"/>
      <c r="AH9" s="75" t="s">
        <v>214</v>
      </c>
      <c r="AI9" s="86">
        <v>8030</v>
      </c>
      <c r="AJ9" s="86">
        <v>406</v>
      </c>
    </row>
    <row r="10" spans="3:47" ht="15.75" thickBot="1" x14ac:dyDescent="0.3">
      <c r="C10" s="112" t="s">
        <v>354</v>
      </c>
      <c r="D10" s="707"/>
      <c r="E10" s="423"/>
      <c r="F10" s="989"/>
      <c r="G10" s="990"/>
      <c r="H10" s="990"/>
      <c r="I10" s="991"/>
      <c r="J10" s="421"/>
      <c r="K10" s="421"/>
      <c r="L10" s="421"/>
      <c r="M10" s="421"/>
      <c r="N10" s="421"/>
      <c r="O10" s="421"/>
      <c r="P10" s="421"/>
      <c r="Q10" s="421"/>
      <c r="R10" s="421"/>
      <c r="S10" s="421"/>
      <c r="T10" s="421"/>
      <c r="U10" s="980" t="s">
        <v>355</v>
      </c>
      <c r="V10" s="985"/>
      <c r="W10" s="981"/>
      <c r="X10" s="421"/>
      <c r="Y10" s="421"/>
      <c r="Z10" s="421"/>
      <c r="AA10" s="421"/>
      <c r="AB10" s="421"/>
      <c r="AC10" s="421"/>
      <c r="AD10" s="421"/>
      <c r="AE10" s="421"/>
      <c r="AF10" s="421"/>
      <c r="AG10" s="421"/>
      <c r="AH10" s="75" t="s">
        <v>216</v>
      </c>
      <c r="AI10" s="86">
        <v>4900</v>
      </c>
      <c r="AJ10" s="86">
        <v>1017</v>
      </c>
      <c r="AL10" s="71" t="s">
        <v>356</v>
      </c>
    </row>
    <row r="11" spans="3:47" x14ac:dyDescent="0.25">
      <c r="C11" s="112" t="s">
        <v>357</v>
      </c>
      <c r="D11" s="709"/>
      <c r="F11" s="989"/>
      <c r="G11" s="990"/>
      <c r="H11" s="990"/>
      <c r="I11" s="991"/>
      <c r="U11" s="982" t="str">
        <f>IFERROR(IF(OR($D$21="", $D$21=0), "", $D$21),"")</f>
        <v/>
      </c>
      <c r="V11" s="983"/>
      <c r="W11" s="984"/>
      <c r="AH11" s="75" t="s">
        <v>218</v>
      </c>
      <c r="AI11" s="86">
        <v>6026</v>
      </c>
      <c r="AJ11" s="86">
        <v>745</v>
      </c>
      <c r="AL11" s="75" t="s">
        <v>358</v>
      </c>
    </row>
    <row r="12" spans="3:47" ht="15.75" thickBot="1" x14ac:dyDescent="0.3">
      <c r="C12" s="112" t="s">
        <v>359</v>
      </c>
      <c r="D12" s="710"/>
      <c r="F12" s="989"/>
      <c r="G12" s="990"/>
      <c r="H12" s="990"/>
      <c r="I12" s="991"/>
      <c r="U12" s="977" t="str">
        <f>IFERROR(IF(OR($U$11="", $U$11=0), "", IF($U$11=$AF$78,"Capped at program maximum of "&amp;TEXT($AF$78,"$#,00")&amp;".",IF($U$11=$AE$78*$D$19,"Capped at "&amp;TEXT($AE$78,"#%")&amp;" of the measure cost.","Capped at NY Cap."))),"")</f>
        <v/>
      </c>
      <c r="V12" s="978"/>
      <c r="W12" s="979"/>
      <c r="AH12" s="75" t="s">
        <v>219</v>
      </c>
      <c r="AI12" s="86">
        <v>6625</v>
      </c>
      <c r="AJ12" s="86">
        <v>618</v>
      </c>
      <c r="AL12" s="75" t="s">
        <v>360</v>
      </c>
    </row>
    <row r="13" spans="3:47" x14ac:dyDescent="0.25">
      <c r="C13" s="112" t="s">
        <v>361</v>
      </c>
      <c r="D13" s="707"/>
      <c r="F13" s="989"/>
      <c r="G13" s="990"/>
      <c r="H13" s="990"/>
      <c r="I13" s="991"/>
    </row>
    <row r="14" spans="3:47" x14ac:dyDescent="0.25">
      <c r="C14" s="112" t="s">
        <v>362</v>
      </c>
      <c r="D14" s="710"/>
      <c r="F14" s="989"/>
      <c r="G14" s="990"/>
      <c r="H14" s="990"/>
      <c r="I14" s="991"/>
      <c r="AH14" s="71" t="s">
        <v>363</v>
      </c>
      <c r="AI14" s="72" t="s">
        <v>341</v>
      </c>
      <c r="AJ14" s="72" t="s">
        <v>342</v>
      </c>
      <c r="AL14" s="71" t="s">
        <v>364</v>
      </c>
    </row>
    <row r="15" spans="3:47" x14ac:dyDescent="0.25">
      <c r="C15" s="112" t="s">
        <v>365</v>
      </c>
      <c r="D15" s="710"/>
      <c r="F15" s="989"/>
      <c r="G15" s="990"/>
      <c r="H15" s="990"/>
      <c r="I15" s="991"/>
      <c r="AH15" s="75" t="str">
        <f>IFERROR(VLOOKUP($AI$2,$AH$6:$AJ$12,1,FALSE),"ZIP ERROR")</f>
        <v>ZIP ERROR</v>
      </c>
      <c r="AI15" s="409" t="str">
        <f>IFERROR(VLOOKUP($AH$15,$AH$6:$AJ$12,2,FALSE),"ZIP ERROR")</f>
        <v>ZIP ERROR</v>
      </c>
      <c r="AJ15" s="409" t="str">
        <f>IFERROR(VLOOKUP($AH$15,$AH$6:$AJ$12,3,FALSE),"ZIP ERROR")</f>
        <v>ZIP ERROR</v>
      </c>
      <c r="AL15" s="75" t="s">
        <v>366</v>
      </c>
    </row>
    <row r="16" spans="3:47" x14ac:dyDescent="0.25">
      <c r="F16" s="989"/>
      <c r="G16" s="990"/>
      <c r="H16" s="990"/>
      <c r="I16" s="991"/>
      <c r="AL16" s="75" t="s">
        <v>367</v>
      </c>
    </row>
    <row r="17" spans="2:41" x14ac:dyDescent="0.25">
      <c r="C17" s="112" t="s">
        <v>368</v>
      </c>
      <c r="D17" s="711"/>
      <c r="E17" s="423"/>
      <c r="F17" s="992"/>
      <c r="G17" s="993"/>
      <c r="H17" s="993"/>
      <c r="I17" s="994"/>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72" t="s">
        <v>369</v>
      </c>
      <c r="AI17" s="72" t="s">
        <v>370</v>
      </c>
    </row>
    <row r="18" spans="2:41" x14ac:dyDescent="0.25">
      <c r="C18" s="112" t="s">
        <v>371</v>
      </c>
      <c r="D18" s="711"/>
      <c r="E18" s="423"/>
      <c r="F18" s="423"/>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76" t="s">
        <v>372</v>
      </c>
      <c r="AI18" s="76" t="s">
        <v>373</v>
      </c>
      <c r="AL18" s="71" t="s">
        <v>374</v>
      </c>
    </row>
    <row r="19" spans="2:41" ht="16.5" customHeight="1" x14ac:dyDescent="0.25">
      <c r="C19" s="112" t="s">
        <v>375</v>
      </c>
      <c r="D19" s="458" t="str">
        <f>IFERROR(IF($D$2="", "", $D$17+$D$18),"")</f>
        <v/>
      </c>
      <c r="E19" s="423"/>
      <c r="F19" s="423"/>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H19" s="76" t="s">
        <v>376</v>
      </c>
      <c r="AI19" s="76" t="s">
        <v>377</v>
      </c>
      <c r="AL19" s="75" t="s">
        <v>378</v>
      </c>
    </row>
    <row r="20" spans="2:41" ht="16.5" customHeight="1" x14ac:dyDescent="0.25">
      <c r="C20" s="408"/>
      <c r="D20" s="457"/>
      <c r="AI20" s="76" t="s">
        <v>379</v>
      </c>
      <c r="AL20" s="75" t="s">
        <v>380</v>
      </c>
    </row>
    <row r="21" spans="2:41" ht="15" customHeight="1" x14ac:dyDescent="0.25">
      <c r="C21" s="202" t="s">
        <v>381</v>
      </c>
      <c r="D21" s="203" t="str">
        <f>IFERROR(IF($D$2="", "", MIN($AD$78,$AE$78*$D$19,$AF$78)),"")</f>
        <v/>
      </c>
      <c r="E21" s="459"/>
      <c r="R21" s="64"/>
    </row>
    <row r="22" spans="2:41" ht="15" customHeight="1" x14ac:dyDescent="0.25">
      <c r="C22" s="146" t="str">
        <f>'App Cust Info'!K66</f>
        <v>V1.0 4/2/26</v>
      </c>
      <c r="Q22" s="64"/>
      <c r="R22" s="64"/>
      <c r="AH22" s="122" t="s">
        <v>382</v>
      </c>
      <c r="AM22" s="205"/>
      <c r="AN22" s="205"/>
    </row>
    <row r="23" spans="2:41" x14ac:dyDescent="0.25">
      <c r="C23" s="1" t="str">
        <f>IF(COUNTIFS(T28:T77,"&lt;4",T28:T77,"&gt;0")&gt;0, "No savings and incentives calculated for line items with ΔR below R-4.0.","")</f>
        <v/>
      </c>
      <c r="Q23" s="971" t="s">
        <v>383</v>
      </c>
      <c r="R23" s="972"/>
      <c r="AH23" s="72" t="s">
        <v>384</v>
      </c>
      <c r="AI23" s="72" t="s">
        <v>385</v>
      </c>
      <c r="AJ23" s="72" t="s">
        <v>386</v>
      </c>
      <c r="AK23" s="72" t="s">
        <v>387</v>
      </c>
      <c r="AL23" s="72" t="s">
        <v>388</v>
      </c>
      <c r="AM23" s="72" t="s">
        <v>389</v>
      </c>
      <c r="AN23" s="72" t="s">
        <v>390</v>
      </c>
      <c r="AO23" s="205"/>
    </row>
    <row r="24" spans="2:41" ht="15" customHeight="1" x14ac:dyDescent="0.25">
      <c r="C24" s="1" t="str">
        <f>IF(AND($D$9="Yes", $AJ$24="Yes"), "Please correct the passive house input (electric only)!","")</f>
        <v/>
      </c>
      <c r="Q24" s="973"/>
      <c r="R24" s="974"/>
      <c r="AH24" s="76" t="str">
        <f>IFERROR(VLOOKUP($D$3,'Zip Lookup'!$B$6:$G$2214,4,FALSE),"")</f>
        <v/>
      </c>
      <c r="AI24" s="76" t="str">
        <f>IFERROR(IF($D$10="Electric", "Yes", "No"),"")</f>
        <v>No</v>
      </c>
      <c r="AJ24" s="76" t="str">
        <f>IFERROR(IF(OR($D$10="Fossil", $D$13="Fossil"), "Yes", "No"),"")</f>
        <v>No</v>
      </c>
      <c r="AK24" s="76">
        <f>IFERROR($D$4,"")</f>
        <v>0</v>
      </c>
      <c r="AL24" s="76" t="str">
        <f>IFERROR(IF($AH$24="Downstate", "KEDLI/KEDNY", "NIMO"),"")</f>
        <v>NIMO</v>
      </c>
      <c r="AM24" s="264" t="str">
        <f>IFERROR(IF($AH$24="Downstate", "Not National Grid", IF($AL$24="KEDLI/KEDNY",$AL$24&amp;" "&amp;$AK$24,IF($AL$24="NIMO","NIMO "&amp;IF($AI$24="Yes","Electric "&amp;$AK$24,"Gas "&amp;$AK$24),""))),"")</f>
        <v>NIMO Gas 0</v>
      </c>
      <c r="AN24" s="264" t="str">
        <f>IFERROR(IF($AL$24="KEDLI/KEDNY",$AL$24&amp;" "&amp;$AK$24,IF($AL$24="NIMO","NIMO "&amp;IF($AJ$24="Yes","Gas "&amp;$AK$24,"Electric "&amp;$AK$24),"")),"")</f>
        <v>NIMO Electric 0</v>
      </c>
      <c r="AO24" s="205"/>
    </row>
    <row r="25" spans="2:41" x14ac:dyDescent="0.25">
      <c r="C25" s="382" t="str">
        <f>IF(AND($D$10="Electric", $AH$24="Downstate"), "National Grid does not serve the electricity market in NYC/LI.", "")</f>
        <v/>
      </c>
      <c r="Q25" s="973"/>
      <c r="R25" s="974"/>
      <c r="AM25" s="205"/>
      <c r="AN25" s="205"/>
      <c r="AO25" s="205"/>
    </row>
    <row r="26" spans="2:41" x14ac:dyDescent="0.25">
      <c r="Q26" s="975"/>
      <c r="R26" s="976"/>
      <c r="AM26" s="205"/>
      <c r="AN26" s="205"/>
      <c r="AO26" s="205"/>
    </row>
    <row r="27" spans="2:41" s="205" customFormat="1" ht="45" x14ac:dyDescent="0.25">
      <c r="B27" s="206" t="s">
        <v>133</v>
      </c>
      <c r="C27" s="206" t="s">
        <v>391</v>
      </c>
      <c r="D27" s="206" t="s">
        <v>392</v>
      </c>
      <c r="E27" s="206" t="s">
        <v>135</v>
      </c>
      <c r="F27" s="206" t="str">
        <f>IF($D$6="Gut Rehab", "Please Select Roof/Ceiling/Attic Type", "")</f>
        <v/>
      </c>
      <c r="G27" s="206" t="s">
        <v>393</v>
      </c>
      <c r="H27" s="206" t="str">
        <f>IF($D$6="Gut Rehab", "", "Is The Existing Insulation Being Removed?")</f>
        <v>Is The Existing Insulation Being Removed?</v>
      </c>
      <c r="I27" s="206" t="s">
        <v>394</v>
      </c>
      <c r="J27" s="206" t="s">
        <v>388</v>
      </c>
      <c r="K27" s="206" t="s">
        <v>395</v>
      </c>
      <c r="L27" s="206" t="s">
        <v>396</v>
      </c>
      <c r="M27" s="206" t="s">
        <v>364</v>
      </c>
      <c r="N27" s="206" t="s">
        <v>397</v>
      </c>
      <c r="O27" s="206" t="s">
        <v>369</v>
      </c>
      <c r="P27" s="206" t="s">
        <v>398</v>
      </c>
      <c r="Q27" s="206" t="s">
        <v>399</v>
      </c>
      <c r="R27" s="206" t="str">
        <f>IF($D$6="Gut Rehab","Code R-Value","Appendix A R-Value")</f>
        <v>Appendix A R-Value</v>
      </c>
      <c r="S27" s="206" t="s">
        <v>400</v>
      </c>
      <c r="T27" s="206" t="s">
        <v>401</v>
      </c>
      <c r="U27" s="206" t="s">
        <v>402</v>
      </c>
      <c r="V27" s="206" t="s">
        <v>403</v>
      </c>
      <c r="W27" s="206" t="s">
        <v>404</v>
      </c>
      <c r="X27" s="206" t="s">
        <v>160</v>
      </c>
      <c r="Y27" s="206" t="s">
        <v>405</v>
      </c>
      <c r="Z27" s="206" t="s">
        <v>406</v>
      </c>
      <c r="AA27" s="206" t="s">
        <v>407</v>
      </c>
      <c r="AB27" s="206" t="s">
        <v>408</v>
      </c>
      <c r="AC27" s="206" t="s">
        <v>409</v>
      </c>
      <c r="AD27" s="206" t="s">
        <v>410</v>
      </c>
      <c r="AE27" s="206" t="s">
        <v>411</v>
      </c>
      <c r="AF27" s="206" t="s">
        <v>412</v>
      </c>
      <c r="AG27" s="63"/>
    </row>
    <row r="28" spans="2:41" s="65" customFormat="1" ht="15" customHeight="1" x14ac:dyDescent="0.25">
      <c r="B28" s="339">
        <v>1</v>
      </c>
      <c r="C28" s="712"/>
      <c r="D28" s="712"/>
      <c r="E28" s="712"/>
      <c r="F28" s="712"/>
      <c r="G28" s="713"/>
      <c r="H28" s="714"/>
      <c r="I28" s="715"/>
      <c r="J28" s="462" t="str">
        <f t="shared" ref="J28:J59" si="0">IF(C28="", "", $AN$24)</f>
        <v/>
      </c>
      <c r="K28" s="339" t="str">
        <f>IF(C28="", "",$D$8)</f>
        <v/>
      </c>
      <c r="L28" s="339" t="str">
        <f>IF(C28="","",$D$9)</f>
        <v/>
      </c>
      <c r="M28" s="339" t="str">
        <f>IF(C28="", "", $D$6)</f>
        <v/>
      </c>
      <c r="N28" s="339" t="str">
        <f t="shared" ref="N28:N59" si="1">IF(C28="","", $AI$3)</f>
        <v/>
      </c>
      <c r="O28" s="339" t="str">
        <f>IF(C28="", "", "Roof/Attic/Ceiling")</f>
        <v/>
      </c>
      <c r="P28" s="339" t="str">
        <f>IF(C28="", "", IF(M28="Gut Rehab", "Code", "Appendix A"))</f>
        <v/>
      </c>
      <c r="Q28" s="712"/>
      <c r="R28" s="858" t="str" cm="1">
        <f t="array" ref="R28">IF(AJ40="Yes", "", IFERROR(IF($M28="Retrofit",_xlfn.XLOOKUP($D$5,'TRM V13 Appendix A'!$B$13:$B$33,'TRM V13 Appendix A'!$D$13:$D$33,""),IF(OR($N28="",$F28=""),"",_xlfn.XLOOKUP($F28,'ROOF CODE'!$B$4:$B$6,_xlfn.XLOOKUP($N28,'ROOF CODE'!$C$3:$E$3,'ROOF CODE'!$C$4:$E$6,""),""))),""))</f>
        <v/>
      </c>
      <c r="S28" s="462" t="str">
        <f t="shared" ref="S28:S59" si="2">IFERROR(IF(C28="","", IF(M28="Gut Rehab",I28,IF(H28="No",I28+R28, I28))),"")</f>
        <v/>
      </c>
      <c r="T28" s="462" t="str">
        <f>IFERROR(IF(S28-R28&lt;=0, 0, S28-R28),"")</f>
        <v/>
      </c>
      <c r="U28" s="463" t="str">
        <f>IFERROR(IF(C28="", "", IF(T28&lt;4, 0, (((1/R28)-(1/(R28+T28)))*G28*(1-$AO$5)*$AJ$15*24*$AO$4)/(1000*$D$14))),"")</f>
        <v/>
      </c>
      <c r="V28" s="463" t="str">
        <f>IFERROR(IF(C28="", "", IF(T28&lt;4, 0, (((1/R28)-(1/(R28+T28)))*G28*(1-$AO$5)*$AI$15*24*$AO$2)/(1000*$D$12))),0)</f>
        <v/>
      </c>
      <c r="W28" s="463" t="str">
        <f t="shared" ref="W28:W59" si="3">IFERROR(IF(C28="", "", (U28+V28)),"")</f>
        <v/>
      </c>
      <c r="X28" s="464" t="str">
        <f>IFERROR(IF(C28="", "", IF(T28&lt;4, 0, (((1/R28)-(1/(R28+T28)))*G28*(1-$AO$5)*$AO$4/(1000*$D$15)*$AO$7))),"")</f>
        <v/>
      </c>
      <c r="Y28" s="351" t="str">
        <f>IFERROR(IF(C28="", "", IF(T28&lt;4, 0, (((1/R28)-(1/(R28+T28)))*G28*(1-$AO$5)*$AI$15*24*$AO$3)/(1000000*$D$11))),"")</f>
        <v/>
      </c>
      <c r="Z28" s="463" t="str">
        <f t="shared" ref="Z28:Z59" si="4">IFERROR(IF(C28="", "", Y28*10),"")</f>
        <v/>
      </c>
      <c r="AA28" s="465" t="str">
        <f>IFERROR(IF(C28="", "", W28/'App Cust Info'!$F$24), "")</f>
        <v/>
      </c>
      <c r="AB28" s="465" t="str">
        <f>IFERROR(IF(C28="", "", Z28/'App Cust Info'!$F$26), "")</f>
        <v/>
      </c>
      <c r="AC28" s="466" t="str" cm="1">
        <f t="array" ref="AC28">IFERROR(IF(AND($AH$24="Downstate", $D$10="Electric"), "", INDEX('ROOF INCENTIVE'!$I$4:$I$67,MATCH(1,($J28='ROOF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D28" s="466" t="str">
        <f t="shared" ref="AD28:AD59" si="5">IFERROR(IF(C28="", "", (AC28*G28)),"")</f>
        <v/>
      </c>
      <c r="AE28" s="467" t="str" cm="1">
        <f t="array" ref="AE28">IFERROR(IF(AND($AH$24="Downstate", $D$10="Electric"), "", INDEX('ROOF INCENTIVE'!$J$4:$J$67,MATCH(1,($J28='ROOF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F28" s="468" t="str" cm="1">
        <f t="array" ref="AF28">IFERROR(IF(AND($AH$24="Downstate", $D$10="Electric"), "", INDEX('ROOF INCENTIVE'!$K$4:$K$67,MATCH(1,($J28='ROOF INCENTIVE'!$B$4:$B$67)*($K28='ROOF INCENTIVE'!$C$4:$C$67)*($L28='ROOF INCENTIVE'!$D$4:$D$67)*IF('ROOF INCENTIVE'!$E$4:$E$67="NA",1,($G28&gt;='ROOF INCENTIVE'!$E$4:$E$67))*IF('ROOF INCENTIVE'!$F$4:$F$67="NA",1,($G28&lt;='ROOF INCENTIVE'!$F$4:$F$67))*IF('ROOF INCENTIVE'!$G$4:$G$67="Passive House",($L28="Yes"),($T28&gt;='ROOF INCENTIVE'!$G$4:$G$67))*IF('ROOF INCENTIVE'!$H$4:$H$67="Passive House",($L28="Yes"),($T28&lt;='ROOF INCENTIVE'!$H$4:$H$67)),0))),"")</f>
        <v/>
      </c>
      <c r="AG28" s="143"/>
    </row>
    <row r="29" spans="2:41" s="65" customFormat="1" ht="15" customHeight="1" x14ac:dyDescent="0.25">
      <c r="B29" s="339">
        <v>2</v>
      </c>
      <c r="C29" s="712"/>
      <c r="D29" s="712"/>
      <c r="E29" s="712"/>
      <c r="F29" s="712"/>
      <c r="G29" s="713"/>
      <c r="H29" s="714"/>
      <c r="I29" s="715"/>
      <c r="J29" s="462" t="str">
        <f t="shared" si="0"/>
        <v/>
      </c>
      <c r="K29" s="339" t="str">
        <f t="shared" ref="K29:K77" si="6">IF(C29="", "",$D$8)</f>
        <v/>
      </c>
      <c r="L29" s="339" t="str">
        <f t="shared" ref="L29:L77" si="7">IF(C29="","",$D$9)</f>
        <v/>
      </c>
      <c r="M29" s="339" t="str">
        <f t="shared" ref="M29:M77" si="8">IF(C29="", "", $D$6)</f>
        <v/>
      </c>
      <c r="N29" s="339" t="str">
        <f t="shared" si="1"/>
        <v/>
      </c>
      <c r="O29" s="339" t="str">
        <f t="shared" ref="O29:O77" si="9">IF(C29="", "", "Roof/Attic/Ceiling")</f>
        <v/>
      </c>
      <c r="P29" s="339" t="str">
        <f t="shared" ref="P29:P77" si="10">IF(C29="", "", IF(M29="Gut Rehab", "Code", "Appendix A"))</f>
        <v/>
      </c>
      <c r="Q29" s="712"/>
      <c r="R29" s="858" t="str" cm="1">
        <f t="array" ref="R29">IFERROR(IF($M29="Retrofit",_xlfn.XLOOKUP($D$5,'TRM V13 Appendix A'!$B$13:$B$33,'TRM V13 Appendix A'!$D$13:$D$33,""),IF(OR($N29="",$F29=""),"",_xlfn.XLOOKUP($F29,'ROOF CODE'!$B$4:$B$6,_xlfn.XLOOKUP($N29,'ROOF CODE'!$C$3:$E$3,'ROOF CODE'!$C$4:$E$6,""),""))),"")</f>
        <v/>
      </c>
      <c r="S29" s="462" t="str">
        <f t="shared" si="2"/>
        <v/>
      </c>
      <c r="T29" s="462" t="str">
        <f t="shared" ref="T29:T77" si="11">IFERROR(IF(S29-R29&lt;=0, 0, S29-R29),"")</f>
        <v/>
      </c>
      <c r="U29" s="463" t="str">
        <f t="shared" ref="U29:U77" si="12">IFERROR(IF(C29="", "", IF(T29&lt;4, 0, (((1/R29)-(1/(R29+T29)))*G29*(1-$AO$5)*$AJ$15*24*$AO$4)/(1000*$D$14))),"")</f>
        <v/>
      </c>
      <c r="V29" s="463" t="str">
        <f t="shared" ref="V29:V77" si="13">IFERROR(IF(C29="", "", IF(T29&lt;4, 0, (((1/R29)-(1/(R29+T29)))*G29*(1-$AO$5)*$AI$15*24*$AO$2)/(1000*$D$12))),0)</f>
        <v/>
      </c>
      <c r="W29" s="463" t="str">
        <f t="shared" si="3"/>
        <v/>
      </c>
      <c r="X29" s="464" t="str">
        <f t="shared" ref="X29:X77" si="14">IFERROR(IF(C29="", "", IF(T29&lt;4, 0, (((1/R29)-(1/(R29+T29)))*G29*(1-$AO$5)*$AO$4/(1000*$D$15)*$AO$7))),"")</f>
        <v/>
      </c>
      <c r="Y29" s="351" t="str">
        <f t="shared" ref="Y29:Y77" si="15">IFERROR(IF(C29="", "", IF(T29&lt;4, 0, (((1/R29)-(1/(R29+T29)))*G29*(1-$AO$5)*$AI$15*24*$AO$3)/(1000000*$D$11))),"")</f>
        <v/>
      </c>
      <c r="Z29" s="463" t="str">
        <f t="shared" si="4"/>
        <v/>
      </c>
      <c r="AA29" s="465" t="str">
        <f>IFERROR(IF(C29="", "", W29/'App Cust Info'!$F$24), "")</f>
        <v/>
      </c>
      <c r="AB29" s="465" t="str">
        <f>IFERROR(IF(C29="", "", Z29/'App Cust Info'!$F$26), "")</f>
        <v/>
      </c>
      <c r="AC29" s="466" t="str" cm="1">
        <f t="array" ref="AC29">IFERROR(IF(AND($AH$24="Downstate", $D$10="Electric"), "", INDEX('ROOF INCENTIVE'!$I$4:$I$67,MATCH(1,($J29='ROOF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D29" s="466" t="str">
        <f t="shared" si="5"/>
        <v/>
      </c>
      <c r="AE29" s="467" t="str" cm="1">
        <f t="array" ref="AE29">IFERROR(IF(AND($AH$24="Downstate", $D$10="Electric"), "", INDEX('ROOF INCENTIVE'!$J$4:$J$67,MATCH(1,($J29='ROOF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F29" s="468" t="str" cm="1">
        <f t="array" ref="AF29">IFERROR(IF(AND($AH$24="Downstate", $D$10="Electric"), "", INDEX('ROOF INCENTIVE'!$K$4:$K$67,MATCH(1,($J29='ROOF INCENTIVE'!$B$4:$B$67)*($K29='ROOF INCENTIVE'!$C$4:$C$67)*($L29='ROOF INCENTIVE'!$D$4:$D$67)*IF('ROOF INCENTIVE'!$E$4:$E$67="NA",1,($G29&gt;='ROOF INCENTIVE'!$E$4:$E$67))*IF('ROOF INCENTIVE'!$F$4:$F$67="NA",1,($G29&lt;='ROOF INCENTIVE'!$F$4:$F$67))*IF('ROOF INCENTIVE'!$G$4:$G$67="Passive House",($L29="Yes"),($T29&gt;='ROOF INCENTIVE'!$G$4:$G$67))*IF('ROOF INCENTIVE'!$H$4:$H$67="Passive House",($L29="Yes"),($T29&lt;='ROOF INCENTIVE'!$H$4:$H$67)),0))),"")</f>
        <v/>
      </c>
      <c r="AG29" s="143"/>
    </row>
    <row r="30" spans="2:41" s="65" customFormat="1" ht="15" customHeight="1" x14ac:dyDescent="0.25">
      <c r="B30" s="339">
        <v>3</v>
      </c>
      <c r="C30" s="712"/>
      <c r="D30" s="712"/>
      <c r="E30" s="712"/>
      <c r="F30" s="712"/>
      <c r="G30" s="713"/>
      <c r="H30" s="714"/>
      <c r="I30" s="715"/>
      <c r="J30" s="462" t="str">
        <f t="shared" si="0"/>
        <v/>
      </c>
      <c r="K30" s="339" t="str">
        <f t="shared" si="6"/>
        <v/>
      </c>
      <c r="L30" s="339" t="str">
        <f t="shared" si="7"/>
        <v/>
      </c>
      <c r="M30" s="339" t="str">
        <f t="shared" si="8"/>
        <v/>
      </c>
      <c r="N30" s="339" t="str">
        <f t="shared" si="1"/>
        <v/>
      </c>
      <c r="O30" s="339" t="str">
        <f t="shared" si="9"/>
        <v/>
      </c>
      <c r="P30" s="339" t="str">
        <f t="shared" si="10"/>
        <v/>
      </c>
      <c r="Q30" s="712"/>
      <c r="R30" s="858" t="str" cm="1">
        <f t="array" ref="R30">IFERROR(IF($M30="Retrofit",_xlfn.XLOOKUP($D$5,'TRM V13 Appendix A'!$B$13:$B$33,'TRM V13 Appendix A'!$D$13:$D$33,""),IF(OR($N30="",$F30=""),"",_xlfn.XLOOKUP($F30,'ROOF CODE'!$B$4:$B$6,_xlfn.XLOOKUP($N30,'ROOF CODE'!$C$3:$E$3,'ROOF CODE'!$C$4:$E$6,""),""))),"")</f>
        <v/>
      </c>
      <c r="S30" s="462" t="str">
        <f t="shared" si="2"/>
        <v/>
      </c>
      <c r="T30" s="462" t="str">
        <f t="shared" si="11"/>
        <v/>
      </c>
      <c r="U30" s="463" t="str">
        <f t="shared" si="12"/>
        <v/>
      </c>
      <c r="V30" s="463" t="str">
        <f t="shared" si="13"/>
        <v/>
      </c>
      <c r="W30" s="463" t="str">
        <f t="shared" si="3"/>
        <v/>
      </c>
      <c r="X30" s="464" t="str">
        <f t="shared" si="14"/>
        <v/>
      </c>
      <c r="Y30" s="351" t="str">
        <f t="shared" si="15"/>
        <v/>
      </c>
      <c r="Z30" s="463" t="str">
        <f t="shared" si="4"/>
        <v/>
      </c>
      <c r="AA30" s="465" t="str">
        <f>IFERROR(IF(C30="", "", W30/'App Cust Info'!$F$24), "")</f>
        <v/>
      </c>
      <c r="AB30" s="465" t="str">
        <f>IFERROR(IF(C30="", "", Z30/'App Cust Info'!$F$26), "")</f>
        <v/>
      </c>
      <c r="AC30" s="466" t="str" cm="1">
        <f t="array" ref="AC30">IFERROR(IF(AND($AH$24="Downstate", $D$10="Electric"), "", INDEX('ROOF INCENTIVE'!$I$4:$I$67,MATCH(1,($J30='ROOF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D30" s="466" t="str">
        <f t="shared" si="5"/>
        <v/>
      </c>
      <c r="AE30" s="467" t="str" cm="1">
        <f t="array" ref="AE30">IFERROR(IF(AND($AH$24="Downstate", $D$10="Electric"), "", INDEX('ROOF INCENTIVE'!$J$4:$J$67,MATCH(1,($J30='ROOF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F30" s="468" t="str" cm="1">
        <f t="array" ref="AF30">IFERROR(IF(AND($AH$24="Downstate", $D$10="Electric"), "", INDEX('ROOF INCENTIVE'!$K$4:$K$67,MATCH(1,($J30='ROOF INCENTIVE'!$B$4:$B$67)*($K30='ROOF INCENTIVE'!$C$4:$C$67)*($L30='ROOF INCENTIVE'!$D$4:$D$67)*IF('ROOF INCENTIVE'!$E$4:$E$67="NA",1,($G30&gt;='ROOF INCENTIVE'!$E$4:$E$67))*IF('ROOF INCENTIVE'!$F$4:$F$67="NA",1,($G30&lt;='ROOF INCENTIVE'!$F$4:$F$67))*IF('ROOF INCENTIVE'!$G$4:$G$67="Passive House",($L30="Yes"),($T30&gt;='ROOF INCENTIVE'!$G$4:$G$67))*IF('ROOF INCENTIVE'!$H$4:$H$67="Passive House",($L30="Yes"),($T30&lt;='ROOF INCENTIVE'!$H$4:$H$67)),0))),"")</f>
        <v/>
      </c>
      <c r="AG30" s="143"/>
    </row>
    <row r="31" spans="2:41" s="65" customFormat="1" ht="15" customHeight="1" x14ac:dyDescent="0.25">
      <c r="B31" s="339">
        <v>4</v>
      </c>
      <c r="C31" s="712"/>
      <c r="D31" s="712"/>
      <c r="E31" s="712"/>
      <c r="F31" s="712"/>
      <c r="G31" s="713"/>
      <c r="H31" s="714"/>
      <c r="I31" s="715"/>
      <c r="J31" s="462" t="str">
        <f t="shared" si="0"/>
        <v/>
      </c>
      <c r="K31" s="339" t="str">
        <f t="shared" si="6"/>
        <v/>
      </c>
      <c r="L31" s="339" t="str">
        <f t="shared" si="7"/>
        <v/>
      </c>
      <c r="M31" s="339" t="str">
        <f t="shared" si="8"/>
        <v/>
      </c>
      <c r="N31" s="339" t="str">
        <f t="shared" si="1"/>
        <v/>
      </c>
      <c r="O31" s="339" t="str">
        <f t="shared" si="9"/>
        <v/>
      </c>
      <c r="P31" s="339" t="str">
        <f t="shared" si="10"/>
        <v/>
      </c>
      <c r="Q31" s="712"/>
      <c r="R31" s="858" t="str" cm="1">
        <f t="array" ref="R31">IFERROR(IF($M31="Retrofit",_xlfn.XLOOKUP($D$5,'TRM V13 Appendix A'!$B$13:$B$33,'TRM V13 Appendix A'!$D$13:$D$33,""),IF(OR($N31="",$F31=""),"",_xlfn.XLOOKUP($F31,'ROOF CODE'!$B$4:$B$6,_xlfn.XLOOKUP($N31,'ROOF CODE'!$C$3:$E$3,'ROOF CODE'!$C$4:$E$6,""),""))),"")</f>
        <v/>
      </c>
      <c r="S31" s="462" t="str">
        <f t="shared" si="2"/>
        <v/>
      </c>
      <c r="T31" s="462" t="str">
        <f t="shared" si="11"/>
        <v/>
      </c>
      <c r="U31" s="463" t="str">
        <f t="shared" si="12"/>
        <v/>
      </c>
      <c r="V31" s="463" t="str">
        <f t="shared" si="13"/>
        <v/>
      </c>
      <c r="W31" s="463" t="str">
        <f t="shared" si="3"/>
        <v/>
      </c>
      <c r="X31" s="464" t="str">
        <f t="shared" si="14"/>
        <v/>
      </c>
      <c r="Y31" s="351" t="str">
        <f t="shared" si="15"/>
        <v/>
      </c>
      <c r="Z31" s="463" t="str">
        <f t="shared" si="4"/>
        <v/>
      </c>
      <c r="AA31" s="465" t="str">
        <f>IFERROR(IF(C31="", "", W31/'App Cust Info'!$F$24), "")</f>
        <v/>
      </c>
      <c r="AB31" s="465" t="str">
        <f>IFERROR(IF(C31="", "", Z31/'App Cust Info'!$F$26), "")</f>
        <v/>
      </c>
      <c r="AC31" s="466" t="str" cm="1">
        <f t="array" ref="AC31">IFERROR(IF(AND($AH$24="Downstate", $D$10="Electric"), "", INDEX('ROOF INCENTIVE'!$I$4:$I$67,MATCH(1,($J31='ROOF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D31" s="466" t="str">
        <f t="shared" si="5"/>
        <v/>
      </c>
      <c r="AE31" s="467" t="str" cm="1">
        <f t="array" ref="AE31">IFERROR(IF(AND($AH$24="Downstate", $D$10="Electric"), "", INDEX('ROOF INCENTIVE'!$J$4:$J$67,MATCH(1,($J31='ROOF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F31" s="468" t="str" cm="1">
        <f t="array" ref="AF31">IFERROR(IF(AND($AH$24="Downstate", $D$10="Electric"), "", INDEX('ROOF INCENTIVE'!$K$4:$K$67,MATCH(1,($J31='ROOF INCENTIVE'!$B$4:$B$67)*($K31='ROOF INCENTIVE'!$C$4:$C$67)*($L31='ROOF INCENTIVE'!$D$4:$D$67)*IF('ROOF INCENTIVE'!$E$4:$E$67="NA",1,($G31&gt;='ROOF INCENTIVE'!$E$4:$E$67))*IF('ROOF INCENTIVE'!$F$4:$F$67="NA",1,($G31&lt;='ROOF INCENTIVE'!$F$4:$F$67))*IF('ROOF INCENTIVE'!$G$4:$G$67="Passive House",($L31="Yes"),($T31&gt;='ROOF INCENTIVE'!$G$4:$G$67))*IF('ROOF INCENTIVE'!$H$4:$H$67="Passive House",($L31="Yes"),($T31&lt;='ROOF INCENTIVE'!$H$4:$H$67)),0))),"")</f>
        <v/>
      </c>
      <c r="AG31" s="143"/>
      <c r="AL31" s="205"/>
    </row>
    <row r="32" spans="2:41" s="65" customFormat="1" ht="15" customHeight="1" x14ac:dyDescent="0.25">
      <c r="B32" s="339">
        <v>5</v>
      </c>
      <c r="C32" s="712"/>
      <c r="D32" s="712"/>
      <c r="E32" s="712"/>
      <c r="F32" s="712"/>
      <c r="G32" s="713"/>
      <c r="H32" s="712"/>
      <c r="I32" s="715"/>
      <c r="J32" s="462" t="str">
        <f t="shared" si="0"/>
        <v/>
      </c>
      <c r="K32" s="339" t="str">
        <f t="shared" si="6"/>
        <v/>
      </c>
      <c r="L32" s="339" t="str">
        <f t="shared" si="7"/>
        <v/>
      </c>
      <c r="M32" s="339" t="str">
        <f t="shared" si="8"/>
        <v/>
      </c>
      <c r="N32" s="339" t="str">
        <f t="shared" si="1"/>
        <v/>
      </c>
      <c r="O32" s="339" t="str">
        <f t="shared" si="9"/>
        <v/>
      </c>
      <c r="P32" s="339" t="str">
        <f t="shared" si="10"/>
        <v/>
      </c>
      <c r="Q32" s="712"/>
      <c r="R32" s="858" t="str" cm="1">
        <f t="array" ref="R32">IFERROR(IF($M32="Retrofit",_xlfn.XLOOKUP($D$5,'TRM V13 Appendix A'!$B$13:$B$33,'TRM V13 Appendix A'!$D$13:$D$33,""),IF(OR($N32="",$F32=""),"",_xlfn.XLOOKUP($F32,'ROOF CODE'!$B$4:$B$6,_xlfn.XLOOKUP($N32,'ROOF CODE'!$C$3:$E$3,'ROOF CODE'!$C$4:$E$6,""),""))),"")</f>
        <v/>
      </c>
      <c r="S32" s="462" t="str">
        <f t="shared" si="2"/>
        <v/>
      </c>
      <c r="T32" s="462" t="str">
        <f t="shared" si="11"/>
        <v/>
      </c>
      <c r="U32" s="463" t="str">
        <f t="shared" si="12"/>
        <v/>
      </c>
      <c r="V32" s="463" t="str">
        <f t="shared" si="13"/>
        <v/>
      </c>
      <c r="W32" s="463" t="str">
        <f t="shared" si="3"/>
        <v/>
      </c>
      <c r="X32" s="464" t="str">
        <f t="shared" si="14"/>
        <v/>
      </c>
      <c r="Y32" s="351" t="str">
        <f t="shared" si="15"/>
        <v/>
      </c>
      <c r="Z32" s="463" t="str">
        <f t="shared" si="4"/>
        <v/>
      </c>
      <c r="AA32" s="465" t="str">
        <f>IFERROR(IF(C32="", "", W32/'App Cust Info'!$F$24), "")</f>
        <v/>
      </c>
      <c r="AB32" s="465" t="str">
        <f>IFERROR(IF(C32="", "", Z32/'App Cust Info'!$F$26), "")</f>
        <v/>
      </c>
      <c r="AC32" s="466" t="str" cm="1">
        <f t="array" ref="AC32">IFERROR(IF(AND($AH$24="Downstate", $D$10="Electric"), "", INDEX('ROOF INCENTIVE'!$I$4:$I$67,MATCH(1,($J32='ROOF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D32" s="466" t="str">
        <f t="shared" si="5"/>
        <v/>
      </c>
      <c r="AE32" s="467" t="str" cm="1">
        <f t="array" ref="AE32">IFERROR(IF(AND($AH$24="Downstate", $D$10="Electric"), "", INDEX('ROOF INCENTIVE'!$J$4:$J$67,MATCH(1,($J32='ROOF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F32" s="468" t="str" cm="1">
        <f t="array" ref="AF32">IFERROR(IF(AND($AH$24="Downstate", $D$10="Electric"), "", INDEX('ROOF INCENTIVE'!$K$4:$K$67,MATCH(1,($J32='ROOF INCENTIVE'!$B$4:$B$67)*($K32='ROOF INCENTIVE'!$C$4:$C$67)*($L32='ROOF INCENTIVE'!$D$4:$D$67)*IF('ROOF INCENTIVE'!$E$4:$E$67="NA",1,($G32&gt;='ROOF INCENTIVE'!$E$4:$E$67))*IF('ROOF INCENTIVE'!$F$4:$F$67="NA",1,($G32&lt;='ROOF INCENTIVE'!$F$4:$F$67))*IF('ROOF INCENTIVE'!$G$4:$G$67="Passive House",($L32="Yes"),($T32&gt;='ROOF INCENTIVE'!$G$4:$G$67))*IF('ROOF INCENTIVE'!$H$4:$H$67="Passive House",($L32="Yes"),($T32&lt;='ROOF INCENTIVE'!$H$4:$H$67)),0))),"")</f>
        <v/>
      </c>
      <c r="AG32" s="143"/>
      <c r="AL32" s="205"/>
    </row>
    <row r="33" spans="2:38" s="65" customFormat="1" ht="15" customHeight="1" x14ac:dyDescent="0.25">
      <c r="B33" s="339">
        <v>6</v>
      </c>
      <c r="C33" s="712"/>
      <c r="D33" s="712"/>
      <c r="E33" s="712"/>
      <c r="F33" s="712"/>
      <c r="G33" s="713"/>
      <c r="H33" s="712"/>
      <c r="I33" s="715"/>
      <c r="J33" s="462" t="str">
        <f t="shared" si="0"/>
        <v/>
      </c>
      <c r="K33" s="339" t="str">
        <f t="shared" si="6"/>
        <v/>
      </c>
      <c r="L33" s="339" t="str">
        <f t="shared" si="7"/>
        <v/>
      </c>
      <c r="M33" s="339" t="str">
        <f t="shared" si="8"/>
        <v/>
      </c>
      <c r="N33" s="339" t="str">
        <f t="shared" si="1"/>
        <v/>
      </c>
      <c r="O33" s="339" t="str">
        <f t="shared" si="9"/>
        <v/>
      </c>
      <c r="P33" s="339" t="str">
        <f t="shared" si="10"/>
        <v/>
      </c>
      <c r="Q33" s="712"/>
      <c r="R33" s="858" t="str" cm="1">
        <f t="array" ref="R33">IFERROR(IF($M33="Retrofit",_xlfn.XLOOKUP($D$5,'TRM V13 Appendix A'!$B$13:$B$33,'TRM V13 Appendix A'!$D$13:$D$33,""),IF(OR($N33="",$F33=""),"",_xlfn.XLOOKUP($F33,'ROOF CODE'!$B$4:$B$6,_xlfn.XLOOKUP($N33,'ROOF CODE'!$C$3:$E$3,'ROOF CODE'!$C$4:$E$6,""),""))),"")</f>
        <v/>
      </c>
      <c r="S33" s="462" t="str">
        <f t="shared" si="2"/>
        <v/>
      </c>
      <c r="T33" s="462" t="str">
        <f t="shared" si="11"/>
        <v/>
      </c>
      <c r="U33" s="463" t="str">
        <f t="shared" si="12"/>
        <v/>
      </c>
      <c r="V33" s="463" t="str">
        <f t="shared" si="13"/>
        <v/>
      </c>
      <c r="W33" s="463" t="str">
        <f t="shared" si="3"/>
        <v/>
      </c>
      <c r="X33" s="464" t="str">
        <f t="shared" si="14"/>
        <v/>
      </c>
      <c r="Y33" s="351" t="str">
        <f t="shared" si="15"/>
        <v/>
      </c>
      <c r="Z33" s="463" t="str">
        <f t="shared" si="4"/>
        <v/>
      </c>
      <c r="AA33" s="465" t="str">
        <f>IFERROR(IF(C33="", "", W33/'App Cust Info'!$F$24), "")</f>
        <v/>
      </c>
      <c r="AB33" s="465" t="str">
        <f>IFERROR(IF(C33="", "", Z33/'App Cust Info'!$F$26), "")</f>
        <v/>
      </c>
      <c r="AC33" s="466" t="str" cm="1">
        <f t="array" ref="AC33">IFERROR(IF(AND($AH$24="Downstate", $D$10="Electric"), "", INDEX('ROOF INCENTIVE'!$I$4:$I$67,MATCH(1,($J33='ROOF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D33" s="466" t="str">
        <f t="shared" si="5"/>
        <v/>
      </c>
      <c r="AE33" s="467" t="str" cm="1">
        <f t="array" ref="AE33">IFERROR(IF(AND($AH$24="Downstate", $D$10="Electric"), "", INDEX('ROOF INCENTIVE'!$J$4:$J$67,MATCH(1,($J33='ROOF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F33" s="468" t="str" cm="1">
        <f t="array" ref="AF33">IFERROR(IF(AND($AH$24="Downstate", $D$10="Electric"), "", INDEX('ROOF INCENTIVE'!$K$4:$K$67,MATCH(1,($J33='ROOF INCENTIVE'!$B$4:$B$67)*($K33='ROOF INCENTIVE'!$C$4:$C$67)*($L33='ROOF INCENTIVE'!$D$4:$D$67)*IF('ROOF INCENTIVE'!$E$4:$E$67="NA",1,($G33&gt;='ROOF INCENTIVE'!$E$4:$E$67))*IF('ROOF INCENTIVE'!$F$4:$F$67="NA",1,($G33&lt;='ROOF INCENTIVE'!$F$4:$F$67))*IF('ROOF INCENTIVE'!$G$4:$G$67="Passive House",($L33="Yes"),($T33&gt;='ROOF INCENTIVE'!$G$4:$G$67))*IF('ROOF INCENTIVE'!$H$4:$H$67="Passive House",($L33="Yes"),($T33&lt;='ROOF INCENTIVE'!$H$4:$H$67)),0))),"")</f>
        <v/>
      </c>
      <c r="AG33" s="143"/>
      <c r="AK33" s="469"/>
      <c r="AL33" s="205"/>
    </row>
    <row r="34" spans="2:38" s="65" customFormat="1" x14ac:dyDescent="0.25">
      <c r="B34" s="339">
        <v>7</v>
      </c>
      <c r="C34" s="712"/>
      <c r="D34" s="712"/>
      <c r="E34" s="712"/>
      <c r="F34" s="712"/>
      <c r="G34" s="713"/>
      <c r="H34" s="712"/>
      <c r="I34" s="715"/>
      <c r="J34" s="462" t="str">
        <f t="shared" si="0"/>
        <v/>
      </c>
      <c r="K34" s="339" t="str">
        <f t="shared" si="6"/>
        <v/>
      </c>
      <c r="L34" s="339" t="str">
        <f t="shared" si="7"/>
        <v/>
      </c>
      <c r="M34" s="339" t="str">
        <f t="shared" si="8"/>
        <v/>
      </c>
      <c r="N34" s="339" t="str">
        <f t="shared" si="1"/>
        <v/>
      </c>
      <c r="O34" s="339" t="str">
        <f t="shared" si="9"/>
        <v/>
      </c>
      <c r="P34" s="339" t="str">
        <f t="shared" si="10"/>
        <v/>
      </c>
      <c r="Q34" s="712"/>
      <c r="R34" s="858" t="str" cm="1">
        <f t="array" ref="R34">IFERROR(IF($M34="Retrofit",_xlfn.XLOOKUP($D$5,'TRM V13 Appendix A'!$B$13:$B$33,'TRM V13 Appendix A'!$D$13:$D$33,""),IF(OR($N34="",$F34=""),"",_xlfn.XLOOKUP($F34,'ROOF CODE'!$B$4:$B$6,_xlfn.XLOOKUP($N34,'ROOF CODE'!$C$3:$E$3,'ROOF CODE'!$C$4:$E$6,""),""))),"")</f>
        <v/>
      </c>
      <c r="S34" s="462" t="str">
        <f t="shared" si="2"/>
        <v/>
      </c>
      <c r="T34" s="462" t="str">
        <f t="shared" si="11"/>
        <v/>
      </c>
      <c r="U34" s="463" t="str">
        <f t="shared" si="12"/>
        <v/>
      </c>
      <c r="V34" s="463" t="str">
        <f t="shared" si="13"/>
        <v/>
      </c>
      <c r="W34" s="463" t="str">
        <f t="shared" si="3"/>
        <v/>
      </c>
      <c r="X34" s="464" t="str">
        <f t="shared" si="14"/>
        <v/>
      </c>
      <c r="Y34" s="351" t="str">
        <f t="shared" si="15"/>
        <v/>
      </c>
      <c r="Z34" s="463" t="str">
        <f t="shared" si="4"/>
        <v/>
      </c>
      <c r="AA34" s="465" t="str">
        <f>IFERROR(IF(C34="", "", W34/'App Cust Info'!$F$24), "")</f>
        <v/>
      </c>
      <c r="AB34" s="465" t="str">
        <f>IFERROR(IF(C34="", "", Z34/'App Cust Info'!$F$26), "")</f>
        <v/>
      </c>
      <c r="AC34" s="466" t="str" cm="1">
        <f t="array" ref="AC34">IFERROR(IF(AND($AH$24="Downstate", $D$10="Electric"), "", INDEX('ROOF INCENTIVE'!$I$4:$I$67,MATCH(1,($J34='ROOF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D34" s="466" t="str">
        <f t="shared" si="5"/>
        <v/>
      </c>
      <c r="AE34" s="467" t="str" cm="1">
        <f t="array" ref="AE34">IFERROR(IF(AND($AH$24="Downstate", $D$10="Electric"), "", INDEX('ROOF INCENTIVE'!$J$4:$J$67,MATCH(1,($J34='ROOF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F34" s="468" t="str" cm="1">
        <f t="array" ref="AF34">IFERROR(IF(AND($AH$24="Downstate", $D$10="Electric"), "", INDEX('ROOF INCENTIVE'!$K$4:$K$67,MATCH(1,($J34='ROOF INCENTIVE'!$B$4:$B$67)*($K34='ROOF INCENTIVE'!$C$4:$C$67)*($L34='ROOF INCENTIVE'!$D$4:$D$67)*IF('ROOF INCENTIVE'!$E$4:$E$67="NA",1,($G34&gt;='ROOF INCENTIVE'!$E$4:$E$67))*IF('ROOF INCENTIVE'!$F$4:$F$67="NA",1,($G34&lt;='ROOF INCENTIVE'!$F$4:$F$67))*IF('ROOF INCENTIVE'!$G$4:$G$67="Passive House",($L34="Yes"),($T34&gt;='ROOF INCENTIVE'!$G$4:$G$67))*IF('ROOF INCENTIVE'!$H$4:$H$67="Passive House",($L34="Yes"),($T34&lt;='ROOF INCENTIVE'!$H$4:$H$67)),0))),"")</f>
        <v/>
      </c>
      <c r="AG34" s="143"/>
      <c r="AL34" s="205"/>
    </row>
    <row r="35" spans="2:38" s="65" customFormat="1" x14ac:dyDescent="0.25">
      <c r="B35" s="339">
        <v>8</v>
      </c>
      <c r="C35" s="712"/>
      <c r="D35" s="712"/>
      <c r="E35" s="712"/>
      <c r="F35" s="712"/>
      <c r="G35" s="713"/>
      <c r="H35" s="712"/>
      <c r="I35" s="715"/>
      <c r="J35" s="462" t="str">
        <f t="shared" si="0"/>
        <v/>
      </c>
      <c r="K35" s="339" t="str">
        <f t="shared" si="6"/>
        <v/>
      </c>
      <c r="L35" s="339" t="str">
        <f t="shared" si="7"/>
        <v/>
      </c>
      <c r="M35" s="339" t="str">
        <f t="shared" si="8"/>
        <v/>
      </c>
      <c r="N35" s="339" t="str">
        <f t="shared" si="1"/>
        <v/>
      </c>
      <c r="O35" s="339" t="str">
        <f t="shared" si="9"/>
        <v/>
      </c>
      <c r="P35" s="339" t="str">
        <f t="shared" si="10"/>
        <v/>
      </c>
      <c r="Q35" s="712"/>
      <c r="R35" s="858" t="str" cm="1">
        <f t="array" ref="R35">IFERROR(IF($M35="Retrofit",_xlfn.XLOOKUP($D$5,'TRM V13 Appendix A'!$B$13:$B$33,'TRM V13 Appendix A'!$D$13:$D$33,""),IF(OR($N35="",$F35=""),"",_xlfn.XLOOKUP($F35,'ROOF CODE'!$B$4:$B$6,_xlfn.XLOOKUP($N35,'ROOF CODE'!$C$3:$E$3,'ROOF CODE'!$C$4:$E$6,""),""))),"")</f>
        <v/>
      </c>
      <c r="S35" s="462" t="str">
        <f t="shared" si="2"/>
        <v/>
      </c>
      <c r="T35" s="462" t="str">
        <f t="shared" si="11"/>
        <v/>
      </c>
      <c r="U35" s="463" t="str">
        <f t="shared" si="12"/>
        <v/>
      </c>
      <c r="V35" s="463" t="str">
        <f t="shared" si="13"/>
        <v/>
      </c>
      <c r="W35" s="463" t="str">
        <f t="shared" si="3"/>
        <v/>
      </c>
      <c r="X35" s="464" t="str">
        <f t="shared" si="14"/>
        <v/>
      </c>
      <c r="Y35" s="351" t="str">
        <f t="shared" si="15"/>
        <v/>
      </c>
      <c r="Z35" s="463" t="str">
        <f t="shared" si="4"/>
        <v/>
      </c>
      <c r="AA35" s="465" t="str">
        <f>IFERROR(IF(C35="", "", W35/'App Cust Info'!$F$24), "")</f>
        <v/>
      </c>
      <c r="AB35" s="465" t="str">
        <f>IFERROR(IF(C35="", "", Z35/'App Cust Info'!$F$26), "")</f>
        <v/>
      </c>
      <c r="AC35" s="466" t="str" cm="1">
        <f t="array" ref="AC35">IFERROR(IF(AND($AH$24="Downstate", $D$10="Electric"), "", INDEX('ROOF INCENTIVE'!$I$4:$I$67,MATCH(1,($J35='ROOF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D35" s="466" t="str">
        <f t="shared" si="5"/>
        <v/>
      </c>
      <c r="AE35" s="467" t="str" cm="1">
        <f t="array" ref="AE35">IFERROR(IF(AND($AH$24="Downstate", $D$10="Electric"), "", INDEX('ROOF INCENTIVE'!$J$4:$J$67,MATCH(1,($J35='ROOF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F35" s="468" t="str" cm="1">
        <f t="array" ref="AF35">IFERROR(IF(AND($AH$24="Downstate", $D$10="Electric"), "", INDEX('ROOF INCENTIVE'!$K$4:$K$67,MATCH(1,($J35='ROOF INCENTIVE'!$B$4:$B$67)*($K35='ROOF INCENTIVE'!$C$4:$C$67)*($L35='ROOF INCENTIVE'!$D$4:$D$67)*IF('ROOF INCENTIVE'!$E$4:$E$67="NA",1,($G35&gt;='ROOF INCENTIVE'!$E$4:$E$67))*IF('ROOF INCENTIVE'!$F$4:$F$67="NA",1,($G35&lt;='ROOF INCENTIVE'!$F$4:$F$67))*IF('ROOF INCENTIVE'!$G$4:$G$67="Passive House",($L35="Yes"),($T35&gt;='ROOF INCENTIVE'!$G$4:$G$67))*IF('ROOF INCENTIVE'!$H$4:$H$67="Passive House",($L35="Yes"),($T35&lt;='ROOF INCENTIVE'!$H$4:$H$67)),0))),"")</f>
        <v/>
      </c>
      <c r="AG35" s="143"/>
      <c r="AL35" s="205"/>
    </row>
    <row r="36" spans="2:38" s="65" customFormat="1" x14ac:dyDescent="0.25">
      <c r="B36" s="339">
        <v>9</v>
      </c>
      <c r="C36" s="712"/>
      <c r="D36" s="712"/>
      <c r="E36" s="712"/>
      <c r="F36" s="712"/>
      <c r="G36" s="713"/>
      <c r="H36" s="712"/>
      <c r="I36" s="715"/>
      <c r="J36" s="462" t="str">
        <f t="shared" si="0"/>
        <v/>
      </c>
      <c r="K36" s="339" t="str">
        <f t="shared" si="6"/>
        <v/>
      </c>
      <c r="L36" s="339" t="str">
        <f t="shared" si="7"/>
        <v/>
      </c>
      <c r="M36" s="339" t="str">
        <f t="shared" si="8"/>
        <v/>
      </c>
      <c r="N36" s="339" t="str">
        <f t="shared" si="1"/>
        <v/>
      </c>
      <c r="O36" s="339" t="str">
        <f t="shared" si="9"/>
        <v/>
      </c>
      <c r="P36" s="339" t="str">
        <f t="shared" si="10"/>
        <v/>
      </c>
      <c r="Q36" s="712"/>
      <c r="R36" s="858" t="str" cm="1">
        <f t="array" ref="R36">IFERROR(IF($M36="Retrofit",_xlfn.XLOOKUP($D$5,'TRM V13 Appendix A'!$B$13:$B$33,'TRM V13 Appendix A'!$D$13:$D$33,""),IF(OR($N36="",$F36=""),"",_xlfn.XLOOKUP($F36,'ROOF CODE'!$B$4:$B$6,_xlfn.XLOOKUP($N36,'ROOF CODE'!$C$3:$E$3,'ROOF CODE'!$C$4:$E$6,""),""))),"")</f>
        <v/>
      </c>
      <c r="S36" s="462" t="str">
        <f t="shared" si="2"/>
        <v/>
      </c>
      <c r="T36" s="462" t="str">
        <f t="shared" si="11"/>
        <v/>
      </c>
      <c r="U36" s="463" t="str">
        <f t="shared" si="12"/>
        <v/>
      </c>
      <c r="V36" s="463" t="str">
        <f t="shared" si="13"/>
        <v/>
      </c>
      <c r="W36" s="463" t="str">
        <f t="shared" si="3"/>
        <v/>
      </c>
      <c r="X36" s="464" t="str">
        <f t="shared" si="14"/>
        <v/>
      </c>
      <c r="Y36" s="351" t="str">
        <f t="shared" si="15"/>
        <v/>
      </c>
      <c r="Z36" s="463" t="str">
        <f t="shared" si="4"/>
        <v/>
      </c>
      <c r="AA36" s="465" t="str">
        <f>IFERROR(IF(C36="", "", W36/'App Cust Info'!$F$24), "")</f>
        <v/>
      </c>
      <c r="AB36" s="465" t="str">
        <f>IFERROR(IF(C36="", "", Z36/'App Cust Info'!$F$26), "")</f>
        <v/>
      </c>
      <c r="AC36" s="466" t="str" cm="1">
        <f t="array" ref="AC36">IFERROR(IF(AND($AH$24="Downstate", $D$10="Electric"), "", INDEX('ROOF INCENTIVE'!$I$4:$I$67,MATCH(1,($J36='ROOF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D36" s="466" t="str">
        <f t="shared" si="5"/>
        <v/>
      </c>
      <c r="AE36" s="467" t="str" cm="1">
        <f t="array" ref="AE36">IFERROR(IF(AND($AH$24="Downstate", $D$10="Electric"), "", INDEX('ROOF INCENTIVE'!$J$4:$J$67,MATCH(1,($J36='ROOF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F36" s="468" t="str" cm="1">
        <f t="array" ref="AF36">IFERROR(IF(AND($AH$24="Downstate", $D$10="Electric"), "", INDEX('ROOF INCENTIVE'!$K$4:$K$67,MATCH(1,($J36='ROOF INCENTIVE'!$B$4:$B$67)*($K36='ROOF INCENTIVE'!$C$4:$C$67)*($L36='ROOF INCENTIVE'!$D$4:$D$67)*IF('ROOF INCENTIVE'!$E$4:$E$67="NA",1,($G36&gt;='ROOF INCENTIVE'!$E$4:$E$67))*IF('ROOF INCENTIVE'!$F$4:$F$67="NA",1,($G36&lt;='ROOF INCENTIVE'!$F$4:$F$67))*IF('ROOF INCENTIVE'!$G$4:$G$67="Passive House",($L36="Yes"),($T36&gt;='ROOF INCENTIVE'!$G$4:$G$67))*IF('ROOF INCENTIVE'!$H$4:$H$67="Passive House",($L36="Yes"),($T36&lt;='ROOF INCENTIVE'!$H$4:$H$67)),0))),"")</f>
        <v/>
      </c>
      <c r="AG36" s="143"/>
    </row>
    <row r="37" spans="2:38" s="65" customFormat="1" x14ac:dyDescent="0.25">
      <c r="B37" s="339">
        <v>10</v>
      </c>
      <c r="C37" s="712"/>
      <c r="D37" s="712"/>
      <c r="E37" s="712"/>
      <c r="F37" s="712"/>
      <c r="G37" s="713"/>
      <c r="H37" s="712"/>
      <c r="I37" s="715"/>
      <c r="J37" s="462" t="str">
        <f t="shared" si="0"/>
        <v/>
      </c>
      <c r="K37" s="339" t="str">
        <f t="shared" si="6"/>
        <v/>
      </c>
      <c r="L37" s="339" t="str">
        <f t="shared" si="7"/>
        <v/>
      </c>
      <c r="M37" s="339" t="str">
        <f t="shared" si="8"/>
        <v/>
      </c>
      <c r="N37" s="339" t="str">
        <f t="shared" si="1"/>
        <v/>
      </c>
      <c r="O37" s="339" t="str">
        <f t="shared" si="9"/>
        <v/>
      </c>
      <c r="P37" s="339" t="str">
        <f t="shared" si="10"/>
        <v/>
      </c>
      <c r="Q37" s="712"/>
      <c r="R37" s="858" t="str" cm="1">
        <f t="array" ref="R37">IFERROR(IF($M37="Retrofit",_xlfn.XLOOKUP($D$5,'TRM V13 Appendix A'!$B$13:$B$33,'TRM V13 Appendix A'!$D$13:$D$33,""),IF(OR($N37="",$F37=""),"",_xlfn.XLOOKUP($F37,'ROOF CODE'!$B$4:$B$6,_xlfn.XLOOKUP($N37,'ROOF CODE'!$C$3:$E$3,'ROOF CODE'!$C$4:$E$6,""),""))),"")</f>
        <v/>
      </c>
      <c r="S37" s="462" t="str">
        <f t="shared" si="2"/>
        <v/>
      </c>
      <c r="T37" s="462" t="str">
        <f t="shared" si="11"/>
        <v/>
      </c>
      <c r="U37" s="463" t="str">
        <f t="shared" si="12"/>
        <v/>
      </c>
      <c r="V37" s="463" t="str">
        <f t="shared" si="13"/>
        <v/>
      </c>
      <c r="W37" s="463" t="str">
        <f t="shared" si="3"/>
        <v/>
      </c>
      <c r="X37" s="464" t="str">
        <f t="shared" si="14"/>
        <v/>
      </c>
      <c r="Y37" s="351" t="str">
        <f t="shared" si="15"/>
        <v/>
      </c>
      <c r="Z37" s="463" t="str">
        <f t="shared" si="4"/>
        <v/>
      </c>
      <c r="AA37" s="465" t="str">
        <f>IFERROR(IF(C37="", "", W37/'App Cust Info'!$F$24), "")</f>
        <v/>
      </c>
      <c r="AB37" s="465" t="str">
        <f>IFERROR(IF(C37="", "", Z37/'App Cust Info'!$F$26), "")</f>
        <v/>
      </c>
      <c r="AC37" s="466" t="str" cm="1">
        <f t="array" ref="AC37">IFERROR(IF(AND($AH$24="Downstate", $D$10="Electric"), "", INDEX('ROOF INCENTIVE'!$I$4:$I$67,MATCH(1,($J37='ROOF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D37" s="466" t="str">
        <f t="shared" si="5"/>
        <v/>
      </c>
      <c r="AE37" s="467" t="str" cm="1">
        <f t="array" ref="AE37">IFERROR(IF(AND($AH$24="Downstate", $D$10="Electric"), "", INDEX('ROOF INCENTIVE'!$J$4:$J$67,MATCH(1,($J37='ROOF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F37" s="468" t="str" cm="1">
        <f t="array" ref="AF37">IFERROR(IF(AND($AH$24="Downstate", $D$10="Electric"), "", INDEX('ROOF INCENTIVE'!$K$4:$K$67,MATCH(1,($J37='ROOF INCENTIVE'!$B$4:$B$67)*($K37='ROOF INCENTIVE'!$C$4:$C$67)*($L37='ROOF INCENTIVE'!$D$4:$D$67)*IF('ROOF INCENTIVE'!$E$4:$E$67="NA",1,($G37&gt;='ROOF INCENTIVE'!$E$4:$E$67))*IF('ROOF INCENTIVE'!$F$4:$F$67="NA",1,($G37&lt;='ROOF INCENTIVE'!$F$4:$F$67))*IF('ROOF INCENTIVE'!$G$4:$G$67="Passive House",($L37="Yes"),($T37&gt;='ROOF INCENTIVE'!$G$4:$G$67))*IF('ROOF INCENTIVE'!$H$4:$H$67="Passive House",($L37="Yes"),($T37&lt;='ROOF INCENTIVE'!$H$4:$H$67)),0))),"")</f>
        <v/>
      </c>
      <c r="AG37" s="143"/>
    </row>
    <row r="38" spans="2:38" s="65" customFormat="1" x14ac:dyDescent="0.25">
      <c r="B38" s="339">
        <v>11</v>
      </c>
      <c r="C38" s="712"/>
      <c r="D38" s="712"/>
      <c r="E38" s="712"/>
      <c r="F38" s="712"/>
      <c r="G38" s="713"/>
      <c r="H38" s="712"/>
      <c r="I38" s="715"/>
      <c r="J38" s="462" t="str">
        <f t="shared" si="0"/>
        <v/>
      </c>
      <c r="K38" s="339" t="str">
        <f t="shared" si="6"/>
        <v/>
      </c>
      <c r="L38" s="339" t="str">
        <f t="shared" si="7"/>
        <v/>
      </c>
      <c r="M38" s="339" t="str">
        <f t="shared" si="8"/>
        <v/>
      </c>
      <c r="N38" s="339" t="str">
        <f t="shared" si="1"/>
        <v/>
      </c>
      <c r="O38" s="339" t="str">
        <f t="shared" si="9"/>
        <v/>
      </c>
      <c r="P38" s="339" t="str">
        <f t="shared" si="10"/>
        <v/>
      </c>
      <c r="Q38" s="712"/>
      <c r="R38" s="858" t="str" cm="1">
        <f t="array" ref="R38">IFERROR(IF($M38="Retrofit",_xlfn.XLOOKUP($D$5,'TRM V13 Appendix A'!$B$13:$B$33,'TRM V13 Appendix A'!$D$13:$D$33,""),IF(OR($N38="",$F38=""),"",_xlfn.XLOOKUP($F38,'ROOF CODE'!$B$4:$B$6,_xlfn.XLOOKUP($N38,'ROOF CODE'!$C$3:$E$3,'ROOF CODE'!$C$4:$E$6,""),""))),"")</f>
        <v/>
      </c>
      <c r="S38" s="462" t="str">
        <f t="shared" si="2"/>
        <v/>
      </c>
      <c r="T38" s="462" t="str">
        <f t="shared" si="11"/>
        <v/>
      </c>
      <c r="U38" s="463" t="str">
        <f t="shared" si="12"/>
        <v/>
      </c>
      <c r="V38" s="463" t="str">
        <f t="shared" si="13"/>
        <v/>
      </c>
      <c r="W38" s="463" t="str">
        <f t="shared" si="3"/>
        <v/>
      </c>
      <c r="X38" s="464" t="str">
        <f t="shared" si="14"/>
        <v/>
      </c>
      <c r="Y38" s="351" t="str">
        <f t="shared" si="15"/>
        <v/>
      </c>
      <c r="Z38" s="463" t="str">
        <f t="shared" si="4"/>
        <v/>
      </c>
      <c r="AA38" s="465" t="str">
        <f>IFERROR(IF(C38="", "", W38/'App Cust Info'!$F$24), "")</f>
        <v/>
      </c>
      <c r="AB38" s="465" t="str">
        <f>IFERROR(IF(C38="", "", Z38/'App Cust Info'!$F$26), "")</f>
        <v/>
      </c>
      <c r="AC38" s="466" t="str" cm="1">
        <f t="array" ref="AC38">IFERROR(IF(AND($AH$24="Downstate", $D$10="Electric"), "", INDEX('ROOF INCENTIVE'!$I$4:$I$67,MATCH(1,($J38='ROOF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D38" s="466" t="str">
        <f t="shared" si="5"/>
        <v/>
      </c>
      <c r="AE38" s="467" t="str" cm="1">
        <f t="array" ref="AE38">IFERROR(IF(AND($AH$24="Downstate", $D$10="Electric"), "", INDEX('ROOF INCENTIVE'!$J$4:$J$67,MATCH(1,($J38='ROOF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F38" s="468" t="str" cm="1">
        <f t="array" ref="AF38">IFERROR(IF(AND($AH$24="Downstate", $D$10="Electric"), "", INDEX('ROOF INCENTIVE'!$K$4:$K$67,MATCH(1,($J38='ROOF INCENTIVE'!$B$4:$B$67)*($K38='ROOF INCENTIVE'!$C$4:$C$67)*($L38='ROOF INCENTIVE'!$D$4:$D$67)*IF('ROOF INCENTIVE'!$E$4:$E$67="NA",1,($G38&gt;='ROOF INCENTIVE'!$E$4:$E$67))*IF('ROOF INCENTIVE'!$F$4:$F$67="NA",1,($G38&lt;='ROOF INCENTIVE'!$F$4:$F$67))*IF('ROOF INCENTIVE'!$G$4:$G$67="Passive House",($L38="Yes"),($T38&gt;='ROOF INCENTIVE'!$G$4:$G$67))*IF('ROOF INCENTIVE'!$H$4:$H$67="Passive House",($L38="Yes"),($T38&lt;='ROOF INCENTIVE'!$H$4:$H$67)),0))),"")</f>
        <v/>
      </c>
      <c r="AG38" s="143"/>
    </row>
    <row r="39" spans="2:38" s="65" customFormat="1" x14ac:dyDescent="0.25">
      <c r="B39" s="339">
        <v>12</v>
      </c>
      <c r="C39" s="712"/>
      <c r="D39" s="712"/>
      <c r="E39" s="712"/>
      <c r="F39" s="712"/>
      <c r="G39" s="713"/>
      <c r="H39" s="712"/>
      <c r="I39" s="715"/>
      <c r="J39" s="462" t="str">
        <f t="shared" si="0"/>
        <v/>
      </c>
      <c r="K39" s="339" t="str">
        <f t="shared" si="6"/>
        <v/>
      </c>
      <c r="L39" s="339" t="str">
        <f t="shared" si="7"/>
        <v/>
      </c>
      <c r="M39" s="339" t="str">
        <f t="shared" si="8"/>
        <v/>
      </c>
      <c r="N39" s="339" t="str">
        <f t="shared" si="1"/>
        <v/>
      </c>
      <c r="O39" s="339" t="str">
        <f t="shared" si="9"/>
        <v/>
      </c>
      <c r="P39" s="339" t="str">
        <f t="shared" si="10"/>
        <v/>
      </c>
      <c r="Q39" s="712"/>
      <c r="R39" s="858" t="str" cm="1">
        <f t="array" ref="R39">IFERROR(IF($M39="Retrofit",_xlfn.XLOOKUP($D$5,'TRM V13 Appendix A'!$B$13:$B$33,'TRM V13 Appendix A'!$D$13:$D$33,""),IF(OR($N39="",$F39=""),"",_xlfn.XLOOKUP($F39,'ROOF CODE'!$B$4:$B$6,_xlfn.XLOOKUP($N39,'ROOF CODE'!$C$3:$E$3,'ROOF CODE'!$C$4:$E$6,""),""))),"")</f>
        <v/>
      </c>
      <c r="S39" s="462" t="str">
        <f t="shared" si="2"/>
        <v/>
      </c>
      <c r="T39" s="462" t="str">
        <f t="shared" si="11"/>
        <v/>
      </c>
      <c r="U39" s="463" t="str">
        <f t="shared" si="12"/>
        <v/>
      </c>
      <c r="V39" s="463" t="str">
        <f t="shared" si="13"/>
        <v/>
      </c>
      <c r="W39" s="463" t="str">
        <f t="shared" si="3"/>
        <v/>
      </c>
      <c r="X39" s="464" t="str">
        <f t="shared" si="14"/>
        <v/>
      </c>
      <c r="Y39" s="351" t="str">
        <f t="shared" si="15"/>
        <v/>
      </c>
      <c r="Z39" s="463" t="str">
        <f t="shared" si="4"/>
        <v/>
      </c>
      <c r="AA39" s="465" t="str">
        <f>IFERROR(IF(C39="", "", W39/'App Cust Info'!$F$24), "")</f>
        <v/>
      </c>
      <c r="AB39" s="465" t="str">
        <f>IFERROR(IF(C39="", "", Z39/'App Cust Info'!$F$26), "")</f>
        <v/>
      </c>
      <c r="AC39" s="466" t="str" cm="1">
        <f t="array" ref="AC39">IFERROR(IF(AND($AH$24="Downstate", $D$10="Electric"), "", INDEX('ROOF INCENTIVE'!$I$4:$I$67,MATCH(1,($J39='ROOF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D39" s="466" t="str">
        <f t="shared" si="5"/>
        <v/>
      </c>
      <c r="AE39" s="467" t="str" cm="1">
        <f t="array" ref="AE39">IFERROR(IF(AND($AH$24="Downstate", $D$10="Electric"), "", INDEX('ROOF INCENTIVE'!$J$4:$J$67,MATCH(1,($J39='ROOF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F39" s="468" t="str" cm="1">
        <f t="array" ref="AF39">IFERROR(IF(AND($AH$24="Downstate", $D$10="Electric"), "", INDEX('ROOF INCENTIVE'!$K$4:$K$67,MATCH(1,($J39='ROOF INCENTIVE'!$B$4:$B$67)*($K39='ROOF INCENTIVE'!$C$4:$C$67)*($L39='ROOF INCENTIVE'!$D$4:$D$67)*IF('ROOF INCENTIVE'!$E$4:$E$67="NA",1,($G39&gt;='ROOF INCENTIVE'!$E$4:$E$67))*IF('ROOF INCENTIVE'!$F$4:$F$67="NA",1,($G39&lt;='ROOF INCENTIVE'!$F$4:$F$67))*IF('ROOF INCENTIVE'!$G$4:$G$67="Passive House",($L39="Yes"),($T39&gt;='ROOF INCENTIVE'!$G$4:$G$67))*IF('ROOF INCENTIVE'!$H$4:$H$67="Passive House",($L39="Yes"),($T39&lt;='ROOF INCENTIVE'!$H$4:$H$67)),0))),"")</f>
        <v/>
      </c>
      <c r="AG39" s="143"/>
    </row>
    <row r="40" spans="2:38" s="65" customFormat="1" x14ac:dyDescent="0.25">
      <c r="B40" s="339">
        <v>13</v>
      </c>
      <c r="C40" s="712"/>
      <c r="D40" s="712"/>
      <c r="E40" s="712"/>
      <c r="F40" s="712"/>
      <c r="G40" s="713"/>
      <c r="H40" s="712"/>
      <c r="I40" s="715"/>
      <c r="J40" s="462" t="str">
        <f t="shared" si="0"/>
        <v/>
      </c>
      <c r="K40" s="339" t="str">
        <f t="shared" si="6"/>
        <v/>
      </c>
      <c r="L40" s="339" t="str">
        <f t="shared" si="7"/>
        <v/>
      </c>
      <c r="M40" s="339" t="str">
        <f t="shared" si="8"/>
        <v/>
      </c>
      <c r="N40" s="339" t="str">
        <f t="shared" si="1"/>
        <v/>
      </c>
      <c r="O40" s="339" t="str">
        <f t="shared" si="9"/>
        <v/>
      </c>
      <c r="P40" s="339" t="str">
        <f t="shared" si="10"/>
        <v/>
      </c>
      <c r="Q40" s="712"/>
      <c r="R40" s="858" t="str" cm="1">
        <f t="array" ref="R40">IFERROR(IF($M40="Retrofit",_xlfn.XLOOKUP($D$5,'TRM V13 Appendix A'!$B$13:$B$33,'TRM V13 Appendix A'!$D$13:$D$33,""),IF(OR($N40="",$F40=""),"",_xlfn.XLOOKUP($F40,'ROOF CODE'!$B$4:$B$6,_xlfn.XLOOKUP($N40,'ROOF CODE'!$C$3:$E$3,'ROOF CODE'!$C$4:$E$6,""),""))),"")</f>
        <v/>
      </c>
      <c r="S40" s="462" t="str">
        <f t="shared" si="2"/>
        <v/>
      </c>
      <c r="T40" s="462" t="str">
        <f t="shared" si="11"/>
        <v/>
      </c>
      <c r="U40" s="463" t="str">
        <f t="shared" si="12"/>
        <v/>
      </c>
      <c r="V40" s="463" t="str">
        <f t="shared" si="13"/>
        <v/>
      </c>
      <c r="W40" s="463" t="str">
        <f t="shared" si="3"/>
        <v/>
      </c>
      <c r="X40" s="464" t="str">
        <f t="shared" si="14"/>
        <v/>
      </c>
      <c r="Y40" s="351" t="str">
        <f t="shared" si="15"/>
        <v/>
      </c>
      <c r="Z40" s="463" t="str">
        <f t="shared" si="4"/>
        <v/>
      </c>
      <c r="AA40" s="465" t="str">
        <f>IFERROR(IF(C40="", "", W40/'App Cust Info'!$F$24), "")</f>
        <v/>
      </c>
      <c r="AB40" s="465" t="str">
        <f>IFERROR(IF(C40="", "", Z40/'App Cust Info'!$F$26), "")</f>
        <v/>
      </c>
      <c r="AC40" s="466" t="str" cm="1">
        <f t="array" ref="AC40">IFERROR(IF(AND($AH$24="Downstate", $D$10="Electric"), "", INDEX('ROOF INCENTIVE'!$I$4:$I$67,MATCH(1,($J40='ROOF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D40" s="466" t="str">
        <f t="shared" si="5"/>
        <v/>
      </c>
      <c r="AE40" s="467" t="str" cm="1">
        <f t="array" ref="AE40">IFERROR(IF(AND($AH$24="Downstate", $D$10="Electric"), "", INDEX('ROOF INCENTIVE'!$J$4:$J$67,MATCH(1,($J40='ROOF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F40" s="468" t="str" cm="1">
        <f t="array" ref="AF40">IFERROR(IF(AND($AH$24="Downstate", $D$10="Electric"), "", INDEX('ROOF INCENTIVE'!$K$4:$K$67,MATCH(1,($J40='ROOF INCENTIVE'!$B$4:$B$67)*($K40='ROOF INCENTIVE'!$C$4:$C$67)*($L40='ROOF INCENTIVE'!$D$4:$D$67)*IF('ROOF INCENTIVE'!$E$4:$E$67="NA",1,($G40&gt;='ROOF INCENTIVE'!$E$4:$E$67))*IF('ROOF INCENTIVE'!$F$4:$F$67="NA",1,($G40&lt;='ROOF INCENTIVE'!$F$4:$F$67))*IF('ROOF INCENTIVE'!$G$4:$G$67="Passive House",($L40="Yes"),($T40&gt;='ROOF INCENTIVE'!$G$4:$G$67))*IF('ROOF INCENTIVE'!$H$4:$H$67="Passive House",($L40="Yes"),($T40&lt;='ROOF INCENTIVE'!$H$4:$H$67)),0))),"")</f>
        <v/>
      </c>
      <c r="AG40" s="143"/>
    </row>
    <row r="41" spans="2:38" s="65" customFormat="1" x14ac:dyDescent="0.25">
      <c r="B41" s="339">
        <v>14</v>
      </c>
      <c r="C41" s="712"/>
      <c r="D41" s="712"/>
      <c r="E41" s="712"/>
      <c r="F41" s="712"/>
      <c r="G41" s="713"/>
      <c r="H41" s="712"/>
      <c r="I41" s="715"/>
      <c r="J41" s="462" t="str">
        <f t="shared" si="0"/>
        <v/>
      </c>
      <c r="K41" s="339" t="str">
        <f t="shared" si="6"/>
        <v/>
      </c>
      <c r="L41" s="339" t="str">
        <f t="shared" si="7"/>
        <v/>
      </c>
      <c r="M41" s="339" t="str">
        <f t="shared" si="8"/>
        <v/>
      </c>
      <c r="N41" s="339" t="str">
        <f t="shared" si="1"/>
        <v/>
      </c>
      <c r="O41" s="339" t="str">
        <f t="shared" si="9"/>
        <v/>
      </c>
      <c r="P41" s="339" t="str">
        <f t="shared" si="10"/>
        <v/>
      </c>
      <c r="Q41" s="712"/>
      <c r="R41" s="858" t="str" cm="1">
        <f t="array" ref="R41">IFERROR(IF($M41="Retrofit",_xlfn.XLOOKUP($D$5,'TRM V13 Appendix A'!$B$13:$B$33,'TRM V13 Appendix A'!$D$13:$D$33,""),IF(OR($N41="",$F41=""),"",_xlfn.XLOOKUP($F41,'ROOF CODE'!$B$4:$B$6,_xlfn.XLOOKUP($N41,'ROOF CODE'!$C$3:$E$3,'ROOF CODE'!$C$4:$E$6,""),""))),"")</f>
        <v/>
      </c>
      <c r="S41" s="462" t="str">
        <f t="shared" si="2"/>
        <v/>
      </c>
      <c r="T41" s="462" t="str">
        <f t="shared" si="11"/>
        <v/>
      </c>
      <c r="U41" s="463" t="str">
        <f t="shared" si="12"/>
        <v/>
      </c>
      <c r="V41" s="463" t="str">
        <f t="shared" si="13"/>
        <v/>
      </c>
      <c r="W41" s="463" t="str">
        <f t="shared" si="3"/>
        <v/>
      </c>
      <c r="X41" s="464" t="str">
        <f t="shared" si="14"/>
        <v/>
      </c>
      <c r="Y41" s="351" t="str">
        <f t="shared" si="15"/>
        <v/>
      </c>
      <c r="Z41" s="463" t="str">
        <f t="shared" si="4"/>
        <v/>
      </c>
      <c r="AA41" s="465" t="str">
        <f>IFERROR(IF(C41="", "", W41/'App Cust Info'!$F$24), "")</f>
        <v/>
      </c>
      <c r="AB41" s="465" t="str">
        <f>IFERROR(IF(C41="", "", Z41/'App Cust Info'!$F$26), "")</f>
        <v/>
      </c>
      <c r="AC41" s="466" t="str" cm="1">
        <f t="array" ref="AC41">IFERROR(IF(AND($AH$24="Downstate", $D$10="Electric"), "", INDEX('ROOF INCENTIVE'!$I$4:$I$67,MATCH(1,($J41='ROOF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D41" s="466" t="str">
        <f t="shared" si="5"/>
        <v/>
      </c>
      <c r="AE41" s="467" t="str" cm="1">
        <f t="array" ref="AE41">IFERROR(IF(AND($AH$24="Downstate", $D$10="Electric"), "", INDEX('ROOF INCENTIVE'!$J$4:$J$67,MATCH(1,($J41='ROOF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F41" s="468" t="str" cm="1">
        <f t="array" ref="AF41">IFERROR(IF(AND($AH$24="Downstate", $D$10="Electric"), "", INDEX('ROOF INCENTIVE'!$K$4:$K$67,MATCH(1,($J41='ROOF INCENTIVE'!$B$4:$B$67)*($K41='ROOF INCENTIVE'!$C$4:$C$67)*($L41='ROOF INCENTIVE'!$D$4:$D$67)*IF('ROOF INCENTIVE'!$E$4:$E$67="NA",1,($G41&gt;='ROOF INCENTIVE'!$E$4:$E$67))*IF('ROOF INCENTIVE'!$F$4:$F$67="NA",1,($G41&lt;='ROOF INCENTIVE'!$F$4:$F$67))*IF('ROOF INCENTIVE'!$G$4:$G$67="Passive House",($L41="Yes"),($T41&gt;='ROOF INCENTIVE'!$G$4:$G$67))*IF('ROOF INCENTIVE'!$H$4:$H$67="Passive House",($L41="Yes"),($T41&lt;='ROOF INCENTIVE'!$H$4:$H$67)),0))),"")</f>
        <v/>
      </c>
      <c r="AG41" s="143"/>
    </row>
    <row r="42" spans="2:38" s="65" customFormat="1" x14ac:dyDescent="0.25">
      <c r="B42" s="339">
        <v>15</v>
      </c>
      <c r="C42" s="712"/>
      <c r="D42" s="712"/>
      <c r="E42" s="712"/>
      <c r="F42" s="712"/>
      <c r="G42" s="713"/>
      <c r="H42" s="712"/>
      <c r="I42" s="715"/>
      <c r="J42" s="462" t="str">
        <f t="shared" si="0"/>
        <v/>
      </c>
      <c r="K42" s="339" t="str">
        <f t="shared" si="6"/>
        <v/>
      </c>
      <c r="L42" s="339" t="str">
        <f t="shared" si="7"/>
        <v/>
      </c>
      <c r="M42" s="339" t="str">
        <f t="shared" si="8"/>
        <v/>
      </c>
      <c r="N42" s="339" t="str">
        <f t="shared" si="1"/>
        <v/>
      </c>
      <c r="O42" s="339" t="str">
        <f t="shared" si="9"/>
        <v/>
      </c>
      <c r="P42" s="339" t="str">
        <f t="shared" si="10"/>
        <v/>
      </c>
      <c r="Q42" s="712"/>
      <c r="R42" s="858" t="str" cm="1">
        <f t="array" ref="R42">IFERROR(IF($M42="Retrofit",_xlfn.XLOOKUP($D$5,'TRM V13 Appendix A'!$B$13:$B$33,'TRM V13 Appendix A'!$D$13:$D$33,""),IF(OR($N42="",$F42=""),"",_xlfn.XLOOKUP($F42,'ROOF CODE'!$B$4:$B$6,_xlfn.XLOOKUP($N42,'ROOF CODE'!$C$3:$E$3,'ROOF CODE'!$C$4:$E$6,""),""))),"")</f>
        <v/>
      </c>
      <c r="S42" s="462" t="str">
        <f t="shared" si="2"/>
        <v/>
      </c>
      <c r="T42" s="462" t="str">
        <f t="shared" si="11"/>
        <v/>
      </c>
      <c r="U42" s="463" t="str">
        <f t="shared" si="12"/>
        <v/>
      </c>
      <c r="V42" s="463" t="str">
        <f t="shared" si="13"/>
        <v/>
      </c>
      <c r="W42" s="463" t="str">
        <f t="shared" si="3"/>
        <v/>
      </c>
      <c r="X42" s="464" t="str">
        <f t="shared" si="14"/>
        <v/>
      </c>
      <c r="Y42" s="351" t="str">
        <f t="shared" si="15"/>
        <v/>
      </c>
      <c r="Z42" s="463" t="str">
        <f t="shared" si="4"/>
        <v/>
      </c>
      <c r="AA42" s="465" t="str">
        <f>IFERROR(IF(C42="", "", W42/'App Cust Info'!$F$24), "")</f>
        <v/>
      </c>
      <c r="AB42" s="465" t="str">
        <f>IFERROR(IF(C42="", "", Z42/'App Cust Info'!$F$26), "")</f>
        <v/>
      </c>
      <c r="AC42" s="466" t="str" cm="1">
        <f t="array" ref="AC42">IFERROR(IF(AND($AH$24="Downstate", $D$10="Electric"), "", INDEX('ROOF INCENTIVE'!$I$4:$I$67,MATCH(1,($J42='ROOF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D42" s="466" t="str">
        <f t="shared" si="5"/>
        <v/>
      </c>
      <c r="AE42" s="467" t="str" cm="1">
        <f t="array" ref="AE42">IFERROR(IF(AND($AH$24="Downstate", $D$10="Electric"), "", INDEX('ROOF INCENTIVE'!$J$4:$J$67,MATCH(1,($J42='ROOF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F42" s="468" t="str" cm="1">
        <f t="array" ref="AF42">IFERROR(IF(AND($AH$24="Downstate", $D$10="Electric"), "", INDEX('ROOF INCENTIVE'!$K$4:$K$67,MATCH(1,($J42='ROOF INCENTIVE'!$B$4:$B$67)*($K42='ROOF INCENTIVE'!$C$4:$C$67)*($L42='ROOF INCENTIVE'!$D$4:$D$67)*IF('ROOF INCENTIVE'!$E$4:$E$67="NA",1,($G42&gt;='ROOF INCENTIVE'!$E$4:$E$67))*IF('ROOF INCENTIVE'!$F$4:$F$67="NA",1,($G42&lt;='ROOF INCENTIVE'!$F$4:$F$67))*IF('ROOF INCENTIVE'!$G$4:$G$67="Passive House",($L42="Yes"),($T42&gt;='ROOF INCENTIVE'!$G$4:$G$67))*IF('ROOF INCENTIVE'!$H$4:$H$67="Passive House",($L42="Yes"),($T42&lt;='ROOF INCENTIVE'!$H$4:$H$67)),0))),"")</f>
        <v/>
      </c>
      <c r="AG42" s="143"/>
    </row>
    <row r="43" spans="2:38" s="65" customFormat="1" x14ac:dyDescent="0.25">
      <c r="B43" s="339">
        <v>16</v>
      </c>
      <c r="C43" s="712"/>
      <c r="D43" s="712"/>
      <c r="E43" s="712"/>
      <c r="F43" s="712"/>
      <c r="G43" s="713"/>
      <c r="H43" s="712"/>
      <c r="I43" s="715"/>
      <c r="J43" s="462" t="str">
        <f t="shared" si="0"/>
        <v/>
      </c>
      <c r="K43" s="339" t="str">
        <f t="shared" si="6"/>
        <v/>
      </c>
      <c r="L43" s="339" t="str">
        <f t="shared" si="7"/>
        <v/>
      </c>
      <c r="M43" s="339" t="str">
        <f t="shared" si="8"/>
        <v/>
      </c>
      <c r="N43" s="339" t="str">
        <f t="shared" si="1"/>
        <v/>
      </c>
      <c r="O43" s="339" t="str">
        <f t="shared" si="9"/>
        <v/>
      </c>
      <c r="P43" s="339" t="str">
        <f t="shared" si="10"/>
        <v/>
      </c>
      <c r="Q43" s="712"/>
      <c r="R43" s="858" t="str" cm="1">
        <f t="array" ref="R43">IFERROR(IF($M43="Retrofit",_xlfn.XLOOKUP($D$5,'TRM V13 Appendix A'!$B$13:$B$33,'TRM V13 Appendix A'!$D$13:$D$33,""),IF(OR($N43="",$F43=""),"",_xlfn.XLOOKUP($F43,'ROOF CODE'!$B$4:$B$6,_xlfn.XLOOKUP($N43,'ROOF CODE'!$C$3:$E$3,'ROOF CODE'!$C$4:$E$6,""),""))),"")</f>
        <v/>
      </c>
      <c r="S43" s="462" t="str">
        <f t="shared" si="2"/>
        <v/>
      </c>
      <c r="T43" s="462" t="str">
        <f t="shared" si="11"/>
        <v/>
      </c>
      <c r="U43" s="463" t="str">
        <f t="shared" si="12"/>
        <v/>
      </c>
      <c r="V43" s="463" t="str">
        <f t="shared" si="13"/>
        <v/>
      </c>
      <c r="W43" s="463" t="str">
        <f t="shared" si="3"/>
        <v/>
      </c>
      <c r="X43" s="464" t="str">
        <f t="shared" si="14"/>
        <v/>
      </c>
      <c r="Y43" s="351" t="str">
        <f t="shared" si="15"/>
        <v/>
      </c>
      <c r="Z43" s="463" t="str">
        <f t="shared" si="4"/>
        <v/>
      </c>
      <c r="AA43" s="465" t="str">
        <f>IFERROR(IF(C43="", "", W43/'App Cust Info'!$F$24), "")</f>
        <v/>
      </c>
      <c r="AB43" s="465" t="str">
        <f>IFERROR(IF(C43="", "", Z43/'App Cust Info'!$F$26), "")</f>
        <v/>
      </c>
      <c r="AC43" s="466" t="str" cm="1">
        <f t="array" ref="AC43">IFERROR(IF(AND($AH$24="Downstate", $D$10="Electric"), "", INDEX('ROOF INCENTIVE'!$I$4:$I$67,MATCH(1,($J43='ROOF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D43" s="466" t="str">
        <f t="shared" si="5"/>
        <v/>
      </c>
      <c r="AE43" s="467" t="str" cm="1">
        <f t="array" ref="AE43">IFERROR(IF(AND($AH$24="Downstate", $D$10="Electric"), "", INDEX('ROOF INCENTIVE'!$J$4:$J$67,MATCH(1,($J43='ROOF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F43" s="468" t="str" cm="1">
        <f t="array" ref="AF43">IFERROR(IF(AND($AH$24="Downstate", $D$10="Electric"), "", INDEX('ROOF INCENTIVE'!$K$4:$K$67,MATCH(1,($J43='ROOF INCENTIVE'!$B$4:$B$67)*($K43='ROOF INCENTIVE'!$C$4:$C$67)*($L43='ROOF INCENTIVE'!$D$4:$D$67)*IF('ROOF INCENTIVE'!$E$4:$E$67="NA",1,($G43&gt;='ROOF INCENTIVE'!$E$4:$E$67))*IF('ROOF INCENTIVE'!$F$4:$F$67="NA",1,($G43&lt;='ROOF INCENTIVE'!$F$4:$F$67))*IF('ROOF INCENTIVE'!$G$4:$G$67="Passive House",($L43="Yes"),($T43&gt;='ROOF INCENTIVE'!$G$4:$G$67))*IF('ROOF INCENTIVE'!$H$4:$H$67="Passive House",($L43="Yes"),($T43&lt;='ROOF INCENTIVE'!$H$4:$H$67)),0))),"")</f>
        <v/>
      </c>
      <c r="AG43" s="143"/>
    </row>
    <row r="44" spans="2:38" s="65" customFormat="1" x14ac:dyDescent="0.25">
      <c r="B44" s="339">
        <v>17</v>
      </c>
      <c r="C44" s="712"/>
      <c r="D44" s="712"/>
      <c r="E44" s="712"/>
      <c r="F44" s="712"/>
      <c r="G44" s="713"/>
      <c r="H44" s="712"/>
      <c r="I44" s="715"/>
      <c r="J44" s="462" t="str">
        <f t="shared" si="0"/>
        <v/>
      </c>
      <c r="K44" s="339" t="str">
        <f t="shared" si="6"/>
        <v/>
      </c>
      <c r="L44" s="339" t="str">
        <f t="shared" si="7"/>
        <v/>
      </c>
      <c r="M44" s="339" t="str">
        <f t="shared" si="8"/>
        <v/>
      </c>
      <c r="N44" s="339" t="str">
        <f t="shared" si="1"/>
        <v/>
      </c>
      <c r="O44" s="339" t="str">
        <f t="shared" si="9"/>
        <v/>
      </c>
      <c r="P44" s="339" t="str">
        <f t="shared" si="10"/>
        <v/>
      </c>
      <c r="Q44" s="712"/>
      <c r="R44" s="858" t="str" cm="1">
        <f t="array" ref="R44">IFERROR(IF($M44="Retrofit",_xlfn.XLOOKUP($D$5,'TRM V13 Appendix A'!$B$13:$B$33,'TRM V13 Appendix A'!$D$13:$D$33,""),IF(OR($N44="",$F44=""),"",_xlfn.XLOOKUP($F44,'ROOF CODE'!$B$4:$B$6,_xlfn.XLOOKUP($N44,'ROOF CODE'!$C$3:$E$3,'ROOF CODE'!$C$4:$E$6,""),""))),"")</f>
        <v/>
      </c>
      <c r="S44" s="462" t="str">
        <f t="shared" si="2"/>
        <v/>
      </c>
      <c r="T44" s="462" t="str">
        <f t="shared" si="11"/>
        <v/>
      </c>
      <c r="U44" s="463" t="str">
        <f t="shared" si="12"/>
        <v/>
      </c>
      <c r="V44" s="463" t="str">
        <f t="shared" si="13"/>
        <v/>
      </c>
      <c r="W44" s="463" t="str">
        <f t="shared" si="3"/>
        <v/>
      </c>
      <c r="X44" s="464" t="str">
        <f t="shared" si="14"/>
        <v/>
      </c>
      <c r="Y44" s="351" t="str">
        <f t="shared" si="15"/>
        <v/>
      </c>
      <c r="Z44" s="463" t="str">
        <f t="shared" si="4"/>
        <v/>
      </c>
      <c r="AA44" s="465" t="str">
        <f>IFERROR(IF(C44="", "", W44/'App Cust Info'!$F$24), "")</f>
        <v/>
      </c>
      <c r="AB44" s="465" t="str">
        <f>IFERROR(IF(C44="", "", Z44/'App Cust Info'!$F$26), "")</f>
        <v/>
      </c>
      <c r="AC44" s="466" t="str" cm="1">
        <f t="array" ref="AC44">IFERROR(IF(AND($AH$24="Downstate", $D$10="Electric"), "", INDEX('ROOF INCENTIVE'!$I$4:$I$67,MATCH(1,($J44='ROOF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D44" s="466" t="str">
        <f t="shared" si="5"/>
        <v/>
      </c>
      <c r="AE44" s="467" t="str" cm="1">
        <f t="array" ref="AE44">IFERROR(IF(AND($AH$24="Downstate", $D$10="Electric"), "", INDEX('ROOF INCENTIVE'!$J$4:$J$67,MATCH(1,($J44='ROOF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F44" s="468" t="str" cm="1">
        <f t="array" ref="AF44">IFERROR(IF(AND($AH$24="Downstate", $D$10="Electric"), "", INDEX('ROOF INCENTIVE'!$K$4:$K$67,MATCH(1,($J44='ROOF INCENTIVE'!$B$4:$B$67)*($K44='ROOF INCENTIVE'!$C$4:$C$67)*($L44='ROOF INCENTIVE'!$D$4:$D$67)*IF('ROOF INCENTIVE'!$E$4:$E$67="NA",1,($G44&gt;='ROOF INCENTIVE'!$E$4:$E$67))*IF('ROOF INCENTIVE'!$F$4:$F$67="NA",1,($G44&lt;='ROOF INCENTIVE'!$F$4:$F$67))*IF('ROOF INCENTIVE'!$G$4:$G$67="Passive House",($L44="Yes"),($T44&gt;='ROOF INCENTIVE'!$G$4:$G$67))*IF('ROOF INCENTIVE'!$H$4:$H$67="Passive House",($L44="Yes"),($T44&lt;='ROOF INCENTIVE'!$H$4:$H$67)),0))),"")</f>
        <v/>
      </c>
      <c r="AG44" s="143"/>
    </row>
    <row r="45" spans="2:38" s="65" customFormat="1" x14ac:dyDescent="0.25">
      <c r="B45" s="339">
        <v>18</v>
      </c>
      <c r="C45" s="712"/>
      <c r="D45" s="712"/>
      <c r="E45" s="712"/>
      <c r="F45" s="712"/>
      <c r="G45" s="713"/>
      <c r="H45" s="712"/>
      <c r="I45" s="715"/>
      <c r="J45" s="462" t="str">
        <f t="shared" si="0"/>
        <v/>
      </c>
      <c r="K45" s="339" t="str">
        <f t="shared" si="6"/>
        <v/>
      </c>
      <c r="L45" s="339" t="str">
        <f t="shared" si="7"/>
        <v/>
      </c>
      <c r="M45" s="339" t="str">
        <f t="shared" si="8"/>
        <v/>
      </c>
      <c r="N45" s="339" t="str">
        <f t="shared" si="1"/>
        <v/>
      </c>
      <c r="O45" s="339" t="str">
        <f t="shared" si="9"/>
        <v/>
      </c>
      <c r="P45" s="339" t="str">
        <f t="shared" si="10"/>
        <v/>
      </c>
      <c r="Q45" s="712"/>
      <c r="R45" s="858" t="str" cm="1">
        <f t="array" ref="R45">IFERROR(IF($M45="Retrofit",_xlfn.XLOOKUP($D$5,'TRM V13 Appendix A'!$B$13:$B$33,'TRM V13 Appendix A'!$D$13:$D$33,""),IF(OR($N45="",$F45=""),"",_xlfn.XLOOKUP($F45,'ROOF CODE'!$B$4:$B$6,_xlfn.XLOOKUP($N45,'ROOF CODE'!$C$3:$E$3,'ROOF CODE'!$C$4:$E$6,""),""))),"")</f>
        <v/>
      </c>
      <c r="S45" s="462" t="str">
        <f t="shared" si="2"/>
        <v/>
      </c>
      <c r="T45" s="462" t="str">
        <f t="shared" si="11"/>
        <v/>
      </c>
      <c r="U45" s="463" t="str">
        <f t="shared" si="12"/>
        <v/>
      </c>
      <c r="V45" s="463" t="str">
        <f t="shared" si="13"/>
        <v/>
      </c>
      <c r="W45" s="463" t="str">
        <f t="shared" si="3"/>
        <v/>
      </c>
      <c r="X45" s="464" t="str">
        <f t="shared" si="14"/>
        <v/>
      </c>
      <c r="Y45" s="351" t="str">
        <f t="shared" si="15"/>
        <v/>
      </c>
      <c r="Z45" s="463" t="str">
        <f t="shared" si="4"/>
        <v/>
      </c>
      <c r="AA45" s="465" t="str">
        <f>IFERROR(IF(C45="", "", W45/'App Cust Info'!$F$24), "")</f>
        <v/>
      </c>
      <c r="AB45" s="465" t="str">
        <f>IFERROR(IF(C45="", "", Z45/'App Cust Info'!$F$26), "")</f>
        <v/>
      </c>
      <c r="AC45" s="466" t="str" cm="1">
        <f t="array" ref="AC45">IFERROR(IF(AND($AH$24="Downstate", $D$10="Electric"), "", INDEX('ROOF INCENTIVE'!$I$4:$I$67,MATCH(1,($J45='ROOF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D45" s="466" t="str">
        <f t="shared" si="5"/>
        <v/>
      </c>
      <c r="AE45" s="467" t="str" cm="1">
        <f t="array" ref="AE45">IFERROR(IF(AND($AH$24="Downstate", $D$10="Electric"), "", INDEX('ROOF INCENTIVE'!$J$4:$J$67,MATCH(1,($J45='ROOF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F45" s="468" t="str" cm="1">
        <f t="array" ref="AF45">IFERROR(IF(AND($AH$24="Downstate", $D$10="Electric"), "", INDEX('ROOF INCENTIVE'!$K$4:$K$67,MATCH(1,($J45='ROOF INCENTIVE'!$B$4:$B$67)*($K45='ROOF INCENTIVE'!$C$4:$C$67)*($L45='ROOF INCENTIVE'!$D$4:$D$67)*IF('ROOF INCENTIVE'!$E$4:$E$67="NA",1,($G45&gt;='ROOF INCENTIVE'!$E$4:$E$67))*IF('ROOF INCENTIVE'!$F$4:$F$67="NA",1,($G45&lt;='ROOF INCENTIVE'!$F$4:$F$67))*IF('ROOF INCENTIVE'!$G$4:$G$67="Passive House",($L45="Yes"),($T45&gt;='ROOF INCENTIVE'!$G$4:$G$67))*IF('ROOF INCENTIVE'!$H$4:$H$67="Passive House",($L45="Yes"),($T45&lt;='ROOF INCENTIVE'!$H$4:$H$67)),0))),"")</f>
        <v/>
      </c>
      <c r="AG45" s="143"/>
    </row>
    <row r="46" spans="2:38" s="65" customFormat="1" x14ac:dyDescent="0.25">
      <c r="B46" s="339">
        <v>19</v>
      </c>
      <c r="C46" s="712"/>
      <c r="D46" s="712"/>
      <c r="E46" s="712"/>
      <c r="F46" s="712"/>
      <c r="G46" s="713"/>
      <c r="H46" s="712"/>
      <c r="I46" s="715"/>
      <c r="J46" s="462" t="str">
        <f t="shared" si="0"/>
        <v/>
      </c>
      <c r="K46" s="339" t="str">
        <f t="shared" si="6"/>
        <v/>
      </c>
      <c r="L46" s="339" t="str">
        <f t="shared" si="7"/>
        <v/>
      </c>
      <c r="M46" s="339" t="str">
        <f t="shared" si="8"/>
        <v/>
      </c>
      <c r="N46" s="339" t="str">
        <f t="shared" si="1"/>
        <v/>
      </c>
      <c r="O46" s="339" t="str">
        <f t="shared" si="9"/>
        <v/>
      </c>
      <c r="P46" s="339" t="str">
        <f t="shared" si="10"/>
        <v/>
      </c>
      <c r="Q46" s="712"/>
      <c r="R46" s="858" t="str" cm="1">
        <f t="array" ref="R46">IFERROR(IF($M46="Retrofit",_xlfn.XLOOKUP($D$5,'TRM V13 Appendix A'!$B$13:$B$33,'TRM V13 Appendix A'!$D$13:$D$33,""),IF(OR($N46="",$F46=""),"",_xlfn.XLOOKUP($F46,'ROOF CODE'!$B$4:$B$6,_xlfn.XLOOKUP($N46,'ROOF CODE'!$C$3:$E$3,'ROOF CODE'!$C$4:$E$6,""),""))),"")</f>
        <v/>
      </c>
      <c r="S46" s="462" t="str">
        <f t="shared" si="2"/>
        <v/>
      </c>
      <c r="T46" s="462" t="str">
        <f t="shared" si="11"/>
        <v/>
      </c>
      <c r="U46" s="463" t="str">
        <f t="shared" si="12"/>
        <v/>
      </c>
      <c r="V46" s="463" t="str">
        <f t="shared" si="13"/>
        <v/>
      </c>
      <c r="W46" s="463" t="str">
        <f t="shared" si="3"/>
        <v/>
      </c>
      <c r="X46" s="464" t="str">
        <f t="shared" si="14"/>
        <v/>
      </c>
      <c r="Y46" s="351" t="str">
        <f t="shared" si="15"/>
        <v/>
      </c>
      <c r="Z46" s="463" t="str">
        <f t="shared" si="4"/>
        <v/>
      </c>
      <c r="AA46" s="465" t="str">
        <f>IFERROR(IF(C46="", "", W46/'App Cust Info'!$F$24), "")</f>
        <v/>
      </c>
      <c r="AB46" s="465" t="str">
        <f>IFERROR(IF(C46="", "", Z46/'App Cust Info'!$F$26), "")</f>
        <v/>
      </c>
      <c r="AC46" s="466" t="str" cm="1">
        <f t="array" ref="AC46">IFERROR(IF(AND($AH$24="Downstate", $D$10="Electric"), "", INDEX('ROOF INCENTIVE'!$I$4:$I$67,MATCH(1,($J46='ROOF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D46" s="466" t="str">
        <f t="shared" si="5"/>
        <v/>
      </c>
      <c r="AE46" s="467" t="str" cm="1">
        <f t="array" ref="AE46">IFERROR(IF(AND($AH$24="Downstate", $D$10="Electric"), "", INDEX('ROOF INCENTIVE'!$J$4:$J$67,MATCH(1,($J46='ROOF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F46" s="468" t="str" cm="1">
        <f t="array" ref="AF46">IFERROR(IF(AND($AH$24="Downstate", $D$10="Electric"), "", INDEX('ROOF INCENTIVE'!$K$4:$K$67,MATCH(1,($J46='ROOF INCENTIVE'!$B$4:$B$67)*($K46='ROOF INCENTIVE'!$C$4:$C$67)*($L46='ROOF INCENTIVE'!$D$4:$D$67)*IF('ROOF INCENTIVE'!$E$4:$E$67="NA",1,($G46&gt;='ROOF INCENTIVE'!$E$4:$E$67))*IF('ROOF INCENTIVE'!$F$4:$F$67="NA",1,($G46&lt;='ROOF INCENTIVE'!$F$4:$F$67))*IF('ROOF INCENTIVE'!$G$4:$G$67="Passive House",($L46="Yes"),($T46&gt;='ROOF INCENTIVE'!$G$4:$G$67))*IF('ROOF INCENTIVE'!$H$4:$H$67="Passive House",($L46="Yes"),($T46&lt;='ROOF INCENTIVE'!$H$4:$H$67)),0))),"")</f>
        <v/>
      </c>
      <c r="AG46" s="143"/>
    </row>
    <row r="47" spans="2:38" s="65" customFormat="1" x14ac:dyDescent="0.25">
      <c r="B47" s="339">
        <v>20</v>
      </c>
      <c r="C47" s="712"/>
      <c r="D47" s="712"/>
      <c r="E47" s="712"/>
      <c r="F47" s="712"/>
      <c r="G47" s="713"/>
      <c r="H47" s="712"/>
      <c r="I47" s="715"/>
      <c r="J47" s="462" t="str">
        <f t="shared" si="0"/>
        <v/>
      </c>
      <c r="K47" s="339" t="str">
        <f t="shared" si="6"/>
        <v/>
      </c>
      <c r="L47" s="339" t="str">
        <f t="shared" si="7"/>
        <v/>
      </c>
      <c r="M47" s="339" t="str">
        <f t="shared" si="8"/>
        <v/>
      </c>
      <c r="N47" s="339" t="str">
        <f t="shared" si="1"/>
        <v/>
      </c>
      <c r="O47" s="339" t="str">
        <f t="shared" si="9"/>
        <v/>
      </c>
      <c r="P47" s="339" t="str">
        <f t="shared" si="10"/>
        <v/>
      </c>
      <c r="Q47" s="712"/>
      <c r="R47" s="858" t="str" cm="1">
        <f t="array" ref="R47">IFERROR(IF($M47="Retrofit",_xlfn.XLOOKUP($D$5,'TRM V13 Appendix A'!$B$13:$B$33,'TRM V13 Appendix A'!$D$13:$D$33,""),IF(OR($N47="",$F47=""),"",_xlfn.XLOOKUP($F47,'ROOF CODE'!$B$4:$B$6,_xlfn.XLOOKUP($N47,'ROOF CODE'!$C$3:$E$3,'ROOF CODE'!$C$4:$E$6,""),""))),"")</f>
        <v/>
      </c>
      <c r="S47" s="462" t="str">
        <f t="shared" si="2"/>
        <v/>
      </c>
      <c r="T47" s="462" t="str">
        <f t="shared" si="11"/>
        <v/>
      </c>
      <c r="U47" s="463" t="str">
        <f t="shared" si="12"/>
        <v/>
      </c>
      <c r="V47" s="463" t="str">
        <f t="shared" si="13"/>
        <v/>
      </c>
      <c r="W47" s="463" t="str">
        <f t="shared" si="3"/>
        <v/>
      </c>
      <c r="X47" s="464" t="str">
        <f t="shared" si="14"/>
        <v/>
      </c>
      <c r="Y47" s="351" t="str">
        <f t="shared" si="15"/>
        <v/>
      </c>
      <c r="Z47" s="463" t="str">
        <f t="shared" si="4"/>
        <v/>
      </c>
      <c r="AA47" s="465" t="str">
        <f>IFERROR(IF(C47="", "", W47/'App Cust Info'!$F$24), "")</f>
        <v/>
      </c>
      <c r="AB47" s="465" t="str">
        <f>IFERROR(IF(C47="", "", Z47/'App Cust Info'!$F$26), "")</f>
        <v/>
      </c>
      <c r="AC47" s="466" t="str" cm="1">
        <f t="array" ref="AC47">IFERROR(IF(AND($AH$24="Downstate", $D$10="Electric"), "", INDEX('ROOF INCENTIVE'!$I$4:$I$67,MATCH(1,($J47='ROOF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D47" s="466" t="str">
        <f t="shared" si="5"/>
        <v/>
      </c>
      <c r="AE47" s="467" t="str" cm="1">
        <f t="array" ref="AE47">IFERROR(IF(AND($AH$24="Downstate", $D$10="Electric"), "", INDEX('ROOF INCENTIVE'!$J$4:$J$67,MATCH(1,($J47='ROOF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F47" s="468" t="str" cm="1">
        <f t="array" ref="AF47">IFERROR(IF(AND($AH$24="Downstate", $D$10="Electric"), "", INDEX('ROOF INCENTIVE'!$K$4:$K$67,MATCH(1,($J47='ROOF INCENTIVE'!$B$4:$B$67)*($K47='ROOF INCENTIVE'!$C$4:$C$67)*($L47='ROOF INCENTIVE'!$D$4:$D$67)*IF('ROOF INCENTIVE'!$E$4:$E$67="NA",1,($G47&gt;='ROOF INCENTIVE'!$E$4:$E$67))*IF('ROOF INCENTIVE'!$F$4:$F$67="NA",1,($G47&lt;='ROOF INCENTIVE'!$F$4:$F$67))*IF('ROOF INCENTIVE'!$G$4:$G$67="Passive House",($L47="Yes"),($T47&gt;='ROOF INCENTIVE'!$G$4:$G$67))*IF('ROOF INCENTIVE'!$H$4:$H$67="Passive House",($L47="Yes"),($T47&lt;='ROOF INCENTIVE'!$H$4:$H$67)),0))),"")</f>
        <v/>
      </c>
      <c r="AG47" s="143"/>
    </row>
    <row r="48" spans="2:38" s="65" customFormat="1" x14ac:dyDescent="0.25">
      <c r="B48" s="339">
        <v>21</v>
      </c>
      <c r="C48" s="712"/>
      <c r="D48" s="712"/>
      <c r="E48" s="712"/>
      <c r="F48" s="712"/>
      <c r="G48" s="713"/>
      <c r="H48" s="712"/>
      <c r="I48" s="715"/>
      <c r="J48" s="462" t="str">
        <f t="shared" si="0"/>
        <v/>
      </c>
      <c r="K48" s="339" t="str">
        <f t="shared" si="6"/>
        <v/>
      </c>
      <c r="L48" s="339" t="str">
        <f t="shared" si="7"/>
        <v/>
      </c>
      <c r="M48" s="339" t="str">
        <f t="shared" si="8"/>
        <v/>
      </c>
      <c r="N48" s="339" t="str">
        <f t="shared" si="1"/>
        <v/>
      </c>
      <c r="O48" s="339" t="str">
        <f t="shared" si="9"/>
        <v/>
      </c>
      <c r="P48" s="339" t="str">
        <f t="shared" si="10"/>
        <v/>
      </c>
      <c r="Q48" s="712"/>
      <c r="R48" s="858" t="str" cm="1">
        <f t="array" ref="R48">IFERROR(IF($M48="Retrofit",_xlfn.XLOOKUP($D$5,'TRM V13 Appendix A'!$B$13:$B$33,'TRM V13 Appendix A'!$D$13:$D$33,""),IF(OR($N48="",$F48=""),"",_xlfn.XLOOKUP($F48,'ROOF CODE'!$B$4:$B$6,_xlfn.XLOOKUP($N48,'ROOF CODE'!$C$3:$E$3,'ROOF CODE'!$C$4:$E$6,""),""))),"")</f>
        <v/>
      </c>
      <c r="S48" s="462" t="str">
        <f t="shared" si="2"/>
        <v/>
      </c>
      <c r="T48" s="462" t="str">
        <f t="shared" si="11"/>
        <v/>
      </c>
      <c r="U48" s="463" t="str">
        <f t="shared" si="12"/>
        <v/>
      </c>
      <c r="V48" s="463" t="str">
        <f t="shared" si="13"/>
        <v/>
      </c>
      <c r="W48" s="463" t="str">
        <f t="shared" si="3"/>
        <v/>
      </c>
      <c r="X48" s="464" t="str">
        <f t="shared" si="14"/>
        <v/>
      </c>
      <c r="Y48" s="351" t="str">
        <f t="shared" si="15"/>
        <v/>
      </c>
      <c r="Z48" s="463" t="str">
        <f t="shared" si="4"/>
        <v/>
      </c>
      <c r="AA48" s="465" t="str">
        <f>IFERROR(IF(C48="", "", W48/'App Cust Info'!$F$24), "")</f>
        <v/>
      </c>
      <c r="AB48" s="465" t="str">
        <f>IFERROR(IF(C48="", "", Z48/'App Cust Info'!$F$26), "")</f>
        <v/>
      </c>
      <c r="AC48" s="466" t="str" cm="1">
        <f t="array" ref="AC48">IFERROR(IF(AND($AH$24="Downstate", $D$10="Electric"), "", INDEX('ROOF INCENTIVE'!$I$4:$I$67,MATCH(1,($J48='ROOF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D48" s="466" t="str">
        <f t="shared" si="5"/>
        <v/>
      </c>
      <c r="AE48" s="467" t="str" cm="1">
        <f t="array" ref="AE48">IFERROR(IF(AND($AH$24="Downstate", $D$10="Electric"), "", INDEX('ROOF INCENTIVE'!$J$4:$J$67,MATCH(1,($J48='ROOF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F48" s="468" t="str" cm="1">
        <f t="array" ref="AF48">IFERROR(IF(AND($AH$24="Downstate", $D$10="Electric"), "", INDEX('ROOF INCENTIVE'!$K$4:$K$67,MATCH(1,($J48='ROOF INCENTIVE'!$B$4:$B$67)*($K48='ROOF INCENTIVE'!$C$4:$C$67)*($L48='ROOF INCENTIVE'!$D$4:$D$67)*IF('ROOF INCENTIVE'!$E$4:$E$67="NA",1,($G48&gt;='ROOF INCENTIVE'!$E$4:$E$67))*IF('ROOF INCENTIVE'!$F$4:$F$67="NA",1,($G48&lt;='ROOF INCENTIVE'!$F$4:$F$67))*IF('ROOF INCENTIVE'!$G$4:$G$67="Passive House",($L48="Yes"),($T48&gt;='ROOF INCENTIVE'!$G$4:$G$67))*IF('ROOF INCENTIVE'!$H$4:$H$67="Passive House",($L48="Yes"),($T48&lt;='ROOF INCENTIVE'!$H$4:$H$67)),0))),"")</f>
        <v/>
      </c>
      <c r="AG48" s="143"/>
    </row>
    <row r="49" spans="2:33" s="65" customFormat="1" x14ac:dyDescent="0.25">
      <c r="B49" s="339">
        <v>22</v>
      </c>
      <c r="C49" s="712"/>
      <c r="D49" s="712"/>
      <c r="E49" s="712"/>
      <c r="F49" s="712"/>
      <c r="G49" s="713"/>
      <c r="H49" s="712"/>
      <c r="I49" s="715"/>
      <c r="J49" s="462" t="str">
        <f t="shared" si="0"/>
        <v/>
      </c>
      <c r="K49" s="339" t="str">
        <f t="shared" si="6"/>
        <v/>
      </c>
      <c r="L49" s="339" t="str">
        <f t="shared" si="7"/>
        <v/>
      </c>
      <c r="M49" s="339" t="str">
        <f t="shared" si="8"/>
        <v/>
      </c>
      <c r="N49" s="339" t="str">
        <f t="shared" si="1"/>
        <v/>
      </c>
      <c r="O49" s="339" t="str">
        <f t="shared" si="9"/>
        <v/>
      </c>
      <c r="P49" s="339" t="str">
        <f t="shared" si="10"/>
        <v/>
      </c>
      <c r="Q49" s="712"/>
      <c r="R49" s="858" t="str" cm="1">
        <f t="array" ref="R49">IFERROR(IF($M49="Retrofit",_xlfn.XLOOKUP($D$5,'TRM V13 Appendix A'!$B$13:$B$33,'TRM V13 Appendix A'!$D$13:$D$33,""),IF(OR($N49="",$F49=""),"",_xlfn.XLOOKUP($F49,'ROOF CODE'!$B$4:$B$6,_xlfn.XLOOKUP($N49,'ROOF CODE'!$C$3:$E$3,'ROOF CODE'!$C$4:$E$6,""),""))),"")</f>
        <v/>
      </c>
      <c r="S49" s="462" t="str">
        <f t="shared" si="2"/>
        <v/>
      </c>
      <c r="T49" s="462" t="str">
        <f t="shared" si="11"/>
        <v/>
      </c>
      <c r="U49" s="463" t="str">
        <f t="shared" si="12"/>
        <v/>
      </c>
      <c r="V49" s="463" t="str">
        <f t="shared" si="13"/>
        <v/>
      </c>
      <c r="W49" s="463" t="str">
        <f t="shared" si="3"/>
        <v/>
      </c>
      <c r="X49" s="464" t="str">
        <f t="shared" si="14"/>
        <v/>
      </c>
      <c r="Y49" s="351" t="str">
        <f t="shared" si="15"/>
        <v/>
      </c>
      <c r="Z49" s="463" t="str">
        <f t="shared" si="4"/>
        <v/>
      </c>
      <c r="AA49" s="465" t="str">
        <f>IFERROR(IF(C49="", "", W49/'App Cust Info'!$F$24), "")</f>
        <v/>
      </c>
      <c r="AB49" s="465" t="str">
        <f>IFERROR(IF(C49="", "", Z49/'App Cust Info'!$F$26), "")</f>
        <v/>
      </c>
      <c r="AC49" s="466" t="str" cm="1">
        <f t="array" ref="AC49">IFERROR(IF(AND($AH$24="Downstate", $D$10="Electric"), "", INDEX('ROOF INCENTIVE'!$I$4:$I$67,MATCH(1,($J49='ROOF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D49" s="466" t="str">
        <f t="shared" si="5"/>
        <v/>
      </c>
      <c r="AE49" s="467" t="str" cm="1">
        <f t="array" ref="AE49">IFERROR(IF(AND($AH$24="Downstate", $D$10="Electric"), "", INDEX('ROOF INCENTIVE'!$J$4:$J$67,MATCH(1,($J49='ROOF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F49" s="468" t="str" cm="1">
        <f t="array" ref="AF49">IFERROR(IF(AND($AH$24="Downstate", $D$10="Electric"), "", INDEX('ROOF INCENTIVE'!$K$4:$K$67,MATCH(1,($J49='ROOF INCENTIVE'!$B$4:$B$67)*($K49='ROOF INCENTIVE'!$C$4:$C$67)*($L49='ROOF INCENTIVE'!$D$4:$D$67)*IF('ROOF INCENTIVE'!$E$4:$E$67="NA",1,($G49&gt;='ROOF INCENTIVE'!$E$4:$E$67))*IF('ROOF INCENTIVE'!$F$4:$F$67="NA",1,($G49&lt;='ROOF INCENTIVE'!$F$4:$F$67))*IF('ROOF INCENTIVE'!$G$4:$G$67="Passive House",($L49="Yes"),($T49&gt;='ROOF INCENTIVE'!$G$4:$G$67))*IF('ROOF INCENTIVE'!$H$4:$H$67="Passive House",($L49="Yes"),($T49&lt;='ROOF INCENTIVE'!$H$4:$H$67)),0))),"")</f>
        <v/>
      </c>
      <c r="AG49" s="143"/>
    </row>
    <row r="50" spans="2:33" s="65" customFormat="1" x14ac:dyDescent="0.25">
      <c r="B50" s="339">
        <v>23</v>
      </c>
      <c r="C50" s="712"/>
      <c r="D50" s="712"/>
      <c r="E50" s="712"/>
      <c r="F50" s="712"/>
      <c r="G50" s="713"/>
      <c r="H50" s="712"/>
      <c r="I50" s="715"/>
      <c r="J50" s="462" t="str">
        <f t="shared" si="0"/>
        <v/>
      </c>
      <c r="K50" s="339" t="str">
        <f t="shared" si="6"/>
        <v/>
      </c>
      <c r="L50" s="339" t="str">
        <f t="shared" si="7"/>
        <v/>
      </c>
      <c r="M50" s="339" t="str">
        <f t="shared" si="8"/>
        <v/>
      </c>
      <c r="N50" s="339" t="str">
        <f t="shared" si="1"/>
        <v/>
      </c>
      <c r="O50" s="339" t="str">
        <f t="shared" si="9"/>
        <v/>
      </c>
      <c r="P50" s="339" t="str">
        <f t="shared" si="10"/>
        <v/>
      </c>
      <c r="Q50" s="712"/>
      <c r="R50" s="858" t="str" cm="1">
        <f t="array" ref="R50">IFERROR(IF($M50="Retrofit",_xlfn.XLOOKUP($D$5,'TRM V13 Appendix A'!$B$13:$B$33,'TRM V13 Appendix A'!$D$13:$D$33,""),IF(OR($N50="",$F50=""),"",_xlfn.XLOOKUP($F50,'ROOF CODE'!$B$4:$B$6,_xlfn.XLOOKUP($N50,'ROOF CODE'!$C$3:$E$3,'ROOF CODE'!$C$4:$E$6,""),""))),"")</f>
        <v/>
      </c>
      <c r="S50" s="462" t="str">
        <f t="shared" si="2"/>
        <v/>
      </c>
      <c r="T50" s="462" t="str">
        <f t="shared" si="11"/>
        <v/>
      </c>
      <c r="U50" s="463" t="str">
        <f t="shared" si="12"/>
        <v/>
      </c>
      <c r="V50" s="463" t="str">
        <f t="shared" si="13"/>
        <v/>
      </c>
      <c r="W50" s="463" t="str">
        <f t="shared" si="3"/>
        <v/>
      </c>
      <c r="X50" s="464" t="str">
        <f t="shared" si="14"/>
        <v/>
      </c>
      <c r="Y50" s="351" t="str">
        <f t="shared" si="15"/>
        <v/>
      </c>
      <c r="Z50" s="463" t="str">
        <f t="shared" si="4"/>
        <v/>
      </c>
      <c r="AA50" s="465" t="str">
        <f>IFERROR(IF(C50="", "", W50/'App Cust Info'!$F$24), "")</f>
        <v/>
      </c>
      <c r="AB50" s="465" t="str">
        <f>IFERROR(IF(C50="", "", Z50/'App Cust Info'!$F$26), "")</f>
        <v/>
      </c>
      <c r="AC50" s="466" t="str" cm="1">
        <f t="array" ref="AC50">IFERROR(IF(AND($AH$24="Downstate", $D$10="Electric"), "", INDEX('ROOF INCENTIVE'!$I$4:$I$67,MATCH(1,($J50='ROOF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D50" s="466" t="str">
        <f t="shared" si="5"/>
        <v/>
      </c>
      <c r="AE50" s="467" t="str" cm="1">
        <f t="array" ref="AE50">IFERROR(IF(AND($AH$24="Downstate", $D$10="Electric"), "", INDEX('ROOF INCENTIVE'!$J$4:$J$67,MATCH(1,($J50='ROOF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F50" s="468" t="str" cm="1">
        <f t="array" ref="AF50">IFERROR(IF(AND($AH$24="Downstate", $D$10="Electric"), "", INDEX('ROOF INCENTIVE'!$K$4:$K$67,MATCH(1,($J50='ROOF INCENTIVE'!$B$4:$B$67)*($K50='ROOF INCENTIVE'!$C$4:$C$67)*($L50='ROOF INCENTIVE'!$D$4:$D$67)*IF('ROOF INCENTIVE'!$E$4:$E$67="NA",1,($G50&gt;='ROOF INCENTIVE'!$E$4:$E$67))*IF('ROOF INCENTIVE'!$F$4:$F$67="NA",1,($G50&lt;='ROOF INCENTIVE'!$F$4:$F$67))*IF('ROOF INCENTIVE'!$G$4:$G$67="Passive House",($L50="Yes"),($T50&gt;='ROOF INCENTIVE'!$G$4:$G$67))*IF('ROOF INCENTIVE'!$H$4:$H$67="Passive House",($L50="Yes"),($T50&lt;='ROOF INCENTIVE'!$H$4:$H$67)),0))),"")</f>
        <v/>
      </c>
      <c r="AG50" s="143"/>
    </row>
    <row r="51" spans="2:33" s="65" customFormat="1" x14ac:dyDescent="0.25">
      <c r="B51" s="339">
        <v>24</v>
      </c>
      <c r="C51" s="712"/>
      <c r="D51" s="712"/>
      <c r="E51" s="712"/>
      <c r="F51" s="712"/>
      <c r="G51" s="713"/>
      <c r="H51" s="712"/>
      <c r="I51" s="715"/>
      <c r="J51" s="462" t="str">
        <f t="shared" si="0"/>
        <v/>
      </c>
      <c r="K51" s="339" t="str">
        <f t="shared" si="6"/>
        <v/>
      </c>
      <c r="L51" s="339" t="str">
        <f t="shared" si="7"/>
        <v/>
      </c>
      <c r="M51" s="339" t="str">
        <f t="shared" si="8"/>
        <v/>
      </c>
      <c r="N51" s="339" t="str">
        <f t="shared" si="1"/>
        <v/>
      </c>
      <c r="O51" s="339" t="str">
        <f t="shared" si="9"/>
        <v/>
      </c>
      <c r="P51" s="339" t="str">
        <f t="shared" si="10"/>
        <v/>
      </c>
      <c r="Q51" s="712"/>
      <c r="R51" s="858" t="str" cm="1">
        <f t="array" ref="R51">IFERROR(IF($M51="Retrofit",_xlfn.XLOOKUP($D$5,'TRM V13 Appendix A'!$B$13:$B$33,'TRM V13 Appendix A'!$D$13:$D$33,""),IF(OR($N51="",$F51=""),"",_xlfn.XLOOKUP($F51,'ROOF CODE'!$B$4:$B$6,_xlfn.XLOOKUP($N51,'ROOF CODE'!$C$3:$E$3,'ROOF CODE'!$C$4:$E$6,""),""))),"")</f>
        <v/>
      </c>
      <c r="S51" s="462" t="str">
        <f t="shared" si="2"/>
        <v/>
      </c>
      <c r="T51" s="462" t="str">
        <f t="shared" si="11"/>
        <v/>
      </c>
      <c r="U51" s="463" t="str">
        <f t="shared" si="12"/>
        <v/>
      </c>
      <c r="V51" s="463" t="str">
        <f t="shared" si="13"/>
        <v/>
      </c>
      <c r="W51" s="463" t="str">
        <f t="shared" si="3"/>
        <v/>
      </c>
      <c r="X51" s="464" t="str">
        <f t="shared" si="14"/>
        <v/>
      </c>
      <c r="Y51" s="351" t="str">
        <f t="shared" si="15"/>
        <v/>
      </c>
      <c r="Z51" s="463" t="str">
        <f t="shared" si="4"/>
        <v/>
      </c>
      <c r="AA51" s="465" t="str">
        <f>IFERROR(IF(C51="", "", W51/'App Cust Info'!$F$24), "")</f>
        <v/>
      </c>
      <c r="AB51" s="465" t="str">
        <f>IFERROR(IF(C51="", "", Z51/'App Cust Info'!$F$26), "")</f>
        <v/>
      </c>
      <c r="AC51" s="466" t="str" cm="1">
        <f t="array" ref="AC51">IFERROR(IF(AND($AH$24="Downstate", $D$10="Electric"), "", INDEX('ROOF INCENTIVE'!$I$4:$I$67,MATCH(1,($J51='ROOF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D51" s="466" t="str">
        <f t="shared" si="5"/>
        <v/>
      </c>
      <c r="AE51" s="467" t="str" cm="1">
        <f t="array" ref="AE51">IFERROR(IF(AND($AH$24="Downstate", $D$10="Electric"), "", INDEX('ROOF INCENTIVE'!$J$4:$J$67,MATCH(1,($J51='ROOF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F51" s="468" t="str" cm="1">
        <f t="array" ref="AF51">IFERROR(IF(AND($AH$24="Downstate", $D$10="Electric"), "", INDEX('ROOF INCENTIVE'!$K$4:$K$67,MATCH(1,($J51='ROOF INCENTIVE'!$B$4:$B$67)*($K51='ROOF INCENTIVE'!$C$4:$C$67)*($L51='ROOF INCENTIVE'!$D$4:$D$67)*IF('ROOF INCENTIVE'!$E$4:$E$67="NA",1,($G51&gt;='ROOF INCENTIVE'!$E$4:$E$67))*IF('ROOF INCENTIVE'!$F$4:$F$67="NA",1,($G51&lt;='ROOF INCENTIVE'!$F$4:$F$67))*IF('ROOF INCENTIVE'!$G$4:$G$67="Passive House",($L51="Yes"),($T51&gt;='ROOF INCENTIVE'!$G$4:$G$67))*IF('ROOF INCENTIVE'!$H$4:$H$67="Passive House",($L51="Yes"),($T51&lt;='ROOF INCENTIVE'!$H$4:$H$67)),0))),"")</f>
        <v/>
      </c>
      <c r="AG51" s="143"/>
    </row>
    <row r="52" spans="2:33" s="65" customFormat="1" x14ac:dyDescent="0.25">
      <c r="B52" s="339">
        <v>25</v>
      </c>
      <c r="C52" s="712"/>
      <c r="D52" s="712"/>
      <c r="E52" s="712"/>
      <c r="F52" s="712"/>
      <c r="G52" s="713"/>
      <c r="H52" s="712"/>
      <c r="I52" s="715"/>
      <c r="J52" s="462" t="str">
        <f t="shared" si="0"/>
        <v/>
      </c>
      <c r="K52" s="339" t="str">
        <f t="shared" si="6"/>
        <v/>
      </c>
      <c r="L52" s="339" t="str">
        <f t="shared" si="7"/>
        <v/>
      </c>
      <c r="M52" s="339" t="str">
        <f t="shared" si="8"/>
        <v/>
      </c>
      <c r="N52" s="339" t="str">
        <f t="shared" si="1"/>
        <v/>
      </c>
      <c r="O52" s="339" t="str">
        <f t="shared" si="9"/>
        <v/>
      </c>
      <c r="P52" s="339" t="str">
        <f t="shared" si="10"/>
        <v/>
      </c>
      <c r="Q52" s="712"/>
      <c r="R52" s="858" t="str" cm="1">
        <f t="array" ref="R52">IFERROR(IF($M52="Retrofit",_xlfn.XLOOKUP($D$5,'TRM V13 Appendix A'!$B$13:$B$33,'TRM V13 Appendix A'!$D$13:$D$33,""),IF(OR($N52="",$F52=""),"",_xlfn.XLOOKUP($F52,'ROOF CODE'!$B$4:$B$6,_xlfn.XLOOKUP($N52,'ROOF CODE'!$C$3:$E$3,'ROOF CODE'!$C$4:$E$6,""),""))),"")</f>
        <v/>
      </c>
      <c r="S52" s="462" t="str">
        <f t="shared" si="2"/>
        <v/>
      </c>
      <c r="T52" s="462" t="str">
        <f t="shared" si="11"/>
        <v/>
      </c>
      <c r="U52" s="463" t="str">
        <f t="shared" si="12"/>
        <v/>
      </c>
      <c r="V52" s="463" t="str">
        <f t="shared" si="13"/>
        <v/>
      </c>
      <c r="W52" s="463" t="str">
        <f t="shared" si="3"/>
        <v/>
      </c>
      <c r="X52" s="464" t="str">
        <f t="shared" si="14"/>
        <v/>
      </c>
      <c r="Y52" s="351" t="str">
        <f t="shared" si="15"/>
        <v/>
      </c>
      <c r="Z52" s="463" t="str">
        <f t="shared" si="4"/>
        <v/>
      </c>
      <c r="AA52" s="465" t="str">
        <f>IFERROR(IF(C52="", "", W52/'App Cust Info'!$F$24), "")</f>
        <v/>
      </c>
      <c r="AB52" s="465" t="str">
        <f>IFERROR(IF(C52="", "", Z52/'App Cust Info'!$F$26), "")</f>
        <v/>
      </c>
      <c r="AC52" s="466" t="str" cm="1">
        <f t="array" ref="AC52">IFERROR(IF(AND($AH$24="Downstate", $D$10="Electric"), "", INDEX('ROOF INCENTIVE'!$I$4:$I$67,MATCH(1,($J52='ROOF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D52" s="466" t="str">
        <f t="shared" si="5"/>
        <v/>
      </c>
      <c r="AE52" s="467" t="str" cm="1">
        <f t="array" ref="AE52">IFERROR(IF(AND($AH$24="Downstate", $D$10="Electric"), "", INDEX('ROOF INCENTIVE'!$J$4:$J$67,MATCH(1,($J52='ROOF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F52" s="468" t="str" cm="1">
        <f t="array" ref="AF52">IFERROR(IF(AND($AH$24="Downstate", $D$10="Electric"), "", INDEX('ROOF INCENTIVE'!$K$4:$K$67,MATCH(1,($J52='ROOF INCENTIVE'!$B$4:$B$67)*($K52='ROOF INCENTIVE'!$C$4:$C$67)*($L52='ROOF INCENTIVE'!$D$4:$D$67)*IF('ROOF INCENTIVE'!$E$4:$E$67="NA",1,($G52&gt;='ROOF INCENTIVE'!$E$4:$E$67))*IF('ROOF INCENTIVE'!$F$4:$F$67="NA",1,($G52&lt;='ROOF INCENTIVE'!$F$4:$F$67))*IF('ROOF INCENTIVE'!$G$4:$G$67="Passive House",($L52="Yes"),($T52&gt;='ROOF INCENTIVE'!$G$4:$G$67))*IF('ROOF INCENTIVE'!$H$4:$H$67="Passive House",($L52="Yes"),($T52&lt;='ROOF INCENTIVE'!$H$4:$H$67)),0))),"")</f>
        <v/>
      </c>
      <c r="AG52" s="143"/>
    </row>
    <row r="53" spans="2:33" s="65" customFormat="1" x14ac:dyDescent="0.25">
      <c r="B53" s="339">
        <v>26</v>
      </c>
      <c r="C53" s="712"/>
      <c r="D53" s="712"/>
      <c r="E53" s="712"/>
      <c r="F53" s="712"/>
      <c r="G53" s="713"/>
      <c r="H53" s="712"/>
      <c r="I53" s="715"/>
      <c r="J53" s="462" t="str">
        <f t="shared" si="0"/>
        <v/>
      </c>
      <c r="K53" s="339" t="str">
        <f t="shared" si="6"/>
        <v/>
      </c>
      <c r="L53" s="339" t="str">
        <f t="shared" si="7"/>
        <v/>
      </c>
      <c r="M53" s="339" t="str">
        <f t="shared" si="8"/>
        <v/>
      </c>
      <c r="N53" s="339" t="str">
        <f t="shared" si="1"/>
        <v/>
      </c>
      <c r="O53" s="339" t="str">
        <f t="shared" si="9"/>
        <v/>
      </c>
      <c r="P53" s="339" t="str">
        <f t="shared" si="10"/>
        <v/>
      </c>
      <c r="Q53" s="712"/>
      <c r="R53" s="858" t="str" cm="1">
        <f t="array" ref="R53">IFERROR(IF($M53="Retrofit",_xlfn.XLOOKUP($D$5,'TRM V13 Appendix A'!$B$13:$B$33,'TRM V13 Appendix A'!$D$13:$D$33,""),IF(OR($N53="",$F53=""),"",_xlfn.XLOOKUP($F53,'ROOF CODE'!$B$4:$B$6,_xlfn.XLOOKUP($N53,'ROOF CODE'!$C$3:$E$3,'ROOF CODE'!$C$4:$E$6,""),""))),"")</f>
        <v/>
      </c>
      <c r="S53" s="462" t="str">
        <f t="shared" si="2"/>
        <v/>
      </c>
      <c r="T53" s="462" t="str">
        <f t="shared" si="11"/>
        <v/>
      </c>
      <c r="U53" s="463" t="str">
        <f t="shared" si="12"/>
        <v/>
      </c>
      <c r="V53" s="463" t="str">
        <f t="shared" si="13"/>
        <v/>
      </c>
      <c r="W53" s="463" t="str">
        <f t="shared" si="3"/>
        <v/>
      </c>
      <c r="X53" s="464" t="str">
        <f t="shared" si="14"/>
        <v/>
      </c>
      <c r="Y53" s="351" t="str">
        <f t="shared" si="15"/>
        <v/>
      </c>
      <c r="Z53" s="463" t="str">
        <f t="shared" si="4"/>
        <v/>
      </c>
      <c r="AA53" s="465" t="str">
        <f>IFERROR(IF(C53="", "", W53/'App Cust Info'!$F$24), "")</f>
        <v/>
      </c>
      <c r="AB53" s="465" t="str">
        <f>IFERROR(IF(C53="", "", Z53/'App Cust Info'!$F$26), "")</f>
        <v/>
      </c>
      <c r="AC53" s="466" t="str" cm="1">
        <f t="array" ref="AC53">IFERROR(IF(AND($AH$24="Downstate", $D$10="Electric"), "", INDEX('ROOF INCENTIVE'!$I$4:$I$67,MATCH(1,($J53='ROOF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D53" s="466" t="str">
        <f t="shared" si="5"/>
        <v/>
      </c>
      <c r="AE53" s="467" t="str" cm="1">
        <f t="array" ref="AE53">IFERROR(IF(AND($AH$24="Downstate", $D$10="Electric"), "", INDEX('ROOF INCENTIVE'!$J$4:$J$67,MATCH(1,($J53='ROOF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F53" s="468" t="str" cm="1">
        <f t="array" ref="AF53">IFERROR(IF(AND($AH$24="Downstate", $D$10="Electric"), "", INDEX('ROOF INCENTIVE'!$K$4:$K$67,MATCH(1,($J53='ROOF INCENTIVE'!$B$4:$B$67)*($K53='ROOF INCENTIVE'!$C$4:$C$67)*($L53='ROOF INCENTIVE'!$D$4:$D$67)*IF('ROOF INCENTIVE'!$E$4:$E$67="NA",1,($G53&gt;='ROOF INCENTIVE'!$E$4:$E$67))*IF('ROOF INCENTIVE'!$F$4:$F$67="NA",1,($G53&lt;='ROOF INCENTIVE'!$F$4:$F$67))*IF('ROOF INCENTIVE'!$G$4:$G$67="Passive House",($L53="Yes"),($T53&gt;='ROOF INCENTIVE'!$G$4:$G$67))*IF('ROOF INCENTIVE'!$H$4:$H$67="Passive House",($L53="Yes"),($T53&lt;='ROOF INCENTIVE'!$H$4:$H$67)),0))),"")</f>
        <v/>
      </c>
      <c r="AG53" s="143"/>
    </row>
    <row r="54" spans="2:33" s="65" customFormat="1" x14ac:dyDescent="0.25">
      <c r="B54" s="339">
        <v>27</v>
      </c>
      <c r="C54" s="712"/>
      <c r="D54" s="712"/>
      <c r="E54" s="712"/>
      <c r="F54" s="712"/>
      <c r="G54" s="713"/>
      <c r="H54" s="712"/>
      <c r="I54" s="715"/>
      <c r="J54" s="462" t="str">
        <f t="shared" si="0"/>
        <v/>
      </c>
      <c r="K54" s="339" t="str">
        <f t="shared" si="6"/>
        <v/>
      </c>
      <c r="L54" s="339" t="str">
        <f t="shared" si="7"/>
        <v/>
      </c>
      <c r="M54" s="339" t="str">
        <f t="shared" si="8"/>
        <v/>
      </c>
      <c r="N54" s="339" t="str">
        <f t="shared" si="1"/>
        <v/>
      </c>
      <c r="O54" s="339" t="str">
        <f t="shared" si="9"/>
        <v/>
      </c>
      <c r="P54" s="339" t="str">
        <f t="shared" si="10"/>
        <v/>
      </c>
      <c r="Q54" s="712"/>
      <c r="R54" s="858" t="str" cm="1">
        <f t="array" ref="R54">IFERROR(IF($M54="Retrofit",_xlfn.XLOOKUP($D$5,'TRM V13 Appendix A'!$B$13:$B$33,'TRM V13 Appendix A'!$D$13:$D$33,""),IF(OR($N54="",$F54=""),"",_xlfn.XLOOKUP($F54,'ROOF CODE'!$B$4:$B$6,_xlfn.XLOOKUP($N54,'ROOF CODE'!$C$3:$E$3,'ROOF CODE'!$C$4:$E$6,""),""))),"")</f>
        <v/>
      </c>
      <c r="S54" s="462" t="str">
        <f t="shared" si="2"/>
        <v/>
      </c>
      <c r="T54" s="462" t="str">
        <f t="shared" si="11"/>
        <v/>
      </c>
      <c r="U54" s="463" t="str">
        <f t="shared" si="12"/>
        <v/>
      </c>
      <c r="V54" s="463" t="str">
        <f t="shared" si="13"/>
        <v/>
      </c>
      <c r="W54" s="463" t="str">
        <f t="shared" si="3"/>
        <v/>
      </c>
      <c r="X54" s="464" t="str">
        <f t="shared" si="14"/>
        <v/>
      </c>
      <c r="Y54" s="351" t="str">
        <f t="shared" si="15"/>
        <v/>
      </c>
      <c r="Z54" s="463" t="str">
        <f t="shared" si="4"/>
        <v/>
      </c>
      <c r="AA54" s="465" t="str">
        <f>IFERROR(IF(C54="", "", W54/'App Cust Info'!$F$24), "")</f>
        <v/>
      </c>
      <c r="AB54" s="465" t="str">
        <f>IFERROR(IF(C54="", "", Z54/'App Cust Info'!$F$26), "")</f>
        <v/>
      </c>
      <c r="AC54" s="466" t="str" cm="1">
        <f t="array" ref="AC54">IFERROR(IF(AND($AH$24="Downstate", $D$10="Electric"), "", INDEX('ROOF INCENTIVE'!$I$4:$I$67,MATCH(1,($J54='ROOF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D54" s="466" t="str">
        <f t="shared" si="5"/>
        <v/>
      </c>
      <c r="AE54" s="467" t="str" cm="1">
        <f t="array" ref="AE54">IFERROR(IF(AND($AH$24="Downstate", $D$10="Electric"), "", INDEX('ROOF INCENTIVE'!$J$4:$J$67,MATCH(1,($J54='ROOF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F54" s="468" t="str" cm="1">
        <f t="array" ref="AF54">IFERROR(IF(AND($AH$24="Downstate", $D$10="Electric"), "", INDEX('ROOF INCENTIVE'!$K$4:$K$67,MATCH(1,($J54='ROOF INCENTIVE'!$B$4:$B$67)*($K54='ROOF INCENTIVE'!$C$4:$C$67)*($L54='ROOF INCENTIVE'!$D$4:$D$67)*IF('ROOF INCENTIVE'!$E$4:$E$67="NA",1,($G54&gt;='ROOF INCENTIVE'!$E$4:$E$67))*IF('ROOF INCENTIVE'!$F$4:$F$67="NA",1,($G54&lt;='ROOF INCENTIVE'!$F$4:$F$67))*IF('ROOF INCENTIVE'!$G$4:$G$67="Passive House",($L54="Yes"),($T54&gt;='ROOF INCENTIVE'!$G$4:$G$67))*IF('ROOF INCENTIVE'!$H$4:$H$67="Passive House",($L54="Yes"),($T54&lt;='ROOF INCENTIVE'!$H$4:$H$67)),0))),"")</f>
        <v/>
      </c>
      <c r="AG54" s="143"/>
    </row>
    <row r="55" spans="2:33" s="65" customFormat="1" x14ac:dyDescent="0.25">
      <c r="B55" s="339">
        <v>28</v>
      </c>
      <c r="C55" s="712"/>
      <c r="D55" s="712"/>
      <c r="E55" s="712"/>
      <c r="F55" s="712"/>
      <c r="G55" s="713"/>
      <c r="H55" s="712"/>
      <c r="I55" s="715"/>
      <c r="J55" s="462" t="str">
        <f t="shared" si="0"/>
        <v/>
      </c>
      <c r="K55" s="339" t="str">
        <f t="shared" si="6"/>
        <v/>
      </c>
      <c r="L55" s="339" t="str">
        <f t="shared" si="7"/>
        <v/>
      </c>
      <c r="M55" s="339" t="str">
        <f t="shared" si="8"/>
        <v/>
      </c>
      <c r="N55" s="339" t="str">
        <f t="shared" si="1"/>
        <v/>
      </c>
      <c r="O55" s="339" t="str">
        <f t="shared" si="9"/>
        <v/>
      </c>
      <c r="P55" s="339" t="str">
        <f t="shared" si="10"/>
        <v/>
      </c>
      <c r="Q55" s="712"/>
      <c r="R55" s="858" t="str" cm="1">
        <f t="array" ref="R55">IFERROR(IF($M55="Retrofit",_xlfn.XLOOKUP($D$5,'TRM V13 Appendix A'!$B$13:$B$33,'TRM V13 Appendix A'!$D$13:$D$33,""),IF(OR($N55="",$F55=""),"",_xlfn.XLOOKUP($F55,'ROOF CODE'!$B$4:$B$6,_xlfn.XLOOKUP($N55,'ROOF CODE'!$C$3:$E$3,'ROOF CODE'!$C$4:$E$6,""),""))),"")</f>
        <v/>
      </c>
      <c r="S55" s="462" t="str">
        <f t="shared" si="2"/>
        <v/>
      </c>
      <c r="T55" s="462" t="str">
        <f t="shared" si="11"/>
        <v/>
      </c>
      <c r="U55" s="463" t="str">
        <f t="shared" si="12"/>
        <v/>
      </c>
      <c r="V55" s="463" t="str">
        <f t="shared" si="13"/>
        <v/>
      </c>
      <c r="W55" s="463" t="str">
        <f t="shared" si="3"/>
        <v/>
      </c>
      <c r="X55" s="464" t="str">
        <f t="shared" si="14"/>
        <v/>
      </c>
      <c r="Y55" s="351" t="str">
        <f t="shared" si="15"/>
        <v/>
      </c>
      <c r="Z55" s="463" t="str">
        <f t="shared" si="4"/>
        <v/>
      </c>
      <c r="AA55" s="465" t="str">
        <f>IFERROR(IF(C55="", "", W55/'App Cust Info'!$F$24), "")</f>
        <v/>
      </c>
      <c r="AB55" s="465" t="str">
        <f>IFERROR(IF(C55="", "", Z55/'App Cust Info'!$F$26), "")</f>
        <v/>
      </c>
      <c r="AC55" s="466" t="str" cm="1">
        <f t="array" ref="AC55">IFERROR(IF(AND($AH$24="Downstate", $D$10="Electric"), "", INDEX('ROOF INCENTIVE'!$I$4:$I$67,MATCH(1,($J55='ROOF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D55" s="466" t="str">
        <f t="shared" si="5"/>
        <v/>
      </c>
      <c r="AE55" s="467" t="str" cm="1">
        <f t="array" ref="AE55">IFERROR(IF(AND($AH$24="Downstate", $D$10="Electric"), "", INDEX('ROOF INCENTIVE'!$J$4:$J$67,MATCH(1,($J55='ROOF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F55" s="468" t="str" cm="1">
        <f t="array" ref="AF55">IFERROR(IF(AND($AH$24="Downstate", $D$10="Electric"), "", INDEX('ROOF INCENTIVE'!$K$4:$K$67,MATCH(1,($J55='ROOF INCENTIVE'!$B$4:$B$67)*($K55='ROOF INCENTIVE'!$C$4:$C$67)*($L55='ROOF INCENTIVE'!$D$4:$D$67)*IF('ROOF INCENTIVE'!$E$4:$E$67="NA",1,($G55&gt;='ROOF INCENTIVE'!$E$4:$E$67))*IF('ROOF INCENTIVE'!$F$4:$F$67="NA",1,($G55&lt;='ROOF INCENTIVE'!$F$4:$F$67))*IF('ROOF INCENTIVE'!$G$4:$G$67="Passive House",($L55="Yes"),($T55&gt;='ROOF INCENTIVE'!$G$4:$G$67))*IF('ROOF INCENTIVE'!$H$4:$H$67="Passive House",($L55="Yes"),($T55&lt;='ROOF INCENTIVE'!$H$4:$H$67)),0))),"")</f>
        <v/>
      </c>
      <c r="AG55" s="143"/>
    </row>
    <row r="56" spans="2:33" s="65" customFormat="1" x14ac:dyDescent="0.25">
      <c r="B56" s="339">
        <v>29</v>
      </c>
      <c r="C56" s="712"/>
      <c r="D56" s="712"/>
      <c r="E56" s="712"/>
      <c r="F56" s="712"/>
      <c r="G56" s="713"/>
      <c r="H56" s="712"/>
      <c r="I56" s="715"/>
      <c r="J56" s="462" t="str">
        <f t="shared" si="0"/>
        <v/>
      </c>
      <c r="K56" s="339" t="str">
        <f t="shared" si="6"/>
        <v/>
      </c>
      <c r="L56" s="339" t="str">
        <f t="shared" si="7"/>
        <v/>
      </c>
      <c r="M56" s="339" t="str">
        <f t="shared" si="8"/>
        <v/>
      </c>
      <c r="N56" s="339" t="str">
        <f t="shared" si="1"/>
        <v/>
      </c>
      <c r="O56" s="339" t="str">
        <f t="shared" si="9"/>
        <v/>
      </c>
      <c r="P56" s="339" t="str">
        <f t="shared" si="10"/>
        <v/>
      </c>
      <c r="Q56" s="712"/>
      <c r="R56" s="858" t="str" cm="1">
        <f t="array" ref="R56">IFERROR(IF($M56="Retrofit",_xlfn.XLOOKUP($D$5,'TRM V13 Appendix A'!$B$13:$B$33,'TRM V13 Appendix A'!$D$13:$D$33,""),IF(OR($N56="",$F56=""),"",_xlfn.XLOOKUP($F56,'ROOF CODE'!$B$4:$B$6,_xlfn.XLOOKUP($N56,'ROOF CODE'!$C$3:$E$3,'ROOF CODE'!$C$4:$E$6,""),""))),"")</f>
        <v/>
      </c>
      <c r="S56" s="462" t="str">
        <f t="shared" si="2"/>
        <v/>
      </c>
      <c r="T56" s="462" t="str">
        <f t="shared" si="11"/>
        <v/>
      </c>
      <c r="U56" s="463" t="str">
        <f t="shared" si="12"/>
        <v/>
      </c>
      <c r="V56" s="463" t="str">
        <f t="shared" si="13"/>
        <v/>
      </c>
      <c r="W56" s="463" t="str">
        <f t="shared" si="3"/>
        <v/>
      </c>
      <c r="X56" s="464" t="str">
        <f t="shared" si="14"/>
        <v/>
      </c>
      <c r="Y56" s="351" t="str">
        <f t="shared" si="15"/>
        <v/>
      </c>
      <c r="Z56" s="463" t="str">
        <f t="shared" si="4"/>
        <v/>
      </c>
      <c r="AA56" s="465" t="str">
        <f>IFERROR(IF(C56="", "", W56/'App Cust Info'!$F$24), "")</f>
        <v/>
      </c>
      <c r="AB56" s="465" t="str">
        <f>IFERROR(IF(C56="", "", Z56/'App Cust Info'!$F$26), "")</f>
        <v/>
      </c>
      <c r="AC56" s="466" t="str" cm="1">
        <f t="array" ref="AC56">IFERROR(IF(AND($AH$24="Downstate", $D$10="Electric"), "", INDEX('ROOF INCENTIVE'!$I$4:$I$67,MATCH(1,($J56='ROOF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D56" s="466" t="str">
        <f t="shared" si="5"/>
        <v/>
      </c>
      <c r="AE56" s="467" t="str" cm="1">
        <f t="array" ref="AE56">IFERROR(IF(AND($AH$24="Downstate", $D$10="Electric"), "", INDEX('ROOF INCENTIVE'!$J$4:$J$67,MATCH(1,($J56='ROOF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F56" s="468" t="str" cm="1">
        <f t="array" ref="AF56">IFERROR(IF(AND($AH$24="Downstate", $D$10="Electric"), "", INDEX('ROOF INCENTIVE'!$K$4:$K$67,MATCH(1,($J56='ROOF INCENTIVE'!$B$4:$B$67)*($K56='ROOF INCENTIVE'!$C$4:$C$67)*($L56='ROOF INCENTIVE'!$D$4:$D$67)*IF('ROOF INCENTIVE'!$E$4:$E$67="NA",1,($G56&gt;='ROOF INCENTIVE'!$E$4:$E$67))*IF('ROOF INCENTIVE'!$F$4:$F$67="NA",1,($G56&lt;='ROOF INCENTIVE'!$F$4:$F$67))*IF('ROOF INCENTIVE'!$G$4:$G$67="Passive House",($L56="Yes"),($T56&gt;='ROOF INCENTIVE'!$G$4:$G$67))*IF('ROOF INCENTIVE'!$H$4:$H$67="Passive House",($L56="Yes"),($T56&lt;='ROOF INCENTIVE'!$H$4:$H$67)),0))),"")</f>
        <v/>
      </c>
      <c r="AG56" s="143"/>
    </row>
    <row r="57" spans="2:33" s="65" customFormat="1" x14ac:dyDescent="0.25">
      <c r="B57" s="339">
        <v>30</v>
      </c>
      <c r="C57" s="712"/>
      <c r="D57" s="712"/>
      <c r="E57" s="712"/>
      <c r="F57" s="712"/>
      <c r="G57" s="713"/>
      <c r="H57" s="712"/>
      <c r="I57" s="715"/>
      <c r="J57" s="462" t="str">
        <f t="shared" si="0"/>
        <v/>
      </c>
      <c r="K57" s="339" t="str">
        <f t="shared" si="6"/>
        <v/>
      </c>
      <c r="L57" s="339" t="str">
        <f t="shared" si="7"/>
        <v/>
      </c>
      <c r="M57" s="339" t="str">
        <f t="shared" si="8"/>
        <v/>
      </c>
      <c r="N57" s="339" t="str">
        <f t="shared" si="1"/>
        <v/>
      </c>
      <c r="O57" s="339" t="str">
        <f t="shared" si="9"/>
        <v/>
      </c>
      <c r="P57" s="339" t="str">
        <f t="shared" si="10"/>
        <v/>
      </c>
      <c r="Q57" s="712"/>
      <c r="R57" s="858" t="str" cm="1">
        <f t="array" ref="R57">IFERROR(IF($M57="Retrofit",_xlfn.XLOOKUP($D$5,'TRM V13 Appendix A'!$B$13:$B$33,'TRM V13 Appendix A'!$D$13:$D$33,""),IF(OR($N57="",$F57=""),"",_xlfn.XLOOKUP($F57,'ROOF CODE'!$B$4:$B$6,_xlfn.XLOOKUP($N57,'ROOF CODE'!$C$3:$E$3,'ROOF CODE'!$C$4:$E$6,""),""))),"")</f>
        <v/>
      </c>
      <c r="S57" s="462" t="str">
        <f t="shared" si="2"/>
        <v/>
      </c>
      <c r="T57" s="462" t="str">
        <f t="shared" si="11"/>
        <v/>
      </c>
      <c r="U57" s="463" t="str">
        <f t="shared" si="12"/>
        <v/>
      </c>
      <c r="V57" s="463" t="str">
        <f t="shared" si="13"/>
        <v/>
      </c>
      <c r="W57" s="463" t="str">
        <f t="shared" si="3"/>
        <v/>
      </c>
      <c r="X57" s="464" t="str">
        <f t="shared" si="14"/>
        <v/>
      </c>
      <c r="Y57" s="351" t="str">
        <f t="shared" si="15"/>
        <v/>
      </c>
      <c r="Z57" s="463" t="str">
        <f t="shared" si="4"/>
        <v/>
      </c>
      <c r="AA57" s="465" t="str">
        <f>IFERROR(IF(C57="", "", W57/'App Cust Info'!$F$24), "")</f>
        <v/>
      </c>
      <c r="AB57" s="465" t="str">
        <f>IFERROR(IF(C57="", "", Z57/'App Cust Info'!$F$26), "")</f>
        <v/>
      </c>
      <c r="AC57" s="466" t="str" cm="1">
        <f t="array" ref="AC57">IFERROR(IF(AND($AH$24="Downstate", $D$10="Electric"), "", INDEX('ROOF INCENTIVE'!$I$4:$I$67,MATCH(1,($J57='ROOF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D57" s="466" t="str">
        <f t="shared" si="5"/>
        <v/>
      </c>
      <c r="AE57" s="467" t="str" cm="1">
        <f t="array" ref="AE57">IFERROR(IF(AND($AH$24="Downstate", $D$10="Electric"), "", INDEX('ROOF INCENTIVE'!$J$4:$J$67,MATCH(1,($J57='ROOF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F57" s="468" t="str" cm="1">
        <f t="array" ref="AF57">IFERROR(IF(AND($AH$24="Downstate", $D$10="Electric"), "", INDEX('ROOF INCENTIVE'!$K$4:$K$67,MATCH(1,($J57='ROOF INCENTIVE'!$B$4:$B$67)*($K57='ROOF INCENTIVE'!$C$4:$C$67)*($L57='ROOF INCENTIVE'!$D$4:$D$67)*IF('ROOF INCENTIVE'!$E$4:$E$67="NA",1,($G57&gt;='ROOF INCENTIVE'!$E$4:$E$67))*IF('ROOF INCENTIVE'!$F$4:$F$67="NA",1,($G57&lt;='ROOF INCENTIVE'!$F$4:$F$67))*IF('ROOF INCENTIVE'!$G$4:$G$67="Passive House",($L57="Yes"),($T57&gt;='ROOF INCENTIVE'!$G$4:$G$67))*IF('ROOF INCENTIVE'!$H$4:$H$67="Passive House",($L57="Yes"),($T57&lt;='ROOF INCENTIVE'!$H$4:$H$67)),0))),"")</f>
        <v/>
      </c>
      <c r="AG57" s="143"/>
    </row>
    <row r="58" spans="2:33" s="65" customFormat="1" x14ac:dyDescent="0.25">
      <c r="B58" s="339">
        <v>31</v>
      </c>
      <c r="C58" s="712"/>
      <c r="D58" s="712"/>
      <c r="E58" s="712"/>
      <c r="F58" s="712"/>
      <c r="G58" s="713"/>
      <c r="H58" s="712"/>
      <c r="I58" s="715"/>
      <c r="J58" s="462" t="str">
        <f t="shared" si="0"/>
        <v/>
      </c>
      <c r="K58" s="339" t="str">
        <f t="shared" si="6"/>
        <v/>
      </c>
      <c r="L58" s="339" t="str">
        <f t="shared" si="7"/>
        <v/>
      </c>
      <c r="M58" s="339" t="str">
        <f t="shared" si="8"/>
        <v/>
      </c>
      <c r="N58" s="339" t="str">
        <f t="shared" si="1"/>
        <v/>
      </c>
      <c r="O58" s="339" t="str">
        <f t="shared" si="9"/>
        <v/>
      </c>
      <c r="P58" s="339" t="str">
        <f t="shared" si="10"/>
        <v/>
      </c>
      <c r="Q58" s="712"/>
      <c r="R58" s="858" t="str" cm="1">
        <f t="array" ref="R58">IFERROR(IF($M58="Retrofit",_xlfn.XLOOKUP($D$5,'TRM V13 Appendix A'!$B$13:$B$33,'TRM V13 Appendix A'!$D$13:$D$33,""),IF(OR($N58="",$F58=""),"",_xlfn.XLOOKUP($F58,'ROOF CODE'!$B$4:$B$6,_xlfn.XLOOKUP($N58,'ROOF CODE'!$C$3:$E$3,'ROOF CODE'!$C$4:$E$6,""),""))),"")</f>
        <v/>
      </c>
      <c r="S58" s="462" t="str">
        <f t="shared" si="2"/>
        <v/>
      </c>
      <c r="T58" s="462" t="str">
        <f t="shared" si="11"/>
        <v/>
      </c>
      <c r="U58" s="463" t="str">
        <f t="shared" si="12"/>
        <v/>
      </c>
      <c r="V58" s="463" t="str">
        <f t="shared" si="13"/>
        <v/>
      </c>
      <c r="W58" s="463" t="str">
        <f t="shared" si="3"/>
        <v/>
      </c>
      <c r="X58" s="464" t="str">
        <f t="shared" si="14"/>
        <v/>
      </c>
      <c r="Y58" s="351" t="str">
        <f t="shared" si="15"/>
        <v/>
      </c>
      <c r="Z58" s="463" t="str">
        <f t="shared" si="4"/>
        <v/>
      </c>
      <c r="AA58" s="465" t="str">
        <f>IFERROR(IF(C58="", "", W58/'App Cust Info'!$F$24), "")</f>
        <v/>
      </c>
      <c r="AB58" s="465" t="str">
        <f>IFERROR(IF(C58="", "", Z58/'App Cust Info'!$F$26), "")</f>
        <v/>
      </c>
      <c r="AC58" s="466" t="str" cm="1">
        <f t="array" ref="AC58">IFERROR(IF(AND($AH$24="Downstate", $D$10="Electric"), "", INDEX('ROOF INCENTIVE'!$I$4:$I$67,MATCH(1,($J58='ROOF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D58" s="466" t="str">
        <f t="shared" si="5"/>
        <v/>
      </c>
      <c r="AE58" s="467" t="str" cm="1">
        <f t="array" ref="AE58">IFERROR(IF(AND($AH$24="Downstate", $D$10="Electric"), "", INDEX('ROOF INCENTIVE'!$J$4:$J$67,MATCH(1,($J58='ROOF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F58" s="468" t="str" cm="1">
        <f t="array" ref="AF58">IFERROR(IF(AND($AH$24="Downstate", $D$10="Electric"), "", INDEX('ROOF INCENTIVE'!$K$4:$K$67,MATCH(1,($J58='ROOF INCENTIVE'!$B$4:$B$67)*($K58='ROOF INCENTIVE'!$C$4:$C$67)*($L58='ROOF INCENTIVE'!$D$4:$D$67)*IF('ROOF INCENTIVE'!$E$4:$E$67="NA",1,($G58&gt;='ROOF INCENTIVE'!$E$4:$E$67))*IF('ROOF INCENTIVE'!$F$4:$F$67="NA",1,($G58&lt;='ROOF INCENTIVE'!$F$4:$F$67))*IF('ROOF INCENTIVE'!$G$4:$G$67="Passive House",($L58="Yes"),($T58&gt;='ROOF INCENTIVE'!$G$4:$G$67))*IF('ROOF INCENTIVE'!$H$4:$H$67="Passive House",($L58="Yes"),($T58&lt;='ROOF INCENTIVE'!$H$4:$H$67)),0))),"")</f>
        <v/>
      </c>
      <c r="AG58" s="143"/>
    </row>
    <row r="59" spans="2:33" s="65" customFormat="1" x14ac:dyDescent="0.25">
      <c r="B59" s="339">
        <v>32</v>
      </c>
      <c r="C59" s="712"/>
      <c r="D59" s="712"/>
      <c r="E59" s="712"/>
      <c r="F59" s="712"/>
      <c r="G59" s="713"/>
      <c r="H59" s="712"/>
      <c r="I59" s="715"/>
      <c r="J59" s="462" t="str">
        <f t="shared" si="0"/>
        <v/>
      </c>
      <c r="K59" s="339" t="str">
        <f t="shared" si="6"/>
        <v/>
      </c>
      <c r="L59" s="339" t="str">
        <f t="shared" si="7"/>
        <v/>
      </c>
      <c r="M59" s="339" t="str">
        <f t="shared" si="8"/>
        <v/>
      </c>
      <c r="N59" s="339" t="str">
        <f t="shared" si="1"/>
        <v/>
      </c>
      <c r="O59" s="339" t="str">
        <f t="shared" si="9"/>
        <v/>
      </c>
      <c r="P59" s="339" t="str">
        <f t="shared" si="10"/>
        <v/>
      </c>
      <c r="Q59" s="712"/>
      <c r="R59" s="858" t="str" cm="1">
        <f t="array" ref="R59">IFERROR(IF($M59="Retrofit",_xlfn.XLOOKUP($D$5,'TRM V13 Appendix A'!$B$13:$B$33,'TRM V13 Appendix A'!$D$13:$D$33,""),IF(OR($N59="",$F59=""),"",_xlfn.XLOOKUP($F59,'ROOF CODE'!$B$4:$B$6,_xlfn.XLOOKUP($N59,'ROOF CODE'!$C$3:$E$3,'ROOF CODE'!$C$4:$E$6,""),""))),"")</f>
        <v/>
      </c>
      <c r="S59" s="462" t="str">
        <f t="shared" si="2"/>
        <v/>
      </c>
      <c r="T59" s="462" t="str">
        <f t="shared" si="11"/>
        <v/>
      </c>
      <c r="U59" s="463" t="str">
        <f t="shared" si="12"/>
        <v/>
      </c>
      <c r="V59" s="463" t="str">
        <f t="shared" si="13"/>
        <v/>
      </c>
      <c r="W59" s="463" t="str">
        <f t="shared" si="3"/>
        <v/>
      </c>
      <c r="X59" s="464" t="str">
        <f t="shared" si="14"/>
        <v/>
      </c>
      <c r="Y59" s="351" t="str">
        <f t="shared" si="15"/>
        <v/>
      </c>
      <c r="Z59" s="463" t="str">
        <f t="shared" si="4"/>
        <v/>
      </c>
      <c r="AA59" s="465" t="str">
        <f>IFERROR(IF(C59="", "", W59/'App Cust Info'!$F$24), "")</f>
        <v/>
      </c>
      <c r="AB59" s="465" t="str">
        <f>IFERROR(IF(C59="", "", Z59/'App Cust Info'!$F$26), "")</f>
        <v/>
      </c>
      <c r="AC59" s="466" t="str" cm="1">
        <f t="array" ref="AC59">IFERROR(IF(AND($AH$24="Downstate", $D$10="Electric"), "", INDEX('ROOF INCENTIVE'!$I$4:$I$67,MATCH(1,($J59='ROOF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D59" s="466" t="str">
        <f t="shared" si="5"/>
        <v/>
      </c>
      <c r="AE59" s="467" t="str" cm="1">
        <f t="array" ref="AE59">IFERROR(IF(AND($AH$24="Downstate", $D$10="Electric"), "", INDEX('ROOF INCENTIVE'!$J$4:$J$67,MATCH(1,($J59='ROOF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F59" s="468" t="str" cm="1">
        <f t="array" ref="AF59">IFERROR(IF(AND($AH$24="Downstate", $D$10="Electric"), "", INDEX('ROOF INCENTIVE'!$K$4:$K$67,MATCH(1,($J59='ROOF INCENTIVE'!$B$4:$B$67)*($K59='ROOF INCENTIVE'!$C$4:$C$67)*($L59='ROOF INCENTIVE'!$D$4:$D$67)*IF('ROOF INCENTIVE'!$E$4:$E$67="NA",1,($G59&gt;='ROOF INCENTIVE'!$E$4:$E$67))*IF('ROOF INCENTIVE'!$F$4:$F$67="NA",1,($G59&lt;='ROOF INCENTIVE'!$F$4:$F$67))*IF('ROOF INCENTIVE'!$G$4:$G$67="Passive House",($L59="Yes"),($T59&gt;='ROOF INCENTIVE'!$G$4:$G$67))*IF('ROOF INCENTIVE'!$H$4:$H$67="Passive House",($L59="Yes"),($T59&lt;='ROOF INCENTIVE'!$H$4:$H$67)),0))),"")</f>
        <v/>
      </c>
      <c r="AG59" s="143"/>
    </row>
    <row r="60" spans="2:33" s="65" customFormat="1" x14ac:dyDescent="0.25">
      <c r="B60" s="339">
        <v>33</v>
      </c>
      <c r="C60" s="712"/>
      <c r="D60" s="712"/>
      <c r="E60" s="712"/>
      <c r="F60" s="712"/>
      <c r="G60" s="713"/>
      <c r="H60" s="712"/>
      <c r="I60" s="715"/>
      <c r="J60" s="462" t="str">
        <f t="shared" ref="J60:J77" si="16">IF(C60="", "", $AN$24)</f>
        <v/>
      </c>
      <c r="K60" s="339" t="str">
        <f t="shared" si="6"/>
        <v/>
      </c>
      <c r="L60" s="339" t="str">
        <f t="shared" si="7"/>
        <v/>
      </c>
      <c r="M60" s="339" t="str">
        <f t="shared" si="8"/>
        <v/>
      </c>
      <c r="N60" s="339" t="str">
        <f t="shared" ref="N60:N77" si="17">IF(C60="","", $AI$3)</f>
        <v/>
      </c>
      <c r="O60" s="339" t="str">
        <f t="shared" si="9"/>
        <v/>
      </c>
      <c r="P60" s="339" t="str">
        <f t="shared" si="10"/>
        <v/>
      </c>
      <c r="Q60" s="712"/>
      <c r="R60" s="858" t="str" cm="1">
        <f t="array" ref="R60">IFERROR(IF($M60="Retrofit",_xlfn.XLOOKUP($D$5,'TRM V13 Appendix A'!$B$13:$B$33,'TRM V13 Appendix A'!$D$13:$D$33,""),IF(OR($N60="",$F60=""),"",_xlfn.XLOOKUP($F60,'ROOF CODE'!$B$4:$B$6,_xlfn.XLOOKUP($N60,'ROOF CODE'!$C$3:$E$3,'ROOF CODE'!$C$4:$E$6,""),""))),"")</f>
        <v/>
      </c>
      <c r="S60" s="462" t="str">
        <f t="shared" ref="S60:S77" si="18">IFERROR(IF(C60="","", IF(M60="Gut Rehab",I60,IF(H60="No",I60+R60, I60))),"")</f>
        <v/>
      </c>
      <c r="T60" s="462" t="str">
        <f t="shared" si="11"/>
        <v/>
      </c>
      <c r="U60" s="463" t="str">
        <f t="shared" si="12"/>
        <v/>
      </c>
      <c r="V60" s="463" t="str">
        <f t="shared" si="13"/>
        <v/>
      </c>
      <c r="W60" s="463" t="str">
        <f t="shared" ref="W60:W77" si="19">IFERROR(IF(C60="", "", (U60+V60)),"")</f>
        <v/>
      </c>
      <c r="X60" s="464" t="str">
        <f t="shared" si="14"/>
        <v/>
      </c>
      <c r="Y60" s="351" t="str">
        <f t="shared" si="15"/>
        <v/>
      </c>
      <c r="Z60" s="463" t="str">
        <f t="shared" ref="Z60:Z77" si="20">IFERROR(IF(C60="", "", Y60*10),"")</f>
        <v/>
      </c>
      <c r="AA60" s="465" t="str">
        <f>IFERROR(IF(C60="", "", W60/'App Cust Info'!$F$24), "")</f>
        <v/>
      </c>
      <c r="AB60" s="465" t="str">
        <f>IFERROR(IF(C60="", "", Z60/'App Cust Info'!$F$26), "")</f>
        <v/>
      </c>
      <c r="AC60" s="466" t="str" cm="1">
        <f t="array" ref="AC60">IFERROR(IF(AND($AH$24="Downstate", $D$10="Electric"), "", INDEX('ROOF INCENTIVE'!$I$4:$I$67,MATCH(1,($J60='ROOF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D60" s="466" t="str">
        <f t="shared" ref="AD60:AD77" si="21">IFERROR(IF(C60="", "", (AC60*G60)),"")</f>
        <v/>
      </c>
      <c r="AE60" s="467" t="str" cm="1">
        <f t="array" ref="AE60">IFERROR(IF(AND($AH$24="Downstate", $D$10="Electric"), "", INDEX('ROOF INCENTIVE'!$J$4:$J$67,MATCH(1,($J60='ROOF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F60" s="468" t="str" cm="1">
        <f t="array" ref="AF60">IFERROR(IF(AND($AH$24="Downstate", $D$10="Electric"), "", INDEX('ROOF INCENTIVE'!$K$4:$K$67,MATCH(1,($J60='ROOF INCENTIVE'!$B$4:$B$67)*($K60='ROOF INCENTIVE'!$C$4:$C$67)*($L60='ROOF INCENTIVE'!$D$4:$D$67)*IF('ROOF INCENTIVE'!$E$4:$E$67="NA",1,($G60&gt;='ROOF INCENTIVE'!$E$4:$E$67))*IF('ROOF INCENTIVE'!$F$4:$F$67="NA",1,($G60&lt;='ROOF INCENTIVE'!$F$4:$F$67))*IF('ROOF INCENTIVE'!$G$4:$G$67="Passive House",($L60="Yes"),($T60&gt;='ROOF INCENTIVE'!$G$4:$G$67))*IF('ROOF INCENTIVE'!$H$4:$H$67="Passive House",($L60="Yes"),($T60&lt;='ROOF INCENTIVE'!$H$4:$H$67)),0))),"")</f>
        <v/>
      </c>
      <c r="AG60" s="143"/>
    </row>
    <row r="61" spans="2:33" s="65" customFormat="1" x14ac:dyDescent="0.25">
      <c r="B61" s="339">
        <v>34</v>
      </c>
      <c r="C61" s="712"/>
      <c r="D61" s="712"/>
      <c r="E61" s="712"/>
      <c r="F61" s="712"/>
      <c r="G61" s="713"/>
      <c r="H61" s="712"/>
      <c r="I61" s="715"/>
      <c r="J61" s="462" t="str">
        <f t="shared" si="16"/>
        <v/>
      </c>
      <c r="K61" s="339" t="str">
        <f t="shared" si="6"/>
        <v/>
      </c>
      <c r="L61" s="339" t="str">
        <f t="shared" si="7"/>
        <v/>
      </c>
      <c r="M61" s="339" t="str">
        <f t="shared" si="8"/>
        <v/>
      </c>
      <c r="N61" s="339" t="str">
        <f t="shared" si="17"/>
        <v/>
      </c>
      <c r="O61" s="339" t="str">
        <f t="shared" si="9"/>
        <v/>
      </c>
      <c r="P61" s="339" t="str">
        <f t="shared" si="10"/>
        <v/>
      </c>
      <c r="Q61" s="712"/>
      <c r="R61" s="858" t="str" cm="1">
        <f t="array" ref="R61">IFERROR(IF($M61="Retrofit",_xlfn.XLOOKUP($D$5,'TRM V13 Appendix A'!$B$13:$B$33,'TRM V13 Appendix A'!$D$13:$D$33,""),IF(OR($N61="",$F61=""),"",_xlfn.XLOOKUP($F61,'ROOF CODE'!$B$4:$B$6,_xlfn.XLOOKUP($N61,'ROOF CODE'!$C$3:$E$3,'ROOF CODE'!$C$4:$E$6,""),""))),"")</f>
        <v/>
      </c>
      <c r="S61" s="462" t="str">
        <f t="shared" si="18"/>
        <v/>
      </c>
      <c r="T61" s="462" t="str">
        <f t="shared" si="11"/>
        <v/>
      </c>
      <c r="U61" s="463" t="str">
        <f t="shared" si="12"/>
        <v/>
      </c>
      <c r="V61" s="463" t="str">
        <f t="shared" si="13"/>
        <v/>
      </c>
      <c r="W61" s="463" t="str">
        <f t="shared" si="19"/>
        <v/>
      </c>
      <c r="X61" s="464" t="str">
        <f t="shared" si="14"/>
        <v/>
      </c>
      <c r="Y61" s="351" t="str">
        <f t="shared" si="15"/>
        <v/>
      </c>
      <c r="Z61" s="463" t="str">
        <f t="shared" si="20"/>
        <v/>
      </c>
      <c r="AA61" s="465" t="str">
        <f>IFERROR(IF(C61="", "", W61/'App Cust Info'!$F$24), "")</f>
        <v/>
      </c>
      <c r="AB61" s="465" t="str">
        <f>IFERROR(IF(C61="", "", Z61/'App Cust Info'!$F$26), "")</f>
        <v/>
      </c>
      <c r="AC61" s="466" t="str" cm="1">
        <f t="array" ref="AC61">IFERROR(IF(AND($AH$24="Downstate", $D$10="Electric"), "", INDEX('ROOF INCENTIVE'!$I$4:$I$67,MATCH(1,($J61='ROOF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D61" s="466" t="str">
        <f t="shared" si="21"/>
        <v/>
      </c>
      <c r="AE61" s="467" t="str" cm="1">
        <f t="array" ref="AE61">IFERROR(IF(AND($AH$24="Downstate", $D$10="Electric"), "", INDEX('ROOF INCENTIVE'!$J$4:$J$67,MATCH(1,($J61='ROOF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F61" s="468" t="str" cm="1">
        <f t="array" ref="AF61">IFERROR(IF(AND($AH$24="Downstate", $D$10="Electric"), "", INDEX('ROOF INCENTIVE'!$K$4:$K$67,MATCH(1,($J61='ROOF INCENTIVE'!$B$4:$B$67)*($K61='ROOF INCENTIVE'!$C$4:$C$67)*($L61='ROOF INCENTIVE'!$D$4:$D$67)*IF('ROOF INCENTIVE'!$E$4:$E$67="NA",1,($G61&gt;='ROOF INCENTIVE'!$E$4:$E$67))*IF('ROOF INCENTIVE'!$F$4:$F$67="NA",1,($G61&lt;='ROOF INCENTIVE'!$F$4:$F$67))*IF('ROOF INCENTIVE'!$G$4:$G$67="Passive House",($L61="Yes"),($T61&gt;='ROOF INCENTIVE'!$G$4:$G$67))*IF('ROOF INCENTIVE'!$H$4:$H$67="Passive House",($L61="Yes"),($T61&lt;='ROOF INCENTIVE'!$H$4:$H$67)),0))),"")</f>
        <v/>
      </c>
      <c r="AG61" s="143"/>
    </row>
    <row r="62" spans="2:33" s="65" customFormat="1" x14ac:dyDescent="0.25">
      <c r="B62" s="339">
        <v>35</v>
      </c>
      <c r="C62" s="712"/>
      <c r="D62" s="712"/>
      <c r="E62" s="712"/>
      <c r="F62" s="712"/>
      <c r="G62" s="713"/>
      <c r="H62" s="712"/>
      <c r="I62" s="715"/>
      <c r="J62" s="462" t="str">
        <f t="shared" si="16"/>
        <v/>
      </c>
      <c r="K62" s="339" t="str">
        <f t="shared" si="6"/>
        <v/>
      </c>
      <c r="L62" s="339" t="str">
        <f t="shared" si="7"/>
        <v/>
      </c>
      <c r="M62" s="339" t="str">
        <f t="shared" si="8"/>
        <v/>
      </c>
      <c r="N62" s="339" t="str">
        <f t="shared" si="17"/>
        <v/>
      </c>
      <c r="O62" s="339" t="str">
        <f t="shared" si="9"/>
        <v/>
      </c>
      <c r="P62" s="339" t="str">
        <f t="shared" si="10"/>
        <v/>
      </c>
      <c r="Q62" s="712"/>
      <c r="R62" s="858" t="str" cm="1">
        <f t="array" ref="R62">IFERROR(IF($M62="Retrofit",_xlfn.XLOOKUP($D$5,'TRM V13 Appendix A'!$B$13:$B$33,'TRM V13 Appendix A'!$D$13:$D$33,""),IF(OR($N62="",$F62=""),"",_xlfn.XLOOKUP($F62,'ROOF CODE'!$B$4:$B$6,_xlfn.XLOOKUP($N62,'ROOF CODE'!$C$3:$E$3,'ROOF CODE'!$C$4:$E$6,""),""))),"")</f>
        <v/>
      </c>
      <c r="S62" s="462" t="str">
        <f t="shared" si="18"/>
        <v/>
      </c>
      <c r="T62" s="462" t="str">
        <f t="shared" si="11"/>
        <v/>
      </c>
      <c r="U62" s="463" t="str">
        <f t="shared" si="12"/>
        <v/>
      </c>
      <c r="V62" s="463" t="str">
        <f t="shared" si="13"/>
        <v/>
      </c>
      <c r="W62" s="463" t="str">
        <f t="shared" si="19"/>
        <v/>
      </c>
      <c r="X62" s="464" t="str">
        <f t="shared" si="14"/>
        <v/>
      </c>
      <c r="Y62" s="351" t="str">
        <f t="shared" si="15"/>
        <v/>
      </c>
      <c r="Z62" s="463" t="str">
        <f t="shared" si="20"/>
        <v/>
      </c>
      <c r="AA62" s="465" t="str">
        <f>IFERROR(IF(C62="", "", W62/'App Cust Info'!$F$24), "")</f>
        <v/>
      </c>
      <c r="AB62" s="465" t="str">
        <f>IFERROR(IF(C62="", "", Z62/'App Cust Info'!$F$26), "")</f>
        <v/>
      </c>
      <c r="AC62" s="466" t="str" cm="1">
        <f t="array" ref="AC62">IFERROR(IF(AND($AH$24="Downstate", $D$10="Electric"), "", INDEX('ROOF INCENTIVE'!$I$4:$I$67,MATCH(1,($J62='ROOF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D62" s="466" t="str">
        <f t="shared" si="21"/>
        <v/>
      </c>
      <c r="AE62" s="467" t="str" cm="1">
        <f t="array" ref="AE62">IFERROR(IF(AND($AH$24="Downstate", $D$10="Electric"), "", INDEX('ROOF INCENTIVE'!$J$4:$J$67,MATCH(1,($J62='ROOF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F62" s="468" t="str" cm="1">
        <f t="array" ref="AF62">IFERROR(IF(AND($AH$24="Downstate", $D$10="Electric"), "", INDEX('ROOF INCENTIVE'!$K$4:$K$67,MATCH(1,($J62='ROOF INCENTIVE'!$B$4:$B$67)*($K62='ROOF INCENTIVE'!$C$4:$C$67)*($L62='ROOF INCENTIVE'!$D$4:$D$67)*IF('ROOF INCENTIVE'!$E$4:$E$67="NA",1,($G62&gt;='ROOF INCENTIVE'!$E$4:$E$67))*IF('ROOF INCENTIVE'!$F$4:$F$67="NA",1,($G62&lt;='ROOF INCENTIVE'!$F$4:$F$67))*IF('ROOF INCENTIVE'!$G$4:$G$67="Passive House",($L62="Yes"),($T62&gt;='ROOF INCENTIVE'!$G$4:$G$67))*IF('ROOF INCENTIVE'!$H$4:$H$67="Passive House",($L62="Yes"),($T62&lt;='ROOF INCENTIVE'!$H$4:$H$67)),0))),"")</f>
        <v/>
      </c>
      <c r="AG62" s="143"/>
    </row>
    <row r="63" spans="2:33" s="65" customFormat="1" x14ac:dyDescent="0.25">
      <c r="B63" s="339">
        <v>36</v>
      </c>
      <c r="C63" s="712"/>
      <c r="D63" s="712"/>
      <c r="E63" s="712"/>
      <c r="F63" s="712"/>
      <c r="G63" s="713"/>
      <c r="H63" s="712"/>
      <c r="I63" s="715"/>
      <c r="J63" s="462" t="str">
        <f t="shared" si="16"/>
        <v/>
      </c>
      <c r="K63" s="339" t="str">
        <f t="shared" si="6"/>
        <v/>
      </c>
      <c r="L63" s="339" t="str">
        <f t="shared" si="7"/>
        <v/>
      </c>
      <c r="M63" s="339" t="str">
        <f t="shared" si="8"/>
        <v/>
      </c>
      <c r="N63" s="339" t="str">
        <f t="shared" si="17"/>
        <v/>
      </c>
      <c r="O63" s="339" t="str">
        <f t="shared" si="9"/>
        <v/>
      </c>
      <c r="P63" s="339" t="str">
        <f t="shared" si="10"/>
        <v/>
      </c>
      <c r="Q63" s="712"/>
      <c r="R63" s="858" t="str" cm="1">
        <f t="array" ref="R63">IFERROR(IF($M63="Retrofit",_xlfn.XLOOKUP($D$5,'TRM V13 Appendix A'!$B$13:$B$33,'TRM V13 Appendix A'!$D$13:$D$33,""),IF(OR($N63="",$F63=""),"",_xlfn.XLOOKUP($F63,'ROOF CODE'!$B$4:$B$6,_xlfn.XLOOKUP($N63,'ROOF CODE'!$C$3:$E$3,'ROOF CODE'!$C$4:$E$6,""),""))),"")</f>
        <v/>
      </c>
      <c r="S63" s="462" t="str">
        <f t="shared" si="18"/>
        <v/>
      </c>
      <c r="T63" s="462" t="str">
        <f t="shared" si="11"/>
        <v/>
      </c>
      <c r="U63" s="463" t="str">
        <f t="shared" si="12"/>
        <v/>
      </c>
      <c r="V63" s="463" t="str">
        <f t="shared" si="13"/>
        <v/>
      </c>
      <c r="W63" s="463" t="str">
        <f t="shared" si="19"/>
        <v/>
      </c>
      <c r="X63" s="464" t="str">
        <f t="shared" si="14"/>
        <v/>
      </c>
      <c r="Y63" s="351" t="str">
        <f t="shared" si="15"/>
        <v/>
      </c>
      <c r="Z63" s="463" t="str">
        <f t="shared" si="20"/>
        <v/>
      </c>
      <c r="AA63" s="465" t="str">
        <f>IFERROR(IF(C63="", "", W63/'App Cust Info'!$F$24), "")</f>
        <v/>
      </c>
      <c r="AB63" s="465" t="str">
        <f>IFERROR(IF(C63="", "", Z63/'App Cust Info'!$F$26), "")</f>
        <v/>
      </c>
      <c r="AC63" s="466" t="str" cm="1">
        <f t="array" ref="AC63">IFERROR(IF(AND($AH$24="Downstate", $D$10="Electric"), "", INDEX('ROOF INCENTIVE'!$I$4:$I$67,MATCH(1,($J63='ROOF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D63" s="466" t="str">
        <f t="shared" si="21"/>
        <v/>
      </c>
      <c r="AE63" s="467" t="str" cm="1">
        <f t="array" ref="AE63">IFERROR(IF(AND($AH$24="Downstate", $D$10="Electric"), "", INDEX('ROOF INCENTIVE'!$J$4:$J$67,MATCH(1,($J63='ROOF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F63" s="468" t="str" cm="1">
        <f t="array" ref="AF63">IFERROR(IF(AND($AH$24="Downstate", $D$10="Electric"), "", INDEX('ROOF INCENTIVE'!$K$4:$K$67,MATCH(1,($J63='ROOF INCENTIVE'!$B$4:$B$67)*($K63='ROOF INCENTIVE'!$C$4:$C$67)*($L63='ROOF INCENTIVE'!$D$4:$D$67)*IF('ROOF INCENTIVE'!$E$4:$E$67="NA",1,($G63&gt;='ROOF INCENTIVE'!$E$4:$E$67))*IF('ROOF INCENTIVE'!$F$4:$F$67="NA",1,($G63&lt;='ROOF INCENTIVE'!$F$4:$F$67))*IF('ROOF INCENTIVE'!$G$4:$G$67="Passive House",($L63="Yes"),($T63&gt;='ROOF INCENTIVE'!$G$4:$G$67))*IF('ROOF INCENTIVE'!$H$4:$H$67="Passive House",($L63="Yes"),($T63&lt;='ROOF INCENTIVE'!$H$4:$H$67)),0))),"")</f>
        <v/>
      </c>
      <c r="AG63" s="143"/>
    </row>
    <row r="64" spans="2:33" s="65" customFormat="1" x14ac:dyDescent="0.25">
      <c r="B64" s="339">
        <v>37</v>
      </c>
      <c r="C64" s="712"/>
      <c r="D64" s="712"/>
      <c r="E64" s="712"/>
      <c r="F64" s="712"/>
      <c r="G64" s="713"/>
      <c r="H64" s="712"/>
      <c r="I64" s="715"/>
      <c r="J64" s="462" t="str">
        <f t="shared" si="16"/>
        <v/>
      </c>
      <c r="K64" s="339" t="str">
        <f t="shared" si="6"/>
        <v/>
      </c>
      <c r="L64" s="339" t="str">
        <f t="shared" si="7"/>
        <v/>
      </c>
      <c r="M64" s="339" t="str">
        <f t="shared" si="8"/>
        <v/>
      </c>
      <c r="N64" s="339" t="str">
        <f t="shared" si="17"/>
        <v/>
      </c>
      <c r="O64" s="339" t="str">
        <f t="shared" si="9"/>
        <v/>
      </c>
      <c r="P64" s="339" t="str">
        <f t="shared" si="10"/>
        <v/>
      </c>
      <c r="Q64" s="712"/>
      <c r="R64" s="858" t="str" cm="1">
        <f t="array" ref="R64">IFERROR(IF($M64="Retrofit",_xlfn.XLOOKUP($D$5,'TRM V13 Appendix A'!$B$13:$B$33,'TRM V13 Appendix A'!$D$13:$D$33,""),IF(OR($N64="",$F64=""),"",_xlfn.XLOOKUP($F64,'ROOF CODE'!$B$4:$B$6,_xlfn.XLOOKUP($N64,'ROOF CODE'!$C$3:$E$3,'ROOF CODE'!$C$4:$E$6,""),""))),"")</f>
        <v/>
      </c>
      <c r="S64" s="462" t="str">
        <f t="shared" si="18"/>
        <v/>
      </c>
      <c r="T64" s="462" t="str">
        <f t="shared" si="11"/>
        <v/>
      </c>
      <c r="U64" s="463" t="str">
        <f t="shared" si="12"/>
        <v/>
      </c>
      <c r="V64" s="463" t="str">
        <f t="shared" si="13"/>
        <v/>
      </c>
      <c r="W64" s="463" t="str">
        <f t="shared" si="19"/>
        <v/>
      </c>
      <c r="X64" s="464" t="str">
        <f t="shared" si="14"/>
        <v/>
      </c>
      <c r="Y64" s="351" t="str">
        <f t="shared" si="15"/>
        <v/>
      </c>
      <c r="Z64" s="463" t="str">
        <f t="shared" si="20"/>
        <v/>
      </c>
      <c r="AA64" s="465" t="str">
        <f>IFERROR(IF(C64="", "", W64/'App Cust Info'!$F$24), "")</f>
        <v/>
      </c>
      <c r="AB64" s="465" t="str">
        <f>IFERROR(IF(C64="", "", Z64/'App Cust Info'!$F$26), "")</f>
        <v/>
      </c>
      <c r="AC64" s="466" t="str" cm="1">
        <f t="array" ref="AC64">IFERROR(IF(AND($AH$24="Downstate", $D$10="Electric"), "", INDEX('ROOF INCENTIVE'!$I$4:$I$67,MATCH(1,($J64='ROOF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D64" s="466" t="str">
        <f t="shared" si="21"/>
        <v/>
      </c>
      <c r="AE64" s="467" t="str" cm="1">
        <f t="array" ref="AE64">IFERROR(IF(AND($AH$24="Downstate", $D$10="Electric"), "", INDEX('ROOF INCENTIVE'!$J$4:$J$67,MATCH(1,($J64='ROOF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F64" s="468" t="str" cm="1">
        <f t="array" ref="AF64">IFERROR(IF(AND($AH$24="Downstate", $D$10="Electric"), "", INDEX('ROOF INCENTIVE'!$K$4:$K$67,MATCH(1,($J64='ROOF INCENTIVE'!$B$4:$B$67)*($K64='ROOF INCENTIVE'!$C$4:$C$67)*($L64='ROOF INCENTIVE'!$D$4:$D$67)*IF('ROOF INCENTIVE'!$E$4:$E$67="NA",1,($G64&gt;='ROOF INCENTIVE'!$E$4:$E$67))*IF('ROOF INCENTIVE'!$F$4:$F$67="NA",1,($G64&lt;='ROOF INCENTIVE'!$F$4:$F$67))*IF('ROOF INCENTIVE'!$G$4:$G$67="Passive House",($L64="Yes"),($T64&gt;='ROOF INCENTIVE'!$G$4:$G$67))*IF('ROOF INCENTIVE'!$H$4:$H$67="Passive House",($L64="Yes"),($T64&lt;='ROOF INCENTIVE'!$H$4:$H$67)),0))),"")</f>
        <v/>
      </c>
      <c r="AG64" s="143"/>
    </row>
    <row r="65" spans="2:33" s="65" customFormat="1" x14ac:dyDescent="0.25">
      <c r="B65" s="339">
        <v>38</v>
      </c>
      <c r="C65" s="712"/>
      <c r="D65" s="712"/>
      <c r="E65" s="712"/>
      <c r="F65" s="712"/>
      <c r="G65" s="713"/>
      <c r="H65" s="712"/>
      <c r="I65" s="715"/>
      <c r="J65" s="462" t="str">
        <f t="shared" si="16"/>
        <v/>
      </c>
      <c r="K65" s="339" t="str">
        <f t="shared" si="6"/>
        <v/>
      </c>
      <c r="L65" s="339" t="str">
        <f t="shared" si="7"/>
        <v/>
      </c>
      <c r="M65" s="339" t="str">
        <f t="shared" si="8"/>
        <v/>
      </c>
      <c r="N65" s="339" t="str">
        <f t="shared" si="17"/>
        <v/>
      </c>
      <c r="O65" s="339" t="str">
        <f t="shared" si="9"/>
        <v/>
      </c>
      <c r="P65" s="339" t="str">
        <f t="shared" si="10"/>
        <v/>
      </c>
      <c r="Q65" s="712"/>
      <c r="R65" s="858" t="str" cm="1">
        <f t="array" ref="R65">IFERROR(IF($M65="Retrofit",_xlfn.XLOOKUP($D$5,'TRM V13 Appendix A'!$B$13:$B$33,'TRM V13 Appendix A'!$D$13:$D$33,""),IF(OR($N65="",$F65=""),"",_xlfn.XLOOKUP($F65,'ROOF CODE'!$B$4:$B$6,_xlfn.XLOOKUP($N65,'ROOF CODE'!$C$3:$E$3,'ROOF CODE'!$C$4:$E$6,""),""))),"")</f>
        <v/>
      </c>
      <c r="S65" s="462" t="str">
        <f t="shared" si="18"/>
        <v/>
      </c>
      <c r="T65" s="462" t="str">
        <f t="shared" si="11"/>
        <v/>
      </c>
      <c r="U65" s="463" t="str">
        <f t="shared" si="12"/>
        <v/>
      </c>
      <c r="V65" s="463" t="str">
        <f t="shared" si="13"/>
        <v/>
      </c>
      <c r="W65" s="463" t="str">
        <f t="shared" si="19"/>
        <v/>
      </c>
      <c r="X65" s="464" t="str">
        <f t="shared" si="14"/>
        <v/>
      </c>
      <c r="Y65" s="351" t="str">
        <f t="shared" si="15"/>
        <v/>
      </c>
      <c r="Z65" s="463" t="str">
        <f t="shared" si="20"/>
        <v/>
      </c>
      <c r="AA65" s="465" t="str">
        <f>IFERROR(IF(C65="", "", W65/'App Cust Info'!$F$24), "")</f>
        <v/>
      </c>
      <c r="AB65" s="465" t="str">
        <f>IFERROR(IF(C65="", "", Z65/'App Cust Info'!$F$26), "")</f>
        <v/>
      </c>
      <c r="AC65" s="466" t="str" cm="1">
        <f t="array" ref="AC65">IFERROR(IF(AND($AH$24="Downstate", $D$10="Electric"), "", INDEX('ROOF INCENTIVE'!$I$4:$I$67,MATCH(1,($J65='ROOF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D65" s="466" t="str">
        <f t="shared" si="21"/>
        <v/>
      </c>
      <c r="AE65" s="467" t="str" cm="1">
        <f t="array" ref="AE65">IFERROR(IF(AND($AH$24="Downstate", $D$10="Electric"), "", INDEX('ROOF INCENTIVE'!$J$4:$J$67,MATCH(1,($J65='ROOF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F65" s="468" t="str" cm="1">
        <f t="array" ref="AF65">IFERROR(IF(AND($AH$24="Downstate", $D$10="Electric"), "", INDEX('ROOF INCENTIVE'!$K$4:$K$67,MATCH(1,($J65='ROOF INCENTIVE'!$B$4:$B$67)*($K65='ROOF INCENTIVE'!$C$4:$C$67)*($L65='ROOF INCENTIVE'!$D$4:$D$67)*IF('ROOF INCENTIVE'!$E$4:$E$67="NA",1,($G65&gt;='ROOF INCENTIVE'!$E$4:$E$67))*IF('ROOF INCENTIVE'!$F$4:$F$67="NA",1,($G65&lt;='ROOF INCENTIVE'!$F$4:$F$67))*IF('ROOF INCENTIVE'!$G$4:$G$67="Passive House",($L65="Yes"),($T65&gt;='ROOF INCENTIVE'!$G$4:$G$67))*IF('ROOF INCENTIVE'!$H$4:$H$67="Passive House",($L65="Yes"),($T65&lt;='ROOF INCENTIVE'!$H$4:$H$67)),0))),"")</f>
        <v/>
      </c>
      <c r="AG65" s="143"/>
    </row>
    <row r="66" spans="2:33" s="65" customFormat="1" x14ac:dyDescent="0.25">
      <c r="B66" s="339">
        <v>39</v>
      </c>
      <c r="C66" s="712"/>
      <c r="D66" s="712"/>
      <c r="E66" s="712"/>
      <c r="F66" s="712"/>
      <c r="G66" s="713"/>
      <c r="H66" s="712"/>
      <c r="I66" s="715"/>
      <c r="J66" s="462" t="str">
        <f t="shared" si="16"/>
        <v/>
      </c>
      <c r="K66" s="339" t="str">
        <f t="shared" si="6"/>
        <v/>
      </c>
      <c r="L66" s="339" t="str">
        <f t="shared" si="7"/>
        <v/>
      </c>
      <c r="M66" s="339" t="str">
        <f t="shared" si="8"/>
        <v/>
      </c>
      <c r="N66" s="339" t="str">
        <f t="shared" si="17"/>
        <v/>
      </c>
      <c r="O66" s="339" t="str">
        <f t="shared" si="9"/>
        <v/>
      </c>
      <c r="P66" s="339" t="str">
        <f t="shared" si="10"/>
        <v/>
      </c>
      <c r="Q66" s="712"/>
      <c r="R66" s="858" t="str" cm="1">
        <f t="array" ref="R66">IFERROR(IF($M66="Retrofit",_xlfn.XLOOKUP($D$5,'TRM V13 Appendix A'!$B$13:$B$33,'TRM V13 Appendix A'!$D$13:$D$33,""),IF(OR($N66="",$F66=""),"",_xlfn.XLOOKUP($F66,'ROOF CODE'!$B$4:$B$6,_xlfn.XLOOKUP($N66,'ROOF CODE'!$C$3:$E$3,'ROOF CODE'!$C$4:$E$6,""),""))),"")</f>
        <v/>
      </c>
      <c r="S66" s="462" t="str">
        <f t="shared" si="18"/>
        <v/>
      </c>
      <c r="T66" s="462" t="str">
        <f t="shared" si="11"/>
        <v/>
      </c>
      <c r="U66" s="463" t="str">
        <f t="shared" si="12"/>
        <v/>
      </c>
      <c r="V66" s="463" t="str">
        <f t="shared" si="13"/>
        <v/>
      </c>
      <c r="W66" s="463" t="str">
        <f t="shared" si="19"/>
        <v/>
      </c>
      <c r="X66" s="464" t="str">
        <f t="shared" si="14"/>
        <v/>
      </c>
      <c r="Y66" s="351" t="str">
        <f t="shared" si="15"/>
        <v/>
      </c>
      <c r="Z66" s="463" t="str">
        <f t="shared" si="20"/>
        <v/>
      </c>
      <c r="AA66" s="465" t="str">
        <f>IFERROR(IF(C66="", "", W66/'App Cust Info'!$F$24), "")</f>
        <v/>
      </c>
      <c r="AB66" s="465" t="str">
        <f>IFERROR(IF(C66="", "", Z66/'App Cust Info'!$F$26), "")</f>
        <v/>
      </c>
      <c r="AC66" s="466" t="str" cm="1">
        <f t="array" ref="AC66">IFERROR(IF(AND($AH$24="Downstate", $D$10="Electric"), "", INDEX('ROOF INCENTIVE'!$I$4:$I$67,MATCH(1,($J66='ROOF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D66" s="466" t="str">
        <f t="shared" si="21"/>
        <v/>
      </c>
      <c r="AE66" s="467" t="str" cm="1">
        <f t="array" ref="AE66">IFERROR(IF(AND($AH$24="Downstate", $D$10="Electric"), "", INDEX('ROOF INCENTIVE'!$J$4:$J$67,MATCH(1,($J66='ROOF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F66" s="468" t="str" cm="1">
        <f t="array" ref="AF66">IFERROR(IF(AND($AH$24="Downstate", $D$10="Electric"), "", INDEX('ROOF INCENTIVE'!$K$4:$K$67,MATCH(1,($J66='ROOF INCENTIVE'!$B$4:$B$67)*($K66='ROOF INCENTIVE'!$C$4:$C$67)*($L66='ROOF INCENTIVE'!$D$4:$D$67)*IF('ROOF INCENTIVE'!$E$4:$E$67="NA",1,($G66&gt;='ROOF INCENTIVE'!$E$4:$E$67))*IF('ROOF INCENTIVE'!$F$4:$F$67="NA",1,($G66&lt;='ROOF INCENTIVE'!$F$4:$F$67))*IF('ROOF INCENTIVE'!$G$4:$G$67="Passive House",($L66="Yes"),($T66&gt;='ROOF INCENTIVE'!$G$4:$G$67))*IF('ROOF INCENTIVE'!$H$4:$H$67="Passive House",($L66="Yes"),($T66&lt;='ROOF INCENTIVE'!$H$4:$H$67)),0))),"")</f>
        <v/>
      </c>
      <c r="AG66" s="143"/>
    </row>
    <row r="67" spans="2:33" s="65" customFormat="1" x14ac:dyDescent="0.25">
      <c r="B67" s="339">
        <v>40</v>
      </c>
      <c r="C67" s="712"/>
      <c r="D67" s="712"/>
      <c r="E67" s="712"/>
      <c r="F67" s="712"/>
      <c r="G67" s="713"/>
      <c r="H67" s="712"/>
      <c r="I67" s="715"/>
      <c r="J67" s="462" t="str">
        <f t="shared" si="16"/>
        <v/>
      </c>
      <c r="K67" s="339" t="str">
        <f t="shared" si="6"/>
        <v/>
      </c>
      <c r="L67" s="339" t="str">
        <f t="shared" si="7"/>
        <v/>
      </c>
      <c r="M67" s="339" t="str">
        <f t="shared" si="8"/>
        <v/>
      </c>
      <c r="N67" s="339" t="str">
        <f t="shared" si="17"/>
        <v/>
      </c>
      <c r="O67" s="339" t="str">
        <f t="shared" si="9"/>
        <v/>
      </c>
      <c r="P67" s="339" t="str">
        <f t="shared" si="10"/>
        <v/>
      </c>
      <c r="Q67" s="712"/>
      <c r="R67" s="858" t="str" cm="1">
        <f t="array" ref="R67">IFERROR(IF($M67="Retrofit",_xlfn.XLOOKUP($D$5,'TRM V13 Appendix A'!$B$13:$B$33,'TRM V13 Appendix A'!$D$13:$D$33,""),IF(OR($N67="",$F67=""),"",_xlfn.XLOOKUP($F67,'ROOF CODE'!$B$4:$B$6,_xlfn.XLOOKUP($N67,'ROOF CODE'!$C$3:$E$3,'ROOF CODE'!$C$4:$E$6,""),""))),"")</f>
        <v/>
      </c>
      <c r="S67" s="462" t="str">
        <f t="shared" si="18"/>
        <v/>
      </c>
      <c r="T67" s="462" t="str">
        <f t="shared" si="11"/>
        <v/>
      </c>
      <c r="U67" s="463" t="str">
        <f t="shared" si="12"/>
        <v/>
      </c>
      <c r="V67" s="463" t="str">
        <f t="shared" si="13"/>
        <v/>
      </c>
      <c r="W67" s="463" t="str">
        <f t="shared" si="19"/>
        <v/>
      </c>
      <c r="X67" s="464" t="str">
        <f t="shared" si="14"/>
        <v/>
      </c>
      <c r="Y67" s="351" t="str">
        <f t="shared" si="15"/>
        <v/>
      </c>
      <c r="Z67" s="463" t="str">
        <f t="shared" si="20"/>
        <v/>
      </c>
      <c r="AA67" s="465" t="str">
        <f>IFERROR(IF(C67="", "", W67/'App Cust Info'!$F$24), "")</f>
        <v/>
      </c>
      <c r="AB67" s="465" t="str">
        <f>IFERROR(IF(C67="", "", Z67/'App Cust Info'!$F$26), "")</f>
        <v/>
      </c>
      <c r="AC67" s="466" t="str" cm="1">
        <f t="array" ref="AC67">IFERROR(IF(AND($AH$24="Downstate", $D$10="Electric"), "", INDEX('ROOF INCENTIVE'!$I$4:$I$67,MATCH(1,($J67='ROOF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D67" s="466" t="str">
        <f t="shared" si="21"/>
        <v/>
      </c>
      <c r="AE67" s="467" t="str" cm="1">
        <f t="array" ref="AE67">IFERROR(IF(AND($AH$24="Downstate", $D$10="Electric"), "", INDEX('ROOF INCENTIVE'!$J$4:$J$67,MATCH(1,($J67='ROOF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F67" s="468" t="str" cm="1">
        <f t="array" ref="AF67">IFERROR(IF(AND($AH$24="Downstate", $D$10="Electric"), "", INDEX('ROOF INCENTIVE'!$K$4:$K$67,MATCH(1,($J67='ROOF INCENTIVE'!$B$4:$B$67)*($K67='ROOF INCENTIVE'!$C$4:$C$67)*($L67='ROOF INCENTIVE'!$D$4:$D$67)*IF('ROOF INCENTIVE'!$E$4:$E$67="NA",1,($G67&gt;='ROOF INCENTIVE'!$E$4:$E$67))*IF('ROOF INCENTIVE'!$F$4:$F$67="NA",1,($G67&lt;='ROOF INCENTIVE'!$F$4:$F$67))*IF('ROOF INCENTIVE'!$G$4:$G$67="Passive House",($L67="Yes"),($T67&gt;='ROOF INCENTIVE'!$G$4:$G$67))*IF('ROOF INCENTIVE'!$H$4:$H$67="Passive House",($L67="Yes"),($T67&lt;='ROOF INCENTIVE'!$H$4:$H$67)),0))),"")</f>
        <v/>
      </c>
      <c r="AG67" s="143"/>
    </row>
    <row r="68" spans="2:33" s="65" customFormat="1" x14ac:dyDescent="0.25">
      <c r="B68" s="339">
        <v>41</v>
      </c>
      <c r="C68" s="712"/>
      <c r="D68" s="712"/>
      <c r="E68" s="712"/>
      <c r="F68" s="712"/>
      <c r="G68" s="713"/>
      <c r="H68" s="712"/>
      <c r="I68" s="715"/>
      <c r="J68" s="462" t="str">
        <f t="shared" si="16"/>
        <v/>
      </c>
      <c r="K68" s="339" t="str">
        <f t="shared" si="6"/>
        <v/>
      </c>
      <c r="L68" s="339" t="str">
        <f t="shared" si="7"/>
        <v/>
      </c>
      <c r="M68" s="339" t="str">
        <f t="shared" si="8"/>
        <v/>
      </c>
      <c r="N68" s="339" t="str">
        <f t="shared" si="17"/>
        <v/>
      </c>
      <c r="O68" s="339" t="str">
        <f t="shared" si="9"/>
        <v/>
      </c>
      <c r="P68" s="339" t="str">
        <f t="shared" si="10"/>
        <v/>
      </c>
      <c r="Q68" s="712"/>
      <c r="R68" s="858" t="str" cm="1">
        <f t="array" ref="R68">IFERROR(IF($M68="Retrofit",_xlfn.XLOOKUP($D$5,'TRM V13 Appendix A'!$B$13:$B$33,'TRM V13 Appendix A'!$D$13:$D$33,""),IF(OR($N68="",$F68=""),"",_xlfn.XLOOKUP($F68,'ROOF CODE'!$B$4:$B$6,_xlfn.XLOOKUP($N68,'ROOF CODE'!$C$3:$E$3,'ROOF CODE'!$C$4:$E$6,""),""))),"")</f>
        <v/>
      </c>
      <c r="S68" s="462" t="str">
        <f t="shared" si="18"/>
        <v/>
      </c>
      <c r="T68" s="462" t="str">
        <f t="shared" si="11"/>
        <v/>
      </c>
      <c r="U68" s="463" t="str">
        <f t="shared" si="12"/>
        <v/>
      </c>
      <c r="V68" s="463" t="str">
        <f t="shared" si="13"/>
        <v/>
      </c>
      <c r="W68" s="463" t="str">
        <f t="shared" si="19"/>
        <v/>
      </c>
      <c r="X68" s="464" t="str">
        <f t="shared" si="14"/>
        <v/>
      </c>
      <c r="Y68" s="351" t="str">
        <f t="shared" si="15"/>
        <v/>
      </c>
      <c r="Z68" s="463" t="str">
        <f t="shared" si="20"/>
        <v/>
      </c>
      <c r="AA68" s="465" t="str">
        <f>IFERROR(IF(C68="", "", W68/'App Cust Info'!$F$24), "")</f>
        <v/>
      </c>
      <c r="AB68" s="465" t="str">
        <f>IFERROR(IF(C68="", "", Z68/'App Cust Info'!$F$26), "")</f>
        <v/>
      </c>
      <c r="AC68" s="466" t="str" cm="1">
        <f t="array" ref="AC68">IFERROR(IF(AND($AH$24="Downstate", $D$10="Electric"), "", INDEX('ROOF INCENTIVE'!$I$4:$I$67,MATCH(1,($J68='ROOF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D68" s="466" t="str">
        <f t="shared" si="21"/>
        <v/>
      </c>
      <c r="AE68" s="467" t="str" cm="1">
        <f t="array" ref="AE68">IFERROR(IF(AND($AH$24="Downstate", $D$10="Electric"), "", INDEX('ROOF INCENTIVE'!$J$4:$J$67,MATCH(1,($J68='ROOF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F68" s="468" t="str" cm="1">
        <f t="array" ref="AF68">IFERROR(IF(AND($AH$24="Downstate", $D$10="Electric"), "", INDEX('ROOF INCENTIVE'!$K$4:$K$67,MATCH(1,($J68='ROOF INCENTIVE'!$B$4:$B$67)*($K68='ROOF INCENTIVE'!$C$4:$C$67)*($L68='ROOF INCENTIVE'!$D$4:$D$67)*IF('ROOF INCENTIVE'!$E$4:$E$67="NA",1,($G68&gt;='ROOF INCENTIVE'!$E$4:$E$67))*IF('ROOF INCENTIVE'!$F$4:$F$67="NA",1,($G68&lt;='ROOF INCENTIVE'!$F$4:$F$67))*IF('ROOF INCENTIVE'!$G$4:$G$67="Passive House",($L68="Yes"),($T68&gt;='ROOF INCENTIVE'!$G$4:$G$67))*IF('ROOF INCENTIVE'!$H$4:$H$67="Passive House",($L68="Yes"),($T68&lt;='ROOF INCENTIVE'!$H$4:$H$67)),0))),"")</f>
        <v/>
      </c>
      <c r="AG68" s="143"/>
    </row>
    <row r="69" spans="2:33" s="65" customFormat="1" x14ac:dyDescent="0.25">
      <c r="B69" s="339">
        <v>42</v>
      </c>
      <c r="C69" s="712"/>
      <c r="D69" s="712"/>
      <c r="E69" s="712"/>
      <c r="F69" s="712"/>
      <c r="G69" s="713"/>
      <c r="H69" s="712"/>
      <c r="I69" s="715"/>
      <c r="J69" s="462" t="str">
        <f t="shared" si="16"/>
        <v/>
      </c>
      <c r="K69" s="339" t="str">
        <f t="shared" si="6"/>
        <v/>
      </c>
      <c r="L69" s="339" t="str">
        <f t="shared" si="7"/>
        <v/>
      </c>
      <c r="M69" s="339" t="str">
        <f t="shared" si="8"/>
        <v/>
      </c>
      <c r="N69" s="339" t="str">
        <f t="shared" si="17"/>
        <v/>
      </c>
      <c r="O69" s="339" t="str">
        <f t="shared" si="9"/>
        <v/>
      </c>
      <c r="P69" s="339" t="str">
        <f t="shared" si="10"/>
        <v/>
      </c>
      <c r="Q69" s="712"/>
      <c r="R69" s="858" t="str" cm="1">
        <f t="array" ref="R69">IFERROR(IF($M69="Retrofit",_xlfn.XLOOKUP($D$5,'TRM V13 Appendix A'!$B$13:$B$33,'TRM V13 Appendix A'!$D$13:$D$33,""),IF(OR($N69="",$F69=""),"",_xlfn.XLOOKUP($F69,'ROOF CODE'!$B$4:$B$6,_xlfn.XLOOKUP($N69,'ROOF CODE'!$C$3:$E$3,'ROOF CODE'!$C$4:$E$6,""),""))),"")</f>
        <v/>
      </c>
      <c r="S69" s="462" t="str">
        <f t="shared" si="18"/>
        <v/>
      </c>
      <c r="T69" s="462" t="str">
        <f t="shared" si="11"/>
        <v/>
      </c>
      <c r="U69" s="463" t="str">
        <f t="shared" si="12"/>
        <v/>
      </c>
      <c r="V69" s="463" t="str">
        <f t="shared" si="13"/>
        <v/>
      </c>
      <c r="W69" s="463" t="str">
        <f t="shared" si="19"/>
        <v/>
      </c>
      <c r="X69" s="464" t="str">
        <f t="shared" si="14"/>
        <v/>
      </c>
      <c r="Y69" s="351" t="str">
        <f t="shared" si="15"/>
        <v/>
      </c>
      <c r="Z69" s="463" t="str">
        <f t="shared" si="20"/>
        <v/>
      </c>
      <c r="AA69" s="465" t="str">
        <f>IFERROR(IF(C69="", "", W69/'App Cust Info'!$F$24), "")</f>
        <v/>
      </c>
      <c r="AB69" s="465" t="str">
        <f>IFERROR(IF(C69="", "", Z69/'App Cust Info'!$F$26), "")</f>
        <v/>
      </c>
      <c r="AC69" s="466" t="str" cm="1">
        <f t="array" ref="AC69">IFERROR(IF(AND($AH$24="Downstate", $D$10="Electric"), "", INDEX('ROOF INCENTIVE'!$I$4:$I$67,MATCH(1,($J69='ROOF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D69" s="466" t="str">
        <f t="shared" si="21"/>
        <v/>
      </c>
      <c r="AE69" s="467" t="str" cm="1">
        <f t="array" ref="AE69">IFERROR(IF(AND($AH$24="Downstate", $D$10="Electric"), "", INDEX('ROOF INCENTIVE'!$J$4:$J$67,MATCH(1,($J69='ROOF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F69" s="468" t="str" cm="1">
        <f t="array" ref="AF69">IFERROR(IF(AND($AH$24="Downstate", $D$10="Electric"), "", INDEX('ROOF INCENTIVE'!$K$4:$K$67,MATCH(1,($J69='ROOF INCENTIVE'!$B$4:$B$67)*($K69='ROOF INCENTIVE'!$C$4:$C$67)*($L69='ROOF INCENTIVE'!$D$4:$D$67)*IF('ROOF INCENTIVE'!$E$4:$E$67="NA",1,($G69&gt;='ROOF INCENTIVE'!$E$4:$E$67))*IF('ROOF INCENTIVE'!$F$4:$F$67="NA",1,($G69&lt;='ROOF INCENTIVE'!$F$4:$F$67))*IF('ROOF INCENTIVE'!$G$4:$G$67="Passive House",($L69="Yes"),($T69&gt;='ROOF INCENTIVE'!$G$4:$G$67))*IF('ROOF INCENTIVE'!$H$4:$H$67="Passive House",($L69="Yes"),($T69&lt;='ROOF INCENTIVE'!$H$4:$H$67)),0))),"")</f>
        <v/>
      </c>
      <c r="AG69" s="143"/>
    </row>
    <row r="70" spans="2:33" s="65" customFormat="1" x14ac:dyDescent="0.25">
      <c r="B70" s="339">
        <v>43</v>
      </c>
      <c r="C70" s="712"/>
      <c r="D70" s="712"/>
      <c r="E70" s="712"/>
      <c r="F70" s="712"/>
      <c r="G70" s="713"/>
      <c r="H70" s="712"/>
      <c r="I70" s="715"/>
      <c r="J70" s="462" t="str">
        <f t="shared" si="16"/>
        <v/>
      </c>
      <c r="K70" s="339" t="str">
        <f t="shared" si="6"/>
        <v/>
      </c>
      <c r="L70" s="339" t="str">
        <f t="shared" si="7"/>
        <v/>
      </c>
      <c r="M70" s="339" t="str">
        <f t="shared" si="8"/>
        <v/>
      </c>
      <c r="N70" s="339" t="str">
        <f t="shared" si="17"/>
        <v/>
      </c>
      <c r="O70" s="339" t="str">
        <f t="shared" si="9"/>
        <v/>
      </c>
      <c r="P70" s="339" t="str">
        <f t="shared" si="10"/>
        <v/>
      </c>
      <c r="Q70" s="712"/>
      <c r="R70" s="858" t="str" cm="1">
        <f t="array" ref="R70">IFERROR(IF($M70="Retrofit",_xlfn.XLOOKUP($D$5,'TRM V13 Appendix A'!$B$13:$B$33,'TRM V13 Appendix A'!$D$13:$D$33,""),IF(OR($N70="",$F70=""),"",_xlfn.XLOOKUP($F70,'ROOF CODE'!$B$4:$B$6,_xlfn.XLOOKUP($N70,'ROOF CODE'!$C$3:$E$3,'ROOF CODE'!$C$4:$E$6,""),""))),"")</f>
        <v/>
      </c>
      <c r="S70" s="462" t="str">
        <f t="shared" si="18"/>
        <v/>
      </c>
      <c r="T70" s="462" t="str">
        <f t="shared" si="11"/>
        <v/>
      </c>
      <c r="U70" s="463" t="str">
        <f t="shared" si="12"/>
        <v/>
      </c>
      <c r="V70" s="463" t="str">
        <f t="shared" si="13"/>
        <v/>
      </c>
      <c r="W70" s="463" t="str">
        <f t="shared" si="19"/>
        <v/>
      </c>
      <c r="X70" s="464" t="str">
        <f t="shared" si="14"/>
        <v/>
      </c>
      <c r="Y70" s="351" t="str">
        <f t="shared" si="15"/>
        <v/>
      </c>
      <c r="Z70" s="463" t="str">
        <f t="shared" si="20"/>
        <v/>
      </c>
      <c r="AA70" s="465" t="str">
        <f>IFERROR(IF(C70="", "", W70/'App Cust Info'!$F$24), "")</f>
        <v/>
      </c>
      <c r="AB70" s="465" t="str">
        <f>IFERROR(IF(C70="", "", Z70/'App Cust Info'!$F$26), "")</f>
        <v/>
      </c>
      <c r="AC70" s="466" t="str" cm="1">
        <f t="array" ref="AC70">IFERROR(IF(AND($AH$24="Downstate", $D$10="Electric"), "", INDEX('ROOF INCENTIVE'!$I$4:$I$67,MATCH(1,($J70='ROOF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D70" s="466" t="str">
        <f t="shared" si="21"/>
        <v/>
      </c>
      <c r="AE70" s="467" t="str" cm="1">
        <f t="array" ref="AE70">IFERROR(IF(AND($AH$24="Downstate", $D$10="Electric"), "", INDEX('ROOF INCENTIVE'!$J$4:$J$67,MATCH(1,($J70='ROOF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F70" s="468" t="str" cm="1">
        <f t="array" ref="AF70">IFERROR(IF(AND($AH$24="Downstate", $D$10="Electric"), "", INDEX('ROOF INCENTIVE'!$K$4:$K$67,MATCH(1,($J70='ROOF INCENTIVE'!$B$4:$B$67)*($K70='ROOF INCENTIVE'!$C$4:$C$67)*($L70='ROOF INCENTIVE'!$D$4:$D$67)*IF('ROOF INCENTIVE'!$E$4:$E$67="NA",1,($G70&gt;='ROOF INCENTIVE'!$E$4:$E$67))*IF('ROOF INCENTIVE'!$F$4:$F$67="NA",1,($G70&lt;='ROOF INCENTIVE'!$F$4:$F$67))*IF('ROOF INCENTIVE'!$G$4:$G$67="Passive House",($L70="Yes"),($T70&gt;='ROOF INCENTIVE'!$G$4:$G$67))*IF('ROOF INCENTIVE'!$H$4:$H$67="Passive House",($L70="Yes"),($T70&lt;='ROOF INCENTIVE'!$H$4:$H$67)),0))),"")</f>
        <v/>
      </c>
      <c r="AG70" s="143"/>
    </row>
    <row r="71" spans="2:33" s="65" customFormat="1" x14ac:dyDescent="0.25">
      <c r="B71" s="339">
        <v>44</v>
      </c>
      <c r="C71" s="712"/>
      <c r="D71" s="712"/>
      <c r="E71" s="712"/>
      <c r="F71" s="712"/>
      <c r="G71" s="713"/>
      <c r="H71" s="712"/>
      <c r="I71" s="715"/>
      <c r="J71" s="462" t="str">
        <f t="shared" si="16"/>
        <v/>
      </c>
      <c r="K71" s="339" t="str">
        <f t="shared" si="6"/>
        <v/>
      </c>
      <c r="L71" s="339" t="str">
        <f t="shared" si="7"/>
        <v/>
      </c>
      <c r="M71" s="339" t="str">
        <f t="shared" si="8"/>
        <v/>
      </c>
      <c r="N71" s="339" t="str">
        <f t="shared" si="17"/>
        <v/>
      </c>
      <c r="O71" s="339" t="str">
        <f t="shared" si="9"/>
        <v/>
      </c>
      <c r="P71" s="339" t="str">
        <f t="shared" si="10"/>
        <v/>
      </c>
      <c r="Q71" s="712"/>
      <c r="R71" s="858" t="str" cm="1">
        <f t="array" ref="R71">IFERROR(IF($M71="Retrofit",_xlfn.XLOOKUP($D$5,'TRM V13 Appendix A'!$B$13:$B$33,'TRM V13 Appendix A'!$D$13:$D$33,""),IF(OR($N71="",$F71=""),"",_xlfn.XLOOKUP($F71,'ROOF CODE'!$B$4:$B$6,_xlfn.XLOOKUP($N71,'ROOF CODE'!$C$3:$E$3,'ROOF CODE'!$C$4:$E$6,""),""))),"")</f>
        <v/>
      </c>
      <c r="S71" s="462" t="str">
        <f t="shared" si="18"/>
        <v/>
      </c>
      <c r="T71" s="462" t="str">
        <f t="shared" si="11"/>
        <v/>
      </c>
      <c r="U71" s="463" t="str">
        <f t="shared" si="12"/>
        <v/>
      </c>
      <c r="V71" s="463" t="str">
        <f t="shared" si="13"/>
        <v/>
      </c>
      <c r="W71" s="463" t="str">
        <f t="shared" si="19"/>
        <v/>
      </c>
      <c r="X71" s="464" t="str">
        <f t="shared" si="14"/>
        <v/>
      </c>
      <c r="Y71" s="351" t="str">
        <f t="shared" si="15"/>
        <v/>
      </c>
      <c r="Z71" s="463" t="str">
        <f t="shared" si="20"/>
        <v/>
      </c>
      <c r="AA71" s="465" t="str">
        <f>IFERROR(IF(C71="", "", W71/'App Cust Info'!$F$24), "")</f>
        <v/>
      </c>
      <c r="AB71" s="465" t="str">
        <f>IFERROR(IF(C71="", "", Z71/'App Cust Info'!$F$26), "")</f>
        <v/>
      </c>
      <c r="AC71" s="466" t="str" cm="1">
        <f t="array" ref="AC71">IFERROR(IF(AND($AH$24="Downstate", $D$10="Electric"), "", INDEX('ROOF INCENTIVE'!$I$4:$I$67,MATCH(1,($J71='ROOF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D71" s="466" t="str">
        <f t="shared" si="21"/>
        <v/>
      </c>
      <c r="AE71" s="467" t="str" cm="1">
        <f t="array" ref="AE71">IFERROR(IF(AND($AH$24="Downstate", $D$10="Electric"), "", INDEX('ROOF INCENTIVE'!$J$4:$J$67,MATCH(1,($J71='ROOF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F71" s="468" t="str" cm="1">
        <f t="array" ref="AF71">IFERROR(IF(AND($AH$24="Downstate", $D$10="Electric"), "", INDEX('ROOF INCENTIVE'!$K$4:$K$67,MATCH(1,($J71='ROOF INCENTIVE'!$B$4:$B$67)*($K71='ROOF INCENTIVE'!$C$4:$C$67)*($L71='ROOF INCENTIVE'!$D$4:$D$67)*IF('ROOF INCENTIVE'!$E$4:$E$67="NA",1,($G71&gt;='ROOF INCENTIVE'!$E$4:$E$67))*IF('ROOF INCENTIVE'!$F$4:$F$67="NA",1,($G71&lt;='ROOF INCENTIVE'!$F$4:$F$67))*IF('ROOF INCENTIVE'!$G$4:$G$67="Passive House",($L71="Yes"),($T71&gt;='ROOF INCENTIVE'!$G$4:$G$67))*IF('ROOF INCENTIVE'!$H$4:$H$67="Passive House",($L71="Yes"),($T71&lt;='ROOF INCENTIVE'!$H$4:$H$67)),0))),"")</f>
        <v/>
      </c>
      <c r="AG71" s="143"/>
    </row>
    <row r="72" spans="2:33" s="65" customFormat="1" x14ac:dyDescent="0.25">
      <c r="B72" s="339">
        <v>45</v>
      </c>
      <c r="C72" s="712"/>
      <c r="D72" s="712"/>
      <c r="E72" s="712"/>
      <c r="F72" s="712"/>
      <c r="G72" s="713"/>
      <c r="H72" s="712"/>
      <c r="I72" s="715"/>
      <c r="J72" s="462" t="str">
        <f t="shared" si="16"/>
        <v/>
      </c>
      <c r="K72" s="339" t="str">
        <f t="shared" si="6"/>
        <v/>
      </c>
      <c r="L72" s="339" t="str">
        <f t="shared" si="7"/>
        <v/>
      </c>
      <c r="M72" s="339" t="str">
        <f t="shared" si="8"/>
        <v/>
      </c>
      <c r="N72" s="339" t="str">
        <f t="shared" si="17"/>
        <v/>
      </c>
      <c r="O72" s="339" t="str">
        <f t="shared" si="9"/>
        <v/>
      </c>
      <c r="P72" s="339" t="str">
        <f t="shared" si="10"/>
        <v/>
      </c>
      <c r="Q72" s="712"/>
      <c r="R72" s="858" t="str" cm="1">
        <f t="array" ref="R72">IFERROR(IF($M72="Retrofit",_xlfn.XLOOKUP($D$5,'TRM V13 Appendix A'!$B$13:$B$33,'TRM V13 Appendix A'!$D$13:$D$33,""),IF(OR($N72="",$F72=""),"",_xlfn.XLOOKUP($F72,'ROOF CODE'!$B$4:$B$6,_xlfn.XLOOKUP($N72,'ROOF CODE'!$C$3:$E$3,'ROOF CODE'!$C$4:$E$6,""),""))),"")</f>
        <v/>
      </c>
      <c r="S72" s="462" t="str">
        <f t="shared" si="18"/>
        <v/>
      </c>
      <c r="T72" s="462" t="str">
        <f t="shared" si="11"/>
        <v/>
      </c>
      <c r="U72" s="463" t="str">
        <f t="shared" si="12"/>
        <v/>
      </c>
      <c r="V72" s="463" t="str">
        <f t="shared" si="13"/>
        <v/>
      </c>
      <c r="W72" s="463" t="str">
        <f t="shared" si="19"/>
        <v/>
      </c>
      <c r="X72" s="464" t="str">
        <f t="shared" si="14"/>
        <v/>
      </c>
      <c r="Y72" s="351" t="str">
        <f t="shared" si="15"/>
        <v/>
      </c>
      <c r="Z72" s="463" t="str">
        <f t="shared" si="20"/>
        <v/>
      </c>
      <c r="AA72" s="465" t="str">
        <f>IFERROR(IF(C72="", "", W72/'App Cust Info'!$F$24), "")</f>
        <v/>
      </c>
      <c r="AB72" s="465" t="str">
        <f>IFERROR(IF(C72="", "", Z72/'App Cust Info'!$F$26), "")</f>
        <v/>
      </c>
      <c r="AC72" s="466" t="str" cm="1">
        <f t="array" ref="AC72">IFERROR(IF(AND($AH$24="Downstate", $D$10="Electric"), "", INDEX('ROOF INCENTIVE'!$I$4:$I$67,MATCH(1,($J72='ROOF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D72" s="466" t="str">
        <f t="shared" si="21"/>
        <v/>
      </c>
      <c r="AE72" s="467" t="str" cm="1">
        <f t="array" ref="AE72">IFERROR(IF(AND($AH$24="Downstate", $D$10="Electric"), "", INDEX('ROOF INCENTIVE'!$J$4:$J$67,MATCH(1,($J72='ROOF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F72" s="468" t="str" cm="1">
        <f t="array" ref="AF72">IFERROR(IF(AND($AH$24="Downstate", $D$10="Electric"), "", INDEX('ROOF INCENTIVE'!$K$4:$K$67,MATCH(1,($J72='ROOF INCENTIVE'!$B$4:$B$67)*($K72='ROOF INCENTIVE'!$C$4:$C$67)*($L72='ROOF INCENTIVE'!$D$4:$D$67)*IF('ROOF INCENTIVE'!$E$4:$E$67="NA",1,($G72&gt;='ROOF INCENTIVE'!$E$4:$E$67))*IF('ROOF INCENTIVE'!$F$4:$F$67="NA",1,($G72&lt;='ROOF INCENTIVE'!$F$4:$F$67))*IF('ROOF INCENTIVE'!$G$4:$G$67="Passive House",($L72="Yes"),($T72&gt;='ROOF INCENTIVE'!$G$4:$G$67))*IF('ROOF INCENTIVE'!$H$4:$H$67="Passive House",($L72="Yes"),($T72&lt;='ROOF INCENTIVE'!$H$4:$H$67)),0))),"")</f>
        <v/>
      </c>
      <c r="AG72" s="143"/>
    </row>
    <row r="73" spans="2:33" s="65" customFormat="1" x14ac:dyDescent="0.25">
      <c r="B73" s="339">
        <v>46</v>
      </c>
      <c r="C73" s="712"/>
      <c r="D73" s="712"/>
      <c r="E73" s="712"/>
      <c r="F73" s="712"/>
      <c r="G73" s="713"/>
      <c r="H73" s="712"/>
      <c r="I73" s="715"/>
      <c r="J73" s="462" t="str">
        <f t="shared" si="16"/>
        <v/>
      </c>
      <c r="K73" s="339" t="str">
        <f t="shared" si="6"/>
        <v/>
      </c>
      <c r="L73" s="339" t="str">
        <f t="shared" si="7"/>
        <v/>
      </c>
      <c r="M73" s="339" t="str">
        <f t="shared" si="8"/>
        <v/>
      </c>
      <c r="N73" s="339" t="str">
        <f t="shared" si="17"/>
        <v/>
      </c>
      <c r="O73" s="339" t="str">
        <f t="shared" si="9"/>
        <v/>
      </c>
      <c r="P73" s="339" t="str">
        <f t="shared" si="10"/>
        <v/>
      </c>
      <c r="Q73" s="712"/>
      <c r="R73" s="858" t="str" cm="1">
        <f t="array" ref="R73">IFERROR(IF($M73="Retrofit",_xlfn.XLOOKUP($D$5,'TRM V13 Appendix A'!$B$13:$B$33,'TRM V13 Appendix A'!$D$13:$D$33,""),IF(OR($N73="",$F73=""),"",_xlfn.XLOOKUP($F73,'ROOF CODE'!$B$4:$B$6,_xlfn.XLOOKUP($N73,'ROOF CODE'!$C$3:$E$3,'ROOF CODE'!$C$4:$E$6,""),""))),"")</f>
        <v/>
      </c>
      <c r="S73" s="462" t="str">
        <f t="shared" si="18"/>
        <v/>
      </c>
      <c r="T73" s="462" t="str">
        <f t="shared" si="11"/>
        <v/>
      </c>
      <c r="U73" s="463" t="str">
        <f t="shared" si="12"/>
        <v/>
      </c>
      <c r="V73" s="463" t="str">
        <f t="shared" si="13"/>
        <v/>
      </c>
      <c r="W73" s="463" t="str">
        <f t="shared" si="19"/>
        <v/>
      </c>
      <c r="X73" s="464" t="str">
        <f t="shared" si="14"/>
        <v/>
      </c>
      <c r="Y73" s="351" t="str">
        <f t="shared" si="15"/>
        <v/>
      </c>
      <c r="Z73" s="463" t="str">
        <f t="shared" si="20"/>
        <v/>
      </c>
      <c r="AA73" s="465" t="str">
        <f>IFERROR(IF(C73="", "", W73/'App Cust Info'!$F$24), "")</f>
        <v/>
      </c>
      <c r="AB73" s="465" t="str">
        <f>IFERROR(IF(C73="", "", Z73/'App Cust Info'!$F$26), "")</f>
        <v/>
      </c>
      <c r="AC73" s="466" t="str" cm="1">
        <f t="array" ref="AC73">IFERROR(IF(AND($AH$24="Downstate", $D$10="Electric"), "", INDEX('ROOF INCENTIVE'!$I$4:$I$67,MATCH(1,($J73='ROOF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D73" s="466" t="str">
        <f t="shared" si="21"/>
        <v/>
      </c>
      <c r="AE73" s="467" t="str" cm="1">
        <f t="array" ref="AE73">IFERROR(IF(AND($AH$24="Downstate", $D$10="Electric"), "", INDEX('ROOF INCENTIVE'!$J$4:$J$67,MATCH(1,($J73='ROOF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F73" s="468" t="str" cm="1">
        <f t="array" ref="AF73">IFERROR(IF(AND($AH$24="Downstate", $D$10="Electric"), "", INDEX('ROOF INCENTIVE'!$K$4:$K$67,MATCH(1,($J73='ROOF INCENTIVE'!$B$4:$B$67)*($K73='ROOF INCENTIVE'!$C$4:$C$67)*($L73='ROOF INCENTIVE'!$D$4:$D$67)*IF('ROOF INCENTIVE'!$E$4:$E$67="NA",1,($G73&gt;='ROOF INCENTIVE'!$E$4:$E$67))*IF('ROOF INCENTIVE'!$F$4:$F$67="NA",1,($G73&lt;='ROOF INCENTIVE'!$F$4:$F$67))*IF('ROOF INCENTIVE'!$G$4:$G$67="Passive House",($L73="Yes"),($T73&gt;='ROOF INCENTIVE'!$G$4:$G$67))*IF('ROOF INCENTIVE'!$H$4:$H$67="Passive House",($L73="Yes"),($T73&lt;='ROOF INCENTIVE'!$H$4:$H$67)),0))),"")</f>
        <v/>
      </c>
      <c r="AG73" s="143"/>
    </row>
    <row r="74" spans="2:33" s="65" customFormat="1" x14ac:dyDescent="0.25">
      <c r="B74" s="339">
        <v>47</v>
      </c>
      <c r="C74" s="712"/>
      <c r="D74" s="712"/>
      <c r="E74" s="712"/>
      <c r="F74" s="712"/>
      <c r="G74" s="713"/>
      <c r="H74" s="712"/>
      <c r="I74" s="715"/>
      <c r="J74" s="462" t="str">
        <f t="shared" si="16"/>
        <v/>
      </c>
      <c r="K74" s="339" t="str">
        <f t="shared" si="6"/>
        <v/>
      </c>
      <c r="L74" s="339" t="str">
        <f t="shared" si="7"/>
        <v/>
      </c>
      <c r="M74" s="339" t="str">
        <f t="shared" si="8"/>
        <v/>
      </c>
      <c r="N74" s="339" t="str">
        <f t="shared" si="17"/>
        <v/>
      </c>
      <c r="O74" s="339" t="str">
        <f t="shared" si="9"/>
        <v/>
      </c>
      <c r="P74" s="339" t="str">
        <f t="shared" si="10"/>
        <v/>
      </c>
      <c r="Q74" s="712"/>
      <c r="R74" s="858" t="str" cm="1">
        <f t="array" ref="R74">IFERROR(IF($M74="Retrofit",_xlfn.XLOOKUP($D$5,'TRM V13 Appendix A'!$B$13:$B$33,'TRM V13 Appendix A'!$D$13:$D$33,""),IF(OR($N74="",$F74=""),"",_xlfn.XLOOKUP($F74,'ROOF CODE'!$B$4:$B$6,_xlfn.XLOOKUP($N74,'ROOF CODE'!$C$3:$E$3,'ROOF CODE'!$C$4:$E$6,""),""))),"")</f>
        <v/>
      </c>
      <c r="S74" s="462" t="str">
        <f t="shared" si="18"/>
        <v/>
      </c>
      <c r="T74" s="462" t="str">
        <f t="shared" si="11"/>
        <v/>
      </c>
      <c r="U74" s="463" t="str">
        <f t="shared" si="12"/>
        <v/>
      </c>
      <c r="V74" s="463" t="str">
        <f t="shared" si="13"/>
        <v/>
      </c>
      <c r="W74" s="463" t="str">
        <f t="shared" si="19"/>
        <v/>
      </c>
      <c r="X74" s="464" t="str">
        <f t="shared" si="14"/>
        <v/>
      </c>
      <c r="Y74" s="351" t="str">
        <f t="shared" si="15"/>
        <v/>
      </c>
      <c r="Z74" s="463" t="str">
        <f t="shared" si="20"/>
        <v/>
      </c>
      <c r="AA74" s="465" t="str">
        <f>IFERROR(IF(C74="", "", W74/'App Cust Info'!$F$24), "")</f>
        <v/>
      </c>
      <c r="AB74" s="465" t="str">
        <f>IFERROR(IF(C74="", "", Z74/'App Cust Info'!$F$26), "")</f>
        <v/>
      </c>
      <c r="AC74" s="466" t="str" cm="1">
        <f t="array" ref="AC74">IFERROR(IF(AND($AH$24="Downstate", $D$10="Electric"), "", INDEX('ROOF INCENTIVE'!$I$4:$I$67,MATCH(1,($J74='ROOF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D74" s="466" t="str">
        <f t="shared" si="21"/>
        <v/>
      </c>
      <c r="AE74" s="467" t="str" cm="1">
        <f t="array" ref="AE74">IFERROR(IF(AND($AH$24="Downstate", $D$10="Electric"), "", INDEX('ROOF INCENTIVE'!$J$4:$J$67,MATCH(1,($J74='ROOF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F74" s="468" t="str" cm="1">
        <f t="array" ref="AF74">IFERROR(IF(AND($AH$24="Downstate", $D$10="Electric"), "", INDEX('ROOF INCENTIVE'!$K$4:$K$67,MATCH(1,($J74='ROOF INCENTIVE'!$B$4:$B$67)*($K74='ROOF INCENTIVE'!$C$4:$C$67)*($L74='ROOF INCENTIVE'!$D$4:$D$67)*IF('ROOF INCENTIVE'!$E$4:$E$67="NA",1,($G74&gt;='ROOF INCENTIVE'!$E$4:$E$67))*IF('ROOF INCENTIVE'!$F$4:$F$67="NA",1,($G74&lt;='ROOF INCENTIVE'!$F$4:$F$67))*IF('ROOF INCENTIVE'!$G$4:$G$67="Passive House",($L74="Yes"),($T74&gt;='ROOF INCENTIVE'!$G$4:$G$67))*IF('ROOF INCENTIVE'!$H$4:$H$67="Passive House",($L74="Yes"),($T74&lt;='ROOF INCENTIVE'!$H$4:$H$67)),0))),"")</f>
        <v/>
      </c>
      <c r="AG74" s="143"/>
    </row>
    <row r="75" spans="2:33" s="65" customFormat="1" x14ac:dyDescent="0.25">
      <c r="B75" s="339">
        <v>48</v>
      </c>
      <c r="C75" s="712"/>
      <c r="D75" s="712"/>
      <c r="E75" s="712"/>
      <c r="F75" s="712"/>
      <c r="G75" s="713"/>
      <c r="H75" s="712"/>
      <c r="I75" s="715"/>
      <c r="J75" s="462" t="str">
        <f t="shared" si="16"/>
        <v/>
      </c>
      <c r="K75" s="339" t="str">
        <f t="shared" si="6"/>
        <v/>
      </c>
      <c r="L75" s="339" t="str">
        <f t="shared" si="7"/>
        <v/>
      </c>
      <c r="M75" s="339" t="str">
        <f t="shared" si="8"/>
        <v/>
      </c>
      <c r="N75" s="339" t="str">
        <f t="shared" si="17"/>
        <v/>
      </c>
      <c r="O75" s="339" t="str">
        <f t="shared" si="9"/>
        <v/>
      </c>
      <c r="P75" s="339" t="str">
        <f t="shared" si="10"/>
        <v/>
      </c>
      <c r="Q75" s="712"/>
      <c r="R75" s="858" t="str" cm="1">
        <f t="array" ref="R75">IFERROR(IF($M75="Retrofit",_xlfn.XLOOKUP($D$5,'TRM V13 Appendix A'!$B$13:$B$33,'TRM V13 Appendix A'!$D$13:$D$33,""),IF(OR($N75="",$F75=""),"",_xlfn.XLOOKUP($F75,'ROOF CODE'!$B$4:$B$6,_xlfn.XLOOKUP($N75,'ROOF CODE'!$C$3:$E$3,'ROOF CODE'!$C$4:$E$6,""),""))),"")</f>
        <v/>
      </c>
      <c r="S75" s="462" t="str">
        <f t="shared" si="18"/>
        <v/>
      </c>
      <c r="T75" s="462" t="str">
        <f t="shared" si="11"/>
        <v/>
      </c>
      <c r="U75" s="463" t="str">
        <f t="shared" si="12"/>
        <v/>
      </c>
      <c r="V75" s="463" t="str">
        <f t="shared" si="13"/>
        <v/>
      </c>
      <c r="W75" s="463" t="str">
        <f t="shared" si="19"/>
        <v/>
      </c>
      <c r="X75" s="464" t="str">
        <f t="shared" si="14"/>
        <v/>
      </c>
      <c r="Y75" s="351" t="str">
        <f t="shared" si="15"/>
        <v/>
      </c>
      <c r="Z75" s="463" t="str">
        <f t="shared" si="20"/>
        <v/>
      </c>
      <c r="AA75" s="465" t="str">
        <f>IFERROR(IF(C75="", "", W75/'App Cust Info'!$F$24), "")</f>
        <v/>
      </c>
      <c r="AB75" s="465" t="str">
        <f>IFERROR(IF(C75="", "", Z75/'App Cust Info'!$F$26), "")</f>
        <v/>
      </c>
      <c r="AC75" s="466" t="str" cm="1">
        <f t="array" ref="AC75">IFERROR(IF(AND($AH$24="Downstate", $D$10="Electric"), "", INDEX('ROOF INCENTIVE'!$I$4:$I$67,MATCH(1,($J75='ROOF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D75" s="466" t="str">
        <f t="shared" si="21"/>
        <v/>
      </c>
      <c r="AE75" s="467" t="str" cm="1">
        <f t="array" ref="AE75">IFERROR(IF(AND($AH$24="Downstate", $D$10="Electric"), "", INDEX('ROOF INCENTIVE'!$J$4:$J$67,MATCH(1,($J75='ROOF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F75" s="468" t="str" cm="1">
        <f t="array" ref="AF75">IFERROR(IF(AND($AH$24="Downstate", $D$10="Electric"), "", INDEX('ROOF INCENTIVE'!$K$4:$K$67,MATCH(1,($J75='ROOF INCENTIVE'!$B$4:$B$67)*($K75='ROOF INCENTIVE'!$C$4:$C$67)*($L75='ROOF INCENTIVE'!$D$4:$D$67)*IF('ROOF INCENTIVE'!$E$4:$E$67="NA",1,($G75&gt;='ROOF INCENTIVE'!$E$4:$E$67))*IF('ROOF INCENTIVE'!$F$4:$F$67="NA",1,($G75&lt;='ROOF INCENTIVE'!$F$4:$F$67))*IF('ROOF INCENTIVE'!$G$4:$G$67="Passive House",($L75="Yes"),($T75&gt;='ROOF INCENTIVE'!$G$4:$G$67))*IF('ROOF INCENTIVE'!$H$4:$H$67="Passive House",($L75="Yes"),($T75&lt;='ROOF INCENTIVE'!$H$4:$H$67)),0))),"")</f>
        <v/>
      </c>
      <c r="AG75" s="143"/>
    </row>
    <row r="76" spans="2:33" s="65" customFormat="1" x14ac:dyDescent="0.25">
      <c r="B76" s="339">
        <v>49</v>
      </c>
      <c r="C76" s="712"/>
      <c r="D76" s="712"/>
      <c r="E76" s="712"/>
      <c r="F76" s="712"/>
      <c r="G76" s="713"/>
      <c r="H76" s="712"/>
      <c r="I76" s="715"/>
      <c r="J76" s="462" t="str">
        <f t="shared" si="16"/>
        <v/>
      </c>
      <c r="K76" s="339" t="str">
        <f t="shared" si="6"/>
        <v/>
      </c>
      <c r="L76" s="339" t="str">
        <f t="shared" si="7"/>
        <v/>
      </c>
      <c r="M76" s="339" t="str">
        <f t="shared" si="8"/>
        <v/>
      </c>
      <c r="N76" s="339" t="str">
        <f t="shared" si="17"/>
        <v/>
      </c>
      <c r="O76" s="339" t="str">
        <f t="shared" si="9"/>
        <v/>
      </c>
      <c r="P76" s="339" t="str">
        <f t="shared" si="10"/>
        <v/>
      </c>
      <c r="Q76" s="712"/>
      <c r="R76" s="858" t="str" cm="1">
        <f t="array" ref="R76">IFERROR(IF($M76="Retrofit",_xlfn.XLOOKUP($D$5,'TRM V13 Appendix A'!$B$13:$B$33,'TRM V13 Appendix A'!$D$13:$D$33,""),IF(OR($N76="",$F76=""),"",_xlfn.XLOOKUP($F76,'ROOF CODE'!$B$4:$B$6,_xlfn.XLOOKUP($N76,'ROOF CODE'!$C$3:$E$3,'ROOF CODE'!$C$4:$E$6,""),""))),"")</f>
        <v/>
      </c>
      <c r="S76" s="462" t="str">
        <f t="shared" si="18"/>
        <v/>
      </c>
      <c r="T76" s="462" t="str">
        <f t="shared" si="11"/>
        <v/>
      </c>
      <c r="U76" s="463" t="str">
        <f t="shared" si="12"/>
        <v/>
      </c>
      <c r="V76" s="463" t="str">
        <f t="shared" si="13"/>
        <v/>
      </c>
      <c r="W76" s="463" t="str">
        <f t="shared" si="19"/>
        <v/>
      </c>
      <c r="X76" s="464" t="str">
        <f t="shared" si="14"/>
        <v/>
      </c>
      <c r="Y76" s="351" t="str">
        <f t="shared" si="15"/>
        <v/>
      </c>
      <c r="Z76" s="463" t="str">
        <f t="shared" si="20"/>
        <v/>
      </c>
      <c r="AA76" s="465" t="str">
        <f>IFERROR(IF(C76="", "", W76/'App Cust Info'!$F$24), "")</f>
        <v/>
      </c>
      <c r="AB76" s="465" t="str">
        <f>IFERROR(IF(C76="", "", Z76/'App Cust Info'!$F$26), "")</f>
        <v/>
      </c>
      <c r="AC76" s="466" t="str" cm="1">
        <f t="array" ref="AC76">IFERROR(IF(AND($AH$24="Downstate", $D$10="Electric"), "", INDEX('ROOF INCENTIVE'!$I$4:$I$67,MATCH(1,($J76='ROOF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D76" s="466" t="str">
        <f t="shared" si="21"/>
        <v/>
      </c>
      <c r="AE76" s="467" t="str" cm="1">
        <f t="array" ref="AE76">IFERROR(IF(AND($AH$24="Downstate", $D$10="Electric"), "", INDEX('ROOF INCENTIVE'!$J$4:$J$67,MATCH(1,($J76='ROOF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F76" s="468" t="str" cm="1">
        <f t="array" ref="AF76">IFERROR(IF(AND($AH$24="Downstate", $D$10="Electric"), "", INDEX('ROOF INCENTIVE'!$K$4:$K$67,MATCH(1,($J76='ROOF INCENTIVE'!$B$4:$B$67)*($K76='ROOF INCENTIVE'!$C$4:$C$67)*($L76='ROOF INCENTIVE'!$D$4:$D$67)*IF('ROOF INCENTIVE'!$E$4:$E$67="NA",1,($G76&gt;='ROOF INCENTIVE'!$E$4:$E$67))*IF('ROOF INCENTIVE'!$F$4:$F$67="NA",1,($G76&lt;='ROOF INCENTIVE'!$F$4:$F$67))*IF('ROOF INCENTIVE'!$G$4:$G$67="Passive House",($L76="Yes"),($T76&gt;='ROOF INCENTIVE'!$G$4:$G$67))*IF('ROOF INCENTIVE'!$H$4:$H$67="Passive House",($L76="Yes"),($T76&lt;='ROOF INCENTIVE'!$H$4:$H$67)),0))),"")</f>
        <v/>
      </c>
      <c r="AG76" s="143"/>
    </row>
    <row r="77" spans="2:33" s="65" customFormat="1" x14ac:dyDescent="0.25">
      <c r="B77" s="339">
        <v>50</v>
      </c>
      <c r="C77" s="712"/>
      <c r="D77" s="712"/>
      <c r="E77" s="712"/>
      <c r="F77" s="712"/>
      <c r="G77" s="713"/>
      <c r="H77" s="712"/>
      <c r="I77" s="715"/>
      <c r="J77" s="462" t="str">
        <f t="shared" si="16"/>
        <v/>
      </c>
      <c r="K77" s="339" t="str">
        <f t="shared" si="6"/>
        <v/>
      </c>
      <c r="L77" s="339" t="str">
        <f t="shared" si="7"/>
        <v/>
      </c>
      <c r="M77" s="339" t="str">
        <f t="shared" si="8"/>
        <v/>
      </c>
      <c r="N77" s="339" t="str">
        <f t="shared" si="17"/>
        <v/>
      </c>
      <c r="O77" s="339" t="str">
        <f t="shared" si="9"/>
        <v/>
      </c>
      <c r="P77" s="339" t="str">
        <f t="shared" si="10"/>
        <v/>
      </c>
      <c r="Q77" s="712"/>
      <c r="R77" s="858" t="str" cm="1">
        <f t="array" ref="R77">IFERROR(IF($M77="Retrofit",_xlfn.XLOOKUP($D$5,'TRM V13 Appendix A'!$B$13:$B$33,'TRM V13 Appendix A'!$D$13:$D$33,""),IF(OR($N77="",$F77=""),"",_xlfn.XLOOKUP($F77,'ROOF CODE'!$B$4:$B$6,_xlfn.XLOOKUP($N77,'ROOF CODE'!$C$3:$E$3,'ROOF CODE'!$C$4:$E$6,""),""))),"")</f>
        <v/>
      </c>
      <c r="S77" s="462" t="str">
        <f t="shared" si="18"/>
        <v/>
      </c>
      <c r="T77" s="462" t="str">
        <f t="shared" si="11"/>
        <v/>
      </c>
      <c r="U77" s="463" t="str">
        <f t="shared" si="12"/>
        <v/>
      </c>
      <c r="V77" s="463" t="str">
        <f t="shared" si="13"/>
        <v/>
      </c>
      <c r="W77" s="463" t="str">
        <f t="shared" si="19"/>
        <v/>
      </c>
      <c r="X77" s="464" t="str">
        <f t="shared" si="14"/>
        <v/>
      </c>
      <c r="Y77" s="351" t="str">
        <f t="shared" si="15"/>
        <v/>
      </c>
      <c r="Z77" s="463" t="str">
        <f t="shared" si="20"/>
        <v/>
      </c>
      <c r="AA77" s="465" t="str">
        <f>IFERROR(IF(C77="", "", W77/'App Cust Info'!$F$24), "")</f>
        <v/>
      </c>
      <c r="AB77" s="465" t="str">
        <f>IFERROR(IF(C77="", "", Z77/'App Cust Info'!$F$26), "")</f>
        <v/>
      </c>
      <c r="AC77" s="466" t="str" cm="1">
        <f t="array" ref="AC77">IFERROR(IF(AND($AH$24="Downstate", $D$10="Electric"), "", INDEX('ROOF INCENTIVE'!$I$4:$I$67,MATCH(1,($J77='ROOF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D77" s="466" t="str">
        <f t="shared" si="21"/>
        <v/>
      </c>
      <c r="AE77" s="467" t="str" cm="1">
        <f t="array" ref="AE77">IFERROR(IF(AND($AH$24="Downstate", $D$10="Electric"), "", INDEX('ROOF INCENTIVE'!$J$4:$J$67,MATCH(1,($J77='ROOF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F77" s="468" t="str" cm="1">
        <f t="array" ref="AF77">IFERROR(IF(AND($AH$24="Downstate", $D$10="Electric"), "", INDEX('ROOF INCENTIVE'!$K$4:$K$67,MATCH(1,($J77='ROOF INCENTIVE'!$B$4:$B$67)*($K77='ROOF INCENTIVE'!$C$4:$C$67)*($L77='ROOF INCENTIVE'!$D$4:$D$67)*IF('ROOF INCENTIVE'!$E$4:$E$67="NA",1,($G77&gt;='ROOF INCENTIVE'!$E$4:$E$67))*IF('ROOF INCENTIVE'!$F$4:$F$67="NA",1,($G77&lt;='ROOF INCENTIVE'!$F$4:$F$67))*IF('ROOF INCENTIVE'!$G$4:$G$67="Passive House",($L77="Yes"),($T77&gt;='ROOF INCENTIVE'!$G$4:$G$67))*IF('ROOF INCENTIVE'!$H$4:$H$67="Passive House",($L77="Yes"),($T77&lt;='ROOF INCENTIVE'!$H$4:$H$67)),0))),"")</f>
        <v/>
      </c>
      <c r="AG77" s="143"/>
    </row>
    <row r="78" spans="2:33" s="65" customFormat="1" x14ac:dyDescent="0.25">
      <c r="D78" s="470"/>
      <c r="E78" s="143"/>
      <c r="F78" s="143"/>
      <c r="G78" s="471">
        <f>SUM(G28:G77)</f>
        <v>0</v>
      </c>
      <c r="H78" s="143"/>
      <c r="I78" s="143"/>
      <c r="J78" s="143"/>
      <c r="K78" s="143"/>
      <c r="L78" s="143"/>
      <c r="M78" s="143"/>
      <c r="N78" s="143"/>
      <c r="O78" s="143"/>
      <c r="P78" s="143"/>
      <c r="Q78" s="143"/>
      <c r="R78" s="143"/>
      <c r="S78" s="143"/>
      <c r="T78" s="143"/>
      <c r="U78" s="471">
        <f t="shared" ref="U78:V78" si="22">SUM(U28:U77)</f>
        <v>0</v>
      </c>
      <c r="V78" s="471">
        <f t="shared" si="22"/>
        <v>0</v>
      </c>
      <c r="W78" s="471">
        <f t="shared" ref="W78:AB78" si="23">SUM(W28:W77)</f>
        <v>0</v>
      </c>
      <c r="X78" s="352">
        <f t="shared" si="23"/>
        <v>0</v>
      </c>
      <c r="Y78" s="352">
        <f t="shared" si="23"/>
        <v>0</v>
      </c>
      <c r="Z78" s="471">
        <f t="shared" si="23"/>
        <v>0</v>
      </c>
      <c r="AA78" s="472">
        <f t="shared" si="23"/>
        <v>0</v>
      </c>
      <c r="AB78" s="472">
        <f t="shared" si="23"/>
        <v>0</v>
      </c>
      <c r="AC78" s="143"/>
      <c r="AD78" s="473">
        <f>SUM(AD28:AD77)</f>
        <v>0</v>
      </c>
      <c r="AE78" s="474">
        <f>MIN(AE28:AE77)</f>
        <v>0</v>
      </c>
      <c r="AF78" s="475">
        <f>MIN(AF28:AF77)</f>
        <v>0</v>
      </c>
      <c r="AG78" s="143"/>
    </row>
    <row r="82" spans="3:4" x14ac:dyDescent="0.25">
      <c r="C82" s="96" t="s">
        <v>413</v>
      </c>
    </row>
    <row r="83" spans="3:4" hidden="1" x14ac:dyDescent="0.25"/>
    <row r="84" spans="3:4" hidden="1" x14ac:dyDescent="0.25">
      <c r="C84" s="112" t="s">
        <v>414</v>
      </c>
      <c r="D84" s="111" t="str">
        <f>IF('App Cust Info'!$F$18="", "",'App Cust Info'!$F$18)</f>
        <v/>
      </c>
    </row>
  </sheetData>
  <sheetProtection algorithmName="SHA-512" hashValue="ybcpu5a8IbrRek585OyCxQ+wpxi92J4q14XeY6PrGiEms3IbHsMQGd79TBUFDC63jYrIMnwReM9PZJbJijbRUQ==" saltValue="oG7ThQFTmEMN7dFEM7zaiQ==" spinCount="100000" sheet="1" objects="1" scenarios="1"/>
  <mergeCells count="7">
    <mergeCell ref="Q23:R26"/>
    <mergeCell ref="F2:I2"/>
    <mergeCell ref="U12:W12"/>
    <mergeCell ref="U2:V2"/>
    <mergeCell ref="U11:W11"/>
    <mergeCell ref="U10:W10"/>
    <mergeCell ref="F3:I17"/>
  </mergeCells>
  <conditionalFormatting sqref="C7:D7">
    <cfRule type="expression" dxfId="146" priority="23">
      <formula>$D$7=""</formula>
    </cfRule>
  </conditionalFormatting>
  <conditionalFormatting sqref="C11:D11">
    <cfRule type="expression" dxfId="145" priority="338">
      <formula>$D$10=$AL$3</formula>
    </cfRule>
  </conditionalFormatting>
  <conditionalFormatting sqref="C12:D12">
    <cfRule type="expression" dxfId="144" priority="339">
      <formula>$D$10=$AL$4</formula>
    </cfRule>
  </conditionalFormatting>
  <conditionalFormatting sqref="C13:D13">
    <cfRule type="expression" dxfId="143" priority="289">
      <formula>$D$13="None"</formula>
    </cfRule>
    <cfRule type="expression" dxfId="142" priority="290">
      <formula>$D$10="Fossil"</formula>
    </cfRule>
  </conditionalFormatting>
  <conditionalFormatting sqref="C14:D14">
    <cfRule type="expression" dxfId="141" priority="340">
      <formula>AND($D$10=$AL$4,$D$13=$AL$7)</formula>
    </cfRule>
    <cfRule type="expression" dxfId="140" priority="341">
      <formula>AND($D$10=$AL$3,$D$13=$AL$8)</formula>
    </cfRule>
    <cfRule type="expression" dxfId="139" priority="342">
      <formula>$D$13=$AL$8</formula>
    </cfRule>
  </conditionalFormatting>
  <conditionalFormatting sqref="C15:D15">
    <cfRule type="expression" dxfId="138" priority="343">
      <formula>$D$13=$AL$8</formula>
    </cfRule>
  </conditionalFormatting>
  <conditionalFormatting sqref="C23:D23">
    <cfRule type="expression" dxfId="137" priority="1">
      <formula>$C$23&lt;&gt;""</formula>
    </cfRule>
  </conditionalFormatting>
  <conditionalFormatting sqref="C24:D24">
    <cfRule type="expression" dxfId="136" priority="14">
      <formula>$C$24&lt;&gt;""</formula>
    </cfRule>
  </conditionalFormatting>
  <conditionalFormatting sqref="C25:D25">
    <cfRule type="expression" dxfId="135" priority="220">
      <formula>$C$25&lt;&gt;""</formula>
    </cfRule>
  </conditionalFormatting>
  <conditionalFormatting sqref="D7">
    <cfRule type="expression" dxfId="134" priority="22">
      <formula>$D$7&lt;&gt;""</formula>
    </cfRule>
  </conditionalFormatting>
  <conditionalFormatting sqref="D9 C24">
    <cfRule type="expression" dxfId="133" priority="20">
      <formula>$C$24&lt;&gt;""</formula>
    </cfRule>
  </conditionalFormatting>
  <conditionalFormatting sqref="F28:F77">
    <cfRule type="expression" dxfId="132" priority="7">
      <formula>$F$27=""</formula>
    </cfRule>
  </conditionalFormatting>
  <conditionalFormatting sqref="H28:H77">
    <cfRule type="expression" dxfId="131" priority="6">
      <formula>$H$27=""</formula>
    </cfRule>
  </conditionalFormatting>
  <conditionalFormatting sqref="R28:R77">
    <cfRule type="expression" dxfId="130" priority="3">
      <formula>$Q28="Yes"</formula>
    </cfRule>
  </conditionalFormatting>
  <conditionalFormatting sqref="U28:Z77">
    <cfRule type="expression" dxfId="129" priority="2">
      <formula>$T28&lt;4</formula>
    </cfRule>
  </conditionalFormatting>
  <dataValidations count="7">
    <dataValidation type="list" allowBlank="1" showInputMessage="1" showErrorMessage="1" sqref="D9 H28:H77 AJ40 Q28:Q77" xr:uid="{75C68404-7A21-40D8-A2A6-74CFF2111426}">
      <formula1>"Yes, No"</formula1>
    </dataValidation>
    <dataValidation type="list" allowBlank="1" showInputMessage="1" showErrorMessage="1" sqref="D10" xr:uid="{FC5A903B-63DB-4BA7-A2F3-E2D505C2978E}">
      <formula1>$AL$3:$AL$4</formula1>
    </dataValidation>
    <dataValidation type="list" allowBlank="1" showInputMessage="1" showErrorMessage="1" sqref="C28:C77" xr:uid="{603C7AC5-4DA5-4F93-8394-418817F92790}">
      <formula1>$AH$18:$AH$19</formula1>
    </dataValidation>
    <dataValidation type="list" allowBlank="1" showInputMessage="1" showErrorMessage="1" sqref="D13" xr:uid="{62E0A339-7369-47EA-91FD-ABD8C674D940}">
      <formula1>$AL$7:$AL$8</formula1>
    </dataValidation>
    <dataValidation type="list" allowBlank="1" showInputMessage="1" showErrorMessage="1" sqref="D6" xr:uid="{9D428A5C-2C07-4629-A6AD-0D717A76D483}">
      <formula1>$AL$15:$AL$16</formula1>
    </dataValidation>
    <dataValidation type="list" allowBlank="1" showInputMessage="1" showErrorMessage="1" sqref="D4" xr:uid="{500695DC-A001-4915-9074-9569152D8B65}">
      <formula1>$AL$19:$AL$20</formula1>
    </dataValidation>
    <dataValidation type="list" allowBlank="1" showInputMessage="1" showErrorMessage="1" sqref="F28:F77" xr:uid="{B9F9A148-163F-494E-8AE4-BD2262CF1654}">
      <formula1>$AI$18:$AI$20</formula1>
    </dataValidation>
  </dataValidations>
  <pageMargins left="0.7" right="0.7" top="0.75" bottom="0.75" header="0.3" footer="0.3"/>
  <pageSetup scale="42" orientation="landscape" r:id="rId1"/>
  <headerFooter>
    <oddFooter>&amp;RROOF INSULATION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C0173B4-D1B6-46B2-96B9-8DEE8CC1AE97}">
          <x14:formula1>
            <xm:f>'TRM V13 Appendix A'!$B$13:$B$33</xm:f>
          </x14:formula1>
          <xm:sqref>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9BE1-53AE-4642-A37E-42F43B625F6C}">
  <sheetPr>
    <tabColor theme="9" tint="0.39997558519241921"/>
    <pageSetUpPr fitToPage="1"/>
  </sheetPr>
  <dimension ref="B1:AU84"/>
  <sheetViews>
    <sheetView zoomScaleNormal="100" workbookViewId="0">
      <selection activeCell="D4" sqref="D4"/>
    </sheetView>
  </sheetViews>
  <sheetFormatPr defaultColWidth="9.140625" defaultRowHeight="15" x14ac:dyDescent="0.25"/>
  <cols>
    <col min="1" max="1" width="4.140625" style="1" customWidth="1"/>
    <col min="2" max="2" width="6.42578125" style="1" customWidth="1"/>
    <col min="3" max="3" width="42.28515625" style="1" customWidth="1"/>
    <col min="4" max="4" width="40.28515625" style="81" bestFit="1" customWidth="1"/>
    <col min="5" max="5" width="27.140625" style="143" customWidth="1"/>
    <col min="6" max="6" width="23.140625" style="143" bestFit="1" customWidth="1"/>
    <col min="7" max="7" width="14" style="63" customWidth="1"/>
    <col min="8" max="8" width="18.85546875" style="63" customWidth="1"/>
    <col min="9" max="9" width="19.28515625" style="63" customWidth="1"/>
    <col min="10" max="10" width="17.42578125" style="63" hidden="1" customWidth="1"/>
    <col min="11" max="11" width="7" style="63" hidden="1" customWidth="1"/>
    <col min="12" max="12" width="7.5703125" style="63" hidden="1" customWidth="1"/>
    <col min="13" max="13" width="12" style="63" hidden="1" customWidth="1"/>
    <col min="14" max="14" width="7.7109375" style="63" hidden="1" customWidth="1"/>
    <col min="15" max="15" width="10" style="63" hidden="1" customWidth="1"/>
    <col min="16" max="17" width="12" style="63" hidden="1" customWidth="1"/>
    <col min="18" max="18" width="10.140625" style="63" hidden="1" customWidth="1"/>
    <col min="19" max="19" width="10" style="63" hidden="1" customWidth="1"/>
    <col min="20" max="20" width="8.42578125" style="63" bestFit="1" customWidth="1"/>
    <col min="21" max="21" width="14.42578125" style="63" customWidth="1"/>
    <col min="22" max="22" width="12.7109375" style="63" customWidth="1"/>
    <col min="23" max="23" width="13" style="63" customWidth="1"/>
    <col min="24" max="24" width="12.5703125" style="63" customWidth="1"/>
    <col min="25" max="25" width="14.28515625" style="63" customWidth="1"/>
    <col min="26" max="26" width="10" style="63" customWidth="1"/>
    <col min="27" max="27" width="13" style="63" hidden="1" customWidth="1"/>
    <col min="28" max="28" width="10" style="63" hidden="1" customWidth="1"/>
    <col min="29" max="29" width="12.85546875" style="63" hidden="1" customWidth="1"/>
    <col min="30" max="30" width="13.140625" style="63" hidden="1" customWidth="1"/>
    <col min="31" max="31" width="13.28515625" style="63" hidden="1" customWidth="1"/>
    <col min="32" max="32" width="12.28515625" style="63" hidden="1" customWidth="1"/>
    <col min="33" max="33" width="6.140625" style="63" hidden="1" customWidth="1"/>
    <col min="34" max="34" width="17.42578125" style="1" hidden="1" customWidth="1"/>
    <col min="35" max="35" width="11.5703125" style="1" hidden="1" customWidth="1"/>
    <col min="36" max="36" width="12.42578125" style="1" hidden="1" customWidth="1"/>
    <col min="37" max="37" width="15.42578125" style="1" hidden="1" customWidth="1"/>
    <col min="38" max="38" width="17.42578125" style="1" hidden="1" customWidth="1"/>
    <col min="39" max="40" width="16.140625" style="1" hidden="1" customWidth="1"/>
    <col min="41" max="41" width="7.85546875" style="1" hidden="1" customWidth="1"/>
    <col min="42" max="42" width="17.7109375" style="1" customWidth="1"/>
    <col min="43" max="43" width="33.28515625" style="1" bestFit="1" customWidth="1"/>
    <col min="44" max="44" width="32.7109375" style="1" bestFit="1" customWidth="1"/>
    <col min="45" max="45" width="13.85546875" style="1" bestFit="1" customWidth="1"/>
    <col min="46" max="46" width="15.7109375" style="1" customWidth="1"/>
    <col min="47" max="47" width="14.85546875" style="1" bestFit="1" customWidth="1"/>
    <col min="48" max="48" width="16.140625" style="1" bestFit="1" customWidth="1"/>
    <col min="49" max="49" width="31.28515625" style="1" bestFit="1" customWidth="1"/>
    <col min="50" max="16384" width="9.140625" style="1"/>
  </cols>
  <sheetData>
    <row r="1" spans="3:47" ht="15.75" thickBot="1" x14ac:dyDescent="0.3"/>
    <row r="2" spans="3:47" ht="15" customHeight="1" thickBot="1" x14ac:dyDescent="0.4">
      <c r="C2" s="113" t="s">
        <v>93</v>
      </c>
      <c r="D2" s="121" t="str">
        <f>IF('App Cust Info'!$K$18="","","WALL INSULATION")</f>
        <v/>
      </c>
      <c r="F2" s="995" t="s">
        <v>94</v>
      </c>
      <c r="G2" s="996"/>
      <c r="H2" s="996"/>
      <c r="I2" s="997"/>
      <c r="U2" s="980" t="s">
        <v>329</v>
      </c>
      <c r="V2" s="981"/>
      <c r="W2" s="201" t="s">
        <v>330</v>
      </c>
      <c r="AH2" s="71" t="s">
        <v>331</v>
      </c>
      <c r="AI2" s="114" t="str">
        <f>IFERROR(IF('App Cust Info'!$K$18="", "", IFERROR(VLOOKUP('App Cust Info'!$K$18,'Zip Lookup'!$B$6:$G$2214,2,FALSE),"ZIP ERROR")),"")</f>
        <v/>
      </c>
      <c r="AL2" s="71" t="s">
        <v>332</v>
      </c>
      <c r="AN2" s="77" t="s">
        <v>333</v>
      </c>
      <c r="AO2" s="410">
        <f>IFERROR(IF($D$10=$AL$3, 1, 0),"")</f>
        <v>0</v>
      </c>
      <c r="AP2" s="382"/>
      <c r="AQ2" s="382"/>
      <c r="AR2" s="382"/>
      <c r="AS2" s="382"/>
      <c r="AT2" s="382"/>
      <c r="AU2" s="382"/>
    </row>
    <row r="3" spans="3:47" ht="14.25" customHeight="1" x14ac:dyDescent="0.35">
      <c r="C3" s="112" t="s">
        <v>334</v>
      </c>
      <c r="D3" s="111" t="str">
        <f>IFERROR(IF('App Cust Info'!$K$18="", "", 'App Cust Info'!$K$18), "ZIP Code Not Entered Correctly")</f>
        <v/>
      </c>
      <c r="F3" s="986"/>
      <c r="G3" s="987"/>
      <c r="H3" s="987"/>
      <c r="I3" s="988"/>
      <c r="U3" s="119" t="s">
        <v>335</v>
      </c>
      <c r="V3" s="215">
        <f>IF($C$25&lt;&gt;"", "", IFERROR($V$78,""))</f>
        <v>0</v>
      </c>
      <c r="W3" s="220"/>
      <c r="AH3" s="71" t="s">
        <v>336</v>
      </c>
      <c r="AI3" s="114" t="str">
        <f>IFERROR(IF('App Cust Info'!$K$18="", "", IFERROR(VLOOKUP('App Cust Info'!$K$18,'Zip Lookup'!$B$6:$G$2214,6,FALSE),"ZIP ERROR")),"")</f>
        <v/>
      </c>
      <c r="AL3" s="75" t="s">
        <v>192</v>
      </c>
      <c r="AN3" s="77" t="s">
        <v>337</v>
      </c>
      <c r="AO3" s="410">
        <f>IFERROR(IF(OR($D$10=$AL$4, $D$10=$AL$5), 1, 0),"")</f>
        <v>1</v>
      </c>
    </row>
    <row r="4" spans="3:47" ht="15" customHeight="1" x14ac:dyDescent="0.35">
      <c r="C4" s="112" t="s">
        <v>99</v>
      </c>
      <c r="D4" s="707"/>
      <c r="F4" s="989"/>
      <c r="G4" s="990"/>
      <c r="H4" s="990"/>
      <c r="I4" s="991"/>
      <c r="U4" s="119" t="s">
        <v>338</v>
      </c>
      <c r="V4" s="215">
        <f>IF($C$25&lt;&gt;"", "", IFERROR($U$78,""))</f>
        <v>0</v>
      </c>
      <c r="W4" s="220"/>
      <c r="AL4" s="75" t="s">
        <v>194</v>
      </c>
      <c r="AN4" s="77" t="s">
        <v>339</v>
      </c>
      <c r="AO4" s="410">
        <f>IFERROR(IF($D$13=$AL$7, 1, 0),"")</f>
        <v>0</v>
      </c>
    </row>
    <row r="5" spans="3:47" ht="15" customHeight="1" x14ac:dyDescent="0.35">
      <c r="C5" s="112" t="s">
        <v>104</v>
      </c>
      <c r="D5" s="707"/>
      <c r="F5" s="989"/>
      <c r="G5" s="990"/>
      <c r="H5" s="990"/>
      <c r="I5" s="991"/>
      <c r="U5" s="119" t="s">
        <v>340</v>
      </c>
      <c r="V5" s="215">
        <f>IF($C$25&lt;&gt;"", "", IFERROR($W$78,""))</f>
        <v>0</v>
      </c>
      <c r="W5" s="219" t="str">
        <f>IF($V$5="", "", IFERROR($V$5/'App Cust Info'!$F$24,""))</f>
        <v/>
      </c>
      <c r="AH5" s="71" t="s">
        <v>209</v>
      </c>
      <c r="AI5" s="72" t="s">
        <v>341</v>
      </c>
      <c r="AJ5" s="72" t="s">
        <v>342</v>
      </c>
      <c r="AN5" s="77" t="s">
        <v>343</v>
      </c>
      <c r="AO5" s="94">
        <v>7.0000000000000007E-2</v>
      </c>
    </row>
    <row r="6" spans="3:47" ht="15" customHeight="1" x14ac:dyDescent="0.35">
      <c r="C6" s="112" t="s">
        <v>344</v>
      </c>
      <c r="D6" s="707"/>
      <c r="F6" s="989"/>
      <c r="G6" s="990"/>
      <c r="H6" s="990"/>
      <c r="I6" s="991"/>
      <c r="U6" s="119" t="s">
        <v>345</v>
      </c>
      <c r="V6" s="217">
        <f>IF($C$25&lt;&gt;"", "", IFERROR($X$78,""))</f>
        <v>0</v>
      </c>
      <c r="W6" s="220"/>
      <c r="AH6" s="75" t="s">
        <v>211</v>
      </c>
      <c r="AI6" s="86">
        <v>6391</v>
      </c>
      <c r="AJ6" s="86">
        <v>721</v>
      </c>
      <c r="AL6" s="71" t="s">
        <v>346</v>
      </c>
      <c r="AN6" s="77" t="s">
        <v>347</v>
      </c>
      <c r="AO6" s="94">
        <v>0.25</v>
      </c>
    </row>
    <row r="7" spans="3:47" ht="15" customHeight="1" x14ac:dyDescent="0.25">
      <c r="C7" s="112" t="s">
        <v>348</v>
      </c>
      <c r="D7" s="708" t="str">
        <f>IFERROR(IF('App Cust Info'!$I$26="", "", IF('App Cust Info'!$I$26&lt;&gt;"", "Additional Supporting Documents Provided")),"")</f>
        <v/>
      </c>
      <c r="F7" s="989"/>
      <c r="G7" s="990"/>
      <c r="H7" s="990"/>
      <c r="I7" s="991"/>
      <c r="U7" s="119" t="s">
        <v>349</v>
      </c>
      <c r="V7" s="217">
        <f>IF($C$25&lt;&gt;"", "", IFERROR($Y$78,""))</f>
        <v>0</v>
      </c>
      <c r="W7" s="221"/>
      <c r="AH7" s="75" t="s">
        <v>212</v>
      </c>
      <c r="AI7" s="86">
        <v>7200</v>
      </c>
      <c r="AJ7" s="86">
        <v>383</v>
      </c>
      <c r="AL7" s="75" t="s">
        <v>192</v>
      </c>
      <c r="AN7" s="77" t="str">
        <f>IF(AI2="NYC", "CF ("&amp;AI2&amp;")", "CF (Non-NYC)")</f>
        <v>CF (Non-NYC)</v>
      </c>
      <c r="AO7" s="411">
        <f>IFERROR(IF($AI$2="NYC", 0.822, IF($AI$2="ZIP ERROR", "ZIP ERROR", 0.477)),"")</f>
        <v>0.47699999999999998</v>
      </c>
    </row>
    <row r="8" spans="3:47" ht="15.75" thickBot="1" x14ac:dyDescent="0.3">
      <c r="C8" s="112" t="s">
        <v>350</v>
      </c>
      <c r="D8" s="111" t="str">
        <f>IFERROR(IF('App Cust Info'!$H$21="", "", 'App Cust Info'!$H$21),"")</f>
        <v/>
      </c>
      <c r="F8" s="989"/>
      <c r="G8" s="990"/>
      <c r="H8" s="990"/>
      <c r="I8" s="991"/>
      <c r="U8" s="120" t="s">
        <v>351</v>
      </c>
      <c r="V8" s="218">
        <f>IF($C$25&lt;&gt;"", "", IFERROR($Z$78,""))</f>
        <v>0</v>
      </c>
      <c r="W8" s="222" t="str">
        <f>IF($V$8="", "", IFERROR($V$8/'App Cust Info'!$F$26,""))</f>
        <v/>
      </c>
      <c r="AH8" s="75" t="s">
        <v>213</v>
      </c>
      <c r="AI8" s="86">
        <v>6502</v>
      </c>
      <c r="AJ8" s="86">
        <v>607</v>
      </c>
      <c r="AL8" s="75" t="s">
        <v>352</v>
      </c>
    </row>
    <row r="9" spans="3:47" ht="15.75" thickBot="1" x14ac:dyDescent="0.3">
      <c r="C9" s="112" t="s">
        <v>353</v>
      </c>
      <c r="D9" s="707"/>
      <c r="F9" s="989"/>
      <c r="G9" s="990"/>
      <c r="H9" s="990"/>
      <c r="I9" s="991"/>
      <c r="U9" s="65"/>
      <c r="V9" s="65"/>
      <c r="W9" s="65"/>
      <c r="AH9" s="75" t="s">
        <v>214</v>
      </c>
      <c r="AI9" s="86">
        <v>8030</v>
      </c>
      <c r="AJ9" s="86">
        <v>406</v>
      </c>
    </row>
    <row r="10" spans="3:47" ht="15.75" thickBot="1" x14ac:dyDescent="0.3">
      <c r="C10" s="112" t="s">
        <v>354</v>
      </c>
      <c r="D10" s="707"/>
      <c r="E10" s="423"/>
      <c r="F10" s="989"/>
      <c r="G10" s="990"/>
      <c r="H10" s="990"/>
      <c r="I10" s="991"/>
      <c r="J10" s="421"/>
      <c r="K10" s="421"/>
      <c r="L10" s="421"/>
      <c r="M10" s="421"/>
      <c r="N10" s="421"/>
      <c r="O10" s="421"/>
      <c r="P10" s="421"/>
      <c r="Q10" s="421"/>
      <c r="R10" s="421"/>
      <c r="S10" s="421"/>
      <c r="T10" s="421"/>
      <c r="U10" s="980" t="s">
        <v>355</v>
      </c>
      <c r="V10" s="985"/>
      <c r="W10" s="981"/>
      <c r="X10" s="421"/>
      <c r="Y10" s="421"/>
      <c r="Z10" s="421"/>
      <c r="AA10" s="421"/>
      <c r="AB10" s="421"/>
      <c r="AC10" s="421"/>
      <c r="AD10" s="421"/>
      <c r="AE10" s="421"/>
      <c r="AF10" s="421"/>
      <c r="AG10" s="421"/>
      <c r="AH10" s="75" t="s">
        <v>216</v>
      </c>
      <c r="AI10" s="86">
        <v>4900</v>
      </c>
      <c r="AJ10" s="86">
        <v>1017</v>
      </c>
      <c r="AL10" s="71" t="s">
        <v>356</v>
      </c>
    </row>
    <row r="11" spans="3:47" x14ac:dyDescent="0.25">
      <c r="C11" s="112" t="s">
        <v>357</v>
      </c>
      <c r="D11" s="709"/>
      <c r="F11" s="989"/>
      <c r="G11" s="990"/>
      <c r="H11" s="990"/>
      <c r="I11" s="991"/>
      <c r="U11" s="982" t="str">
        <f>IFERROR(IF(OR($D$21="", $D$21=0), "", $D$21),"")</f>
        <v/>
      </c>
      <c r="V11" s="983"/>
      <c r="W11" s="984"/>
      <c r="AH11" s="75" t="s">
        <v>218</v>
      </c>
      <c r="AI11" s="86">
        <v>6026</v>
      </c>
      <c r="AJ11" s="86">
        <v>745</v>
      </c>
      <c r="AL11" s="75" t="s">
        <v>358</v>
      </c>
    </row>
    <row r="12" spans="3:47" ht="15.75" thickBot="1" x14ac:dyDescent="0.3">
      <c r="C12" s="112" t="s">
        <v>359</v>
      </c>
      <c r="D12" s="710"/>
      <c r="F12" s="989"/>
      <c r="G12" s="990"/>
      <c r="H12" s="990"/>
      <c r="I12" s="991"/>
      <c r="U12" s="977" t="str">
        <f>IFERROR(IF(OR($U$11="", $U$11=0), "", IF($U$11=$AF$78,"Capped at program maximum of "&amp;TEXT($AF$78,"$#,00")&amp;".",IF($U$11=$AE$78*$D$19,"Capped at "&amp;TEXT($AE$78,"#%")&amp;" of the measure cost.","Capped at NY Cap."))),"")</f>
        <v/>
      </c>
      <c r="V12" s="978"/>
      <c r="W12" s="979"/>
      <c r="AH12" s="75" t="s">
        <v>219</v>
      </c>
      <c r="AI12" s="86">
        <v>6625</v>
      </c>
      <c r="AJ12" s="86">
        <v>618</v>
      </c>
      <c r="AL12" s="75" t="s">
        <v>360</v>
      </c>
    </row>
    <row r="13" spans="3:47" x14ac:dyDescent="0.25">
      <c r="C13" s="112" t="s">
        <v>361</v>
      </c>
      <c r="D13" s="707"/>
      <c r="F13" s="989"/>
      <c r="G13" s="990"/>
      <c r="H13" s="990"/>
      <c r="I13" s="991"/>
    </row>
    <row r="14" spans="3:47" x14ac:dyDescent="0.25">
      <c r="C14" s="112" t="s">
        <v>362</v>
      </c>
      <c r="D14" s="710"/>
      <c r="F14" s="989"/>
      <c r="G14" s="990"/>
      <c r="H14" s="990"/>
      <c r="I14" s="991"/>
      <c r="AH14" s="71" t="s">
        <v>363</v>
      </c>
      <c r="AI14" s="72" t="s">
        <v>341</v>
      </c>
      <c r="AJ14" s="72" t="s">
        <v>342</v>
      </c>
      <c r="AL14" s="71" t="s">
        <v>364</v>
      </c>
    </row>
    <row r="15" spans="3:47" x14ac:dyDescent="0.25">
      <c r="C15" s="112" t="s">
        <v>365</v>
      </c>
      <c r="D15" s="710"/>
      <c r="F15" s="989"/>
      <c r="G15" s="990"/>
      <c r="H15" s="990"/>
      <c r="I15" s="991"/>
      <c r="AH15" s="75" t="str">
        <f>IFERROR(VLOOKUP($AI$2,$AH$6:$AJ$12,1,FALSE),"ZIP ERROR")</f>
        <v>ZIP ERROR</v>
      </c>
      <c r="AI15" s="409" t="str">
        <f>IFERROR(VLOOKUP($AH$15,$AH$6:$AJ$12,2,FALSE),"ZIP ERROR")</f>
        <v>ZIP ERROR</v>
      </c>
      <c r="AJ15" s="409" t="str">
        <f>IFERROR(VLOOKUP($AH$15,$AH$6:$AJ$12,3,FALSE),"ZIP ERROR")</f>
        <v>ZIP ERROR</v>
      </c>
      <c r="AL15" s="75" t="s">
        <v>366</v>
      </c>
    </row>
    <row r="16" spans="3:47" x14ac:dyDescent="0.25">
      <c r="F16" s="989"/>
      <c r="G16" s="990"/>
      <c r="H16" s="990"/>
      <c r="I16" s="991"/>
      <c r="AL16" s="75" t="s">
        <v>367</v>
      </c>
    </row>
    <row r="17" spans="2:41" x14ac:dyDescent="0.25">
      <c r="C17" s="112" t="s">
        <v>415</v>
      </c>
      <c r="D17" s="711"/>
      <c r="E17" s="423"/>
      <c r="F17" s="992"/>
      <c r="G17" s="993"/>
      <c r="H17" s="993"/>
      <c r="I17" s="994"/>
      <c r="J17" s="421"/>
      <c r="K17" s="421"/>
      <c r="L17" s="421"/>
      <c r="M17" s="421"/>
      <c r="N17" s="421"/>
      <c r="O17" s="421"/>
      <c r="P17" s="421"/>
      <c r="Q17" s="421"/>
      <c r="R17" s="421"/>
      <c r="S17" s="421"/>
      <c r="T17" s="421"/>
      <c r="U17" s="421"/>
      <c r="V17" s="421"/>
      <c r="W17" s="421"/>
      <c r="X17" s="421"/>
      <c r="Y17" s="421"/>
      <c r="Z17" s="421"/>
      <c r="AA17" s="421"/>
      <c r="AB17" s="421"/>
      <c r="AC17" s="421"/>
      <c r="AD17" s="421"/>
      <c r="AE17" s="421"/>
      <c r="AF17" s="421"/>
      <c r="AG17" s="421"/>
      <c r="AH17" s="72" t="s">
        <v>369</v>
      </c>
      <c r="AI17" s="72" t="s">
        <v>416</v>
      </c>
    </row>
    <row r="18" spans="2:41" x14ac:dyDescent="0.25">
      <c r="C18" s="112" t="s">
        <v>417</v>
      </c>
      <c r="D18" s="711"/>
      <c r="E18" s="423"/>
      <c r="F18" s="423"/>
      <c r="G18" s="421"/>
      <c r="H18" s="421"/>
      <c r="I18" s="421"/>
      <c r="J18" s="421"/>
      <c r="K18" s="421"/>
      <c r="L18" s="421"/>
      <c r="M18" s="421"/>
      <c r="N18" s="421"/>
      <c r="O18" s="421"/>
      <c r="P18" s="421"/>
      <c r="Q18" s="421"/>
      <c r="R18" s="421"/>
      <c r="S18" s="421"/>
      <c r="T18" s="421"/>
      <c r="U18" s="421"/>
      <c r="V18" s="421"/>
      <c r="W18" s="421"/>
      <c r="X18" s="421"/>
      <c r="Y18" s="421"/>
      <c r="Z18" s="421"/>
      <c r="AA18" s="421"/>
      <c r="AB18" s="421"/>
      <c r="AC18" s="421"/>
      <c r="AD18" s="421"/>
      <c r="AE18" s="421"/>
      <c r="AF18" s="421"/>
      <c r="AG18" s="421"/>
      <c r="AH18" s="76" t="s">
        <v>418</v>
      </c>
      <c r="AI18" s="76" t="s">
        <v>419</v>
      </c>
      <c r="AL18" s="71" t="s">
        <v>374</v>
      </c>
    </row>
    <row r="19" spans="2:41" ht="16.5" customHeight="1" x14ac:dyDescent="0.25">
      <c r="C19" s="112" t="s">
        <v>420</v>
      </c>
      <c r="D19" s="458" t="str">
        <f>IFERROR(IF($D$2="", "", $D$17+$D$18),"")</f>
        <v/>
      </c>
      <c r="E19" s="423"/>
      <c r="F19" s="423"/>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1"/>
      <c r="AF19" s="421"/>
      <c r="AG19" s="421"/>
      <c r="AI19" s="76" t="s">
        <v>421</v>
      </c>
      <c r="AL19" s="75" t="s">
        <v>378</v>
      </c>
    </row>
    <row r="20" spans="2:41" ht="16.5" customHeight="1" x14ac:dyDescent="0.25">
      <c r="C20" s="408"/>
      <c r="D20" s="457"/>
      <c r="AI20" s="76" t="s">
        <v>422</v>
      </c>
      <c r="AL20" s="75" t="s">
        <v>380</v>
      </c>
    </row>
    <row r="21" spans="2:41" ht="15" customHeight="1" x14ac:dyDescent="0.25">
      <c r="C21" s="202" t="s">
        <v>423</v>
      </c>
      <c r="D21" s="203" t="str">
        <f>IFERROR(IF($D$2="", "", MIN($AD$78,$AE$78*$D$19,$AF$78)),"")</f>
        <v/>
      </c>
      <c r="AI21" s="76" t="s">
        <v>424</v>
      </c>
    </row>
    <row r="22" spans="2:41" ht="15" customHeight="1" x14ac:dyDescent="0.25">
      <c r="C22" s="146" t="str">
        <f>'App Cust Info'!K66</f>
        <v>V1.0 4/2/26</v>
      </c>
      <c r="AI22" s="76" t="s">
        <v>425</v>
      </c>
    </row>
    <row r="23" spans="2:41" x14ac:dyDescent="0.25">
      <c r="C23" s="1" t="str">
        <f>IF(COUNTIFS(T28:T77,"&lt;4",T28:T77,"&gt;0")&gt;0, "No savings and incentives calculated for line items with ΔR below R-4.0.","")</f>
        <v/>
      </c>
      <c r="Q23" s="971" t="s">
        <v>383</v>
      </c>
      <c r="R23" s="972"/>
      <c r="AM23" s="205"/>
      <c r="AN23" s="205"/>
      <c r="AO23" s="205"/>
    </row>
    <row r="24" spans="2:41" x14ac:dyDescent="0.25">
      <c r="C24" s="1" t="str">
        <f>IF(AND($D$9="Yes", $AJ$26="Yes"), "Please correct the passive house input (electric only)!","")</f>
        <v/>
      </c>
      <c r="Q24" s="973"/>
      <c r="R24" s="974"/>
      <c r="AH24" s="122" t="s">
        <v>382</v>
      </c>
      <c r="AM24" s="205"/>
      <c r="AN24" s="205"/>
      <c r="AO24" s="205"/>
    </row>
    <row r="25" spans="2:41" x14ac:dyDescent="0.25">
      <c r="C25" s="382" t="str">
        <f>IF(AND($D$10="Electric", $AH$26="Downstate"), "National Grid does not serve the electricity market in NYC/LI.", "")</f>
        <v/>
      </c>
      <c r="Q25" s="973"/>
      <c r="R25" s="974"/>
      <c r="AH25" s="72" t="s">
        <v>384</v>
      </c>
      <c r="AI25" s="72" t="s">
        <v>385</v>
      </c>
      <c r="AJ25" s="72" t="s">
        <v>386</v>
      </c>
      <c r="AK25" s="72" t="s">
        <v>387</v>
      </c>
      <c r="AL25" s="72" t="s">
        <v>388</v>
      </c>
      <c r="AM25" s="72" t="s">
        <v>389</v>
      </c>
      <c r="AN25" s="72" t="s">
        <v>390</v>
      </c>
      <c r="AO25" s="205"/>
    </row>
    <row r="26" spans="2:41" x14ac:dyDescent="0.25">
      <c r="Q26" s="975"/>
      <c r="R26" s="976"/>
      <c r="AH26" s="76" t="str">
        <f>IFERROR(VLOOKUP($D$3,'Zip Lookup'!$B$6:$G$2214,4,FALSE),"")</f>
        <v/>
      </c>
      <c r="AI26" s="76" t="str">
        <f>IFERROR(IF($D$10="Electric", "Yes", "No"),"")</f>
        <v>No</v>
      </c>
      <c r="AJ26" s="76" t="str">
        <f>IFERROR(IF(OR($D$10="Fossil", $D$13="Fossil"), "Yes", "No"),"")</f>
        <v>No</v>
      </c>
      <c r="AK26" s="76">
        <f>IFERROR($D$4,"")</f>
        <v>0</v>
      </c>
      <c r="AL26" s="76" t="str">
        <f>IFERROR(IF($AH$26="Downstate", "KEDLI/KEDNY", "NIMO"),"")</f>
        <v>NIMO</v>
      </c>
      <c r="AM26" s="264" t="str">
        <f>IFERROR(IF($AH$26="Downstate", "Not National Grid", IF($AL$26="KEDLI/KEDNY",$AL$26&amp;" "&amp;$AK$26,IF($AL$26="NIMO","NIMO "&amp;IF($AI$26="Yes","Electric "&amp;$AK$26,"Gas "&amp;$AK$26),""))),"")</f>
        <v>NIMO Gas 0</v>
      </c>
      <c r="AN26" s="264" t="str">
        <f>IFERROR(IF($AL$26="KEDLI/KEDNY",$AL$26&amp;" "&amp;$AK$26,IF($AL$26="NIMO","NIMO "&amp;IF($AJ$26="Yes","Gas "&amp;$AK$26,"Electric "&amp;$AK$26),"")),"")</f>
        <v>NIMO Electric 0</v>
      </c>
      <c r="AO26" s="205"/>
    </row>
    <row r="27" spans="2:41" s="205" customFormat="1" ht="45" x14ac:dyDescent="0.25">
      <c r="B27" s="206" t="s">
        <v>133</v>
      </c>
      <c r="C27" s="206" t="s">
        <v>391</v>
      </c>
      <c r="D27" s="206" t="s">
        <v>392</v>
      </c>
      <c r="E27" s="206" t="s">
        <v>135</v>
      </c>
      <c r="F27" s="206" t="str">
        <f>IF($D$6="Gut Rehab", "Please Select Wall Type", "")</f>
        <v/>
      </c>
      <c r="G27" s="206" t="s">
        <v>393</v>
      </c>
      <c r="H27" s="206" t="str">
        <f>IF($D$6="Gut Rehab", "", "Is The Existing Insulation Being Removed?")</f>
        <v>Is The Existing Insulation Being Removed?</v>
      </c>
      <c r="I27" s="206" t="s">
        <v>394</v>
      </c>
      <c r="J27" s="206" t="s">
        <v>388</v>
      </c>
      <c r="K27" s="206" t="s">
        <v>395</v>
      </c>
      <c r="L27" s="206" t="s">
        <v>396</v>
      </c>
      <c r="M27" s="206" t="s">
        <v>364</v>
      </c>
      <c r="N27" s="206" t="s">
        <v>397</v>
      </c>
      <c r="O27" s="206" t="s">
        <v>369</v>
      </c>
      <c r="P27" s="206" t="s">
        <v>398</v>
      </c>
      <c r="Q27" s="206" t="s">
        <v>399</v>
      </c>
      <c r="R27" s="206" t="str">
        <f>IF($D$6="Gut Rehab","Code R-Value","Appendix A R-Value")</f>
        <v>Appendix A R-Value</v>
      </c>
      <c r="S27" s="206" t="s">
        <v>400</v>
      </c>
      <c r="T27" s="206" t="s">
        <v>401</v>
      </c>
      <c r="U27" s="206" t="s">
        <v>402</v>
      </c>
      <c r="V27" s="206" t="s">
        <v>403</v>
      </c>
      <c r="W27" s="206" t="s">
        <v>404</v>
      </c>
      <c r="X27" s="206" t="s">
        <v>160</v>
      </c>
      <c r="Y27" s="206" t="s">
        <v>405</v>
      </c>
      <c r="Z27" s="206" t="s">
        <v>406</v>
      </c>
      <c r="AA27" s="206" t="s">
        <v>407</v>
      </c>
      <c r="AB27" s="206" t="s">
        <v>408</v>
      </c>
      <c r="AC27" s="206" t="s">
        <v>409</v>
      </c>
      <c r="AD27" s="206" t="s">
        <v>410</v>
      </c>
      <c r="AE27" s="206" t="s">
        <v>411</v>
      </c>
      <c r="AF27" s="206" t="s">
        <v>412</v>
      </c>
    </row>
    <row r="28" spans="2:41" ht="15" customHeight="1" x14ac:dyDescent="0.25">
      <c r="B28" s="339">
        <v>1</v>
      </c>
      <c r="C28" s="712"/>
      <c r="D28" s="712"/>
      <c r="E28" s="712"/>
      <c r="F28" s="712"/>
      <c r="G28" s="713"/>
      <c r="H28" s="714"/>
      <c r="I28" s="715"/>
      <c r="J28" s="462" t="str">
        <f t="shared" ref="J28:J59" si="0">IF(C28="", "", $AN$26)</f>
        <v/>
      </c>
      <c r="K28" s="339" t="str">
        <f>IF(C28="", "",$D$8)</f>
        <v/>
      </c>
      <c r="L28" s="339" t="str">
        <f>IF(C28="","",$D$9)</f>
        <v/>
      </c>
      <c r="M28" s="339" t="str">
        <f>IF(C28="", "", $D$6)</f>
        <v/>
      </c>
      <c r="N28" s="339" t="str">
        <f t="shared" ref="N28:N77" si="1">IF(C28="","", $AI$3)</f>
        <v/>
      </c>
      <c r="O28" s="339" t="str">
        <f>IF(C28="", "", "Wall")</f>
        <v/>
      </c>
      <c r="P28" s="339" t="str">
        <f>IF(C28="", "", IF(M28="Gut Rehab", O28&amp;" Code", "Appendix A"))</f>
        <v/>
      </c>
      <c r="Q28" s="264"/>
      <c r="R28" s="462" t="str" cm="1">
        <f t="array" ref="R28">IFERROR(IF($M28="Retrofit",_xlfn.XLOOKUP($D$5,'TRM V13 Appendix A'!$B$13:$B$33,'TRM V13 Appendix A'!$C$13:$C$33,""),IF(OR($N28="",$F28=""),"",_xlfn.XLOOKUP($F28,'WALL CODE'!$B$4:$B$8,_xlfn.XLOOKUP($N28,'WALL CODE'!$C$3:$E$3,'WALL CODE'!$C$4:$E$8,""),""))),"")</f>
        <v/>
      </c>
      <c r="S28" s="462" t="str">
        <f>IFERROR(IF(C28="","", IF(M28="Gut Rehab",I28,IF(H28="No",I28+R28, I28))),"")</f>
        <v/>
      </c>
      <c r="T28" s="462" t="str">
        <f>IFERROR(IF(S28-R28&lt;=0, 0, S28-R28),"")</f>
        <v/>
      </c>
      <c r="U28" s="463" t="str">
        <f>IFERROR(IF(C28="", "", IF(T28&lt;4, 0, (((1/R28)-(1/(R28+T28)))*G28*(1-$AO$6)*$AJ$15*24*$AO$4)/(1000*$D$14))),"")</f>
        <v/>
      </c>
      <c r="V28" s="463" t="str">
        <f>IFERROR(IF(C28="", "", IF(T28&lt;4, 0, (((1/R28)-(1/(R28+T28)))*G28*(1-$AO$6)*$AI$15*24*$AO$2)/(1000*$D$12))),0)</f>
        <v/>
      </c>
      <c r="W28" s="463" t="str">
        <f>IFERROR(IF(C28="", "", (U28+V28)),"")</f>
        <v/>
      </c>
      <c r="X28" s="464" t="str">
        <f>IFERROR(IF(C28="", "", IF(T28&lt;4, 0, (((1/R28)-(1/(R28+T28)))*G28*(1-$AO$6)*$AO$4/(1000*$D$15)*$AO$7))),"")</f>
        <v/>
      </c>
      <c r="Y28" s="351" t="str">
        <f>IFERROR(IF(C28="", "", IF(T28&lt;4, 0, (((1/R28)-(1/(R28+T28)))*G28*(1-$AO$6)*$AI$15*24*$AO$3)/(1000000*$D$11))),"")</f>
        <v/>
      </c>
      <c r="Z28" s="463" t="str">
        <f t="shared" ref="Z28:Z77" si="2">IFERROR(IF(C28="", "", Y28*10),"")</f>
        <v/>
      </c>
      <c r="AA28" s="465" t="str">
        <f>IFERROR(IF(C28="", "", W28/'App Cust Info'!$F$24), "")</f>
        <v/>
      </c>
      <c r="AB28" s="465" t="str">
        <f>IFERROR(IF(C28="", "", Z28/'App Cust Info'!$F$26), "")</f>
        <v/>
      </c>
      <c r="AC28" s="466" t="str" cm="1">
        <f t="array" ref="AC28">IFERROR(IF(AND($AH$26="Downstate", $D$10="Electric"), "", INDEX('WALL INCENTIVE'!$G$4:$G$59,MATCH(1,($J28='WALL INCENTIVE'!$B$4:$B$59)*($K28='WALL INCENTIVE'!$C$4:$C$59)*($L28='WALL INCENTIVE'!$D$4:$D$59)*IF('WALL INCENTIVE'!$E$4:$E$59="Passive House",($L28="Yes"),($T28&gt;='WALL INCENTIVE'!$E$4:$E$59))*IF('WALL INCENTIVE'!$F$4:$F$59="Passive House",($L28="Yes"),($T28&lt;='WALL INCENTIVE'!$F$4:$F$59)),0))),"")</f>
        <v/>
      </c>
      <c r="AD28" s="466" t="str">
        <f>IFERROR(IF(C28="", "", (AC28*G28)),"")</f>
        <v/>
      </c>
      <c r="AE28" s="467" t="str" cm="1">
        <f t="array" ref="AE28">IFERROR(IF(AND($AH$26="Downstate", $D$10="Electric"), "", INDEX('WALL INCENTIVE'!$H$4:$H$59,MATCH(1,($J28='WALL INCENTIVE'!$B$4:$B$59)*($K28='WALL INCENTIVE'!$C$4:$C$59)*($L28='WALL INCENTIVE'!$D$4:$D$59)*IF('WALL INCENTIVE'!$E$4:$E$59="Passive House",($L28="Yes"),($T28&gt;='WALL INCENTIVE'!$E$4:$E$59))*IF('WALL INCENTIVE'!$F$4:$F$59="Passive House",($L28="Yes"),($T28&lt;='WALL INCENTIVE'!$F$4:$F$59)),0))),"")</f>
        <v/>
      </c>
      <c r="AF28" s="468" t="str" cm="1">
        <f t="array" ref="AF28">IFERROR(IF(AND($AH$26="Downstate", $D$10="Electric"), "", INDEX('WALL INCENTIVE'!$I$4:$I$59,MATCH(1,($J28='WALL INCENTIVE'!$B$4:$B$59)*($K28='WALL INCENTIVE'!$C$4:$C$59)*($L28='WALL INCENTIVE'!$D$4:$D$59)*IF('WALL INCENTIVE'!$E$4:$E$59="Passive House",($L28="Yes"),($T28&gt;='WALL INCENTIVE'!$E$4:$E$59))*IF('WALL INCENTIVE'!$F$4:$F$59="Passive House",($L28="Yes"),($T28&lt;='WALL INCENTIVE'!$F$4:$F$59)),0))),"")</f>
        <v/>
      </c>
      <c r="AG28" s="143"/>
    </row>
    <row r="29" spans="2:41" ht="15" customHeight="1" x14ac:dyDescent="0.25">
      <c r="B29" s="339">
        <v>2</v>
      </c>
      <c r="C29" s="712"/>
      <c r="D29" s="712"/>
      <c r="E29" s="712"/>
      <c r="F29" s="712"/>
      <c r="G29" s="713"/>
      <c r="H29" s="714"/>
      <c r="I29" s="715"/>
      <c r="J29" s="462" t="str">
        <f t="shared" si="0"/>
        <v/>
      </c>
      <c r="K29" s="339" t="str">
        <f t="shared" ref="K29:K77" si="3">IF(C29="", "",$D$8)</f>
        <v/>
      </c>
      <c r="L29" s="339" t="str">
        <f t="shared" ref="L29:L77" si="4">IF(C29="","",$D$9)</f>
        <v/>
      </c>
      <c r="M29" s="339" t="str">
        <f t="shared" ref="M29:M77" si="5">IF(C29="", "", $D$6)</f>
        <v/>
      </c>
      <c r="N29" s="339" t="str">
        <f t="shared" si="1"/>
        <v/>
      </c>
      <c r="O29" s="339" t="str">
        <f t="shared" ref="O29:O77" si="6">IF(C29="", "", "Wall")</f>
        <v/>
      </c>
      <c r="P29" s="339" t="str">
        <f t="shared" ref="P29:P77" si="7">IF(C29="", "", IF(M29="Gut Rehab", O29&amp;" Code", "Appendix A"))</f>
        <v/>
      </c>
      <c r="Q29" s="264"/>
      <c r="R29" s="462" t="str" cm="1">
        <f t="array" ref="R29">IFERROR(IF($M29="Retrofit",_xlfn.XLOOKUP($D$5,'TRM V13 Appendix A'!$B$13:$B$33,'TRM V13 Appendix A'!$C$13:$C$33,""),IF(OR($N29="",$F29=""),"",_xlfn.XLOOKUP($F29,'WALL CODE'!$B$4:$B$8,_xlfn.XLOOKUP($N29,'WALL CODE'!$C$3:$E$3,'WALL CODE'!$C$4:$E$8,""),""))),"")</f>
        <v/>
      </c>
      <c r="S29" s="462" t="str">
        <f t="shared" ref="S29:S77" si="8">IFERROR(IF(C29="","", IF(M29="Gut Rehab",I29,IF(H29="No",I29+R29, I29))),"")</f>
        <v/>
      </c>
      <c r="T29" s="462" t="str">
        <f t="shared" ref="T29:T77" si="9">IFERROR(IF(S29-R29&lt;=0, 0, S29-R29),"")</f>
        <v/>
      </c>
      <c r="U29" s="463" t="str">
        <f t="shared" ref="U29:U77" si="10">IFERROR(IF(C29="", "", IF(T29&lt;4, 0, (((1/R29)-(1/(R29+T29)))*G29*(1-$AO$6)*$AJ$15*24*$AO$4)/(1000*$D$14))),"")</f>
        <v/>
      </c>
      <c r="V29" s="463" t="str">
        <f t="shared" ref="V29:V77" si="11">IFERROR(IF(C29="", "", IF(T29&lt;4, 0, (((1/R29)-(1/(R29+T29)))*G29*(1-$AO$6)*$AI$15*24*$AO$2)/(1000*$D$12))),0)</f>
        <v/>
      </c>
      <c r="W29" s="463" t="str">
        <f t="shared" ref="W29:W77" si="12">IFERROR(IF(C29="", "", (U29+V29)),"")</f>
        <v/>
      </c>
      <c r="X29" s="464" t="str">
        <f t="shared" ref="X29:X77" si="13">IFERROR(IF(C29="", "", IF(T29&lt;4, 0, (((1/R29)-(1/(R29+T29)))*G29*(1-$AO$6)*$AO$4/(1000*$D$15)*$AO$7))),"")</f>
        <v/>
      </c>
      <c r="Y29" s="351" t="str">
        <f t="shared" ref="Y29:Y77" si="14">IFERROR(IF(C29="", "", IF(T29&lt;4, 0, (((1/R29)-(1/(R29+T29)))*G29*(1-$AO$6)*$AI$15*24*$AO$3)/(1000000*$D$11))),"")</f>
        <v/>
      </c>
      <c r="Z29" s="463" t="str">
        <f t="shared" si="2"/>
        <v/>
      </c>
      <c r="AA29" s="465" t="str">
        <f>IFERROR(IF(C29="", "", W29/'App Cust Info'!$F$24), "")</f>
        <v/>
      </c>
      <c r="AB29" s="465" t="str">
        <f>IFERROR(IF(C29="", "", Z29/'App Cust Info'!$F$26), "")</f>
        <v/>
      </c>
      <c r="AC29" s="466" t="str" cm="1">
        <f t="array" ref="AC29">IFERROR(IF(AND($AH$26="Downstate", $D$10="Electric"), "", INDEX('WALL INCENTIVE'!$G$4:$G$59,MATCH(1,($J29='WALL INCENTIVE'!$B$4:$B$59)*($K29='WALL INCENTIVE'!$C$4:$C$59)*($L29='WALL INCENTIVE'!$D$4:$D$59)*IF('WALL INCENTIVE'!$E$4:$E$59="Passive House",($L29="Yes"),($T29&gt;='WALL INCENTIVE'!$E$4:$E$59))*IF('WALL INCENTIVE'!$F$4:$F$59="Passive House",($L29="Yes"),($T29&lt;='WALL INCENTIVE'!$F$4:$F$59)),0))),"")</f>
        <v/>
      </c>
      <c r="AD29" s="466" t="str">
        <f t="shared" ref="AD29:AD77" si="15">IFERROR(IF(C29="", "", (AC29*G29)),"")</f>
        <v/>
      </c>
      <c r="AE29" s="467" t="str" cm="1">
        <f t="array" ref="AE29">IFERROR(IF(AND($AH$26="Downstate", $D$10="Electric"), "", INDEX('WALL INCENTIVE'!$H$4:$H$59,MATCH(1,($J29='WALL INCENTIVE'!$B$4:$B$59)*($K29='WALL INCENTIVE'!$C$4:$C$59)*($L29='WALL INCENTIVE'!$D$4:$D$59)*IF('WALL INCENTIVE'!$E$4:$E$59="Passive House",($L29="Yes"),($T29&gt;='WALL INCENTIVE'!$E$4:$E$59))*IF('WALL INCENTIVE'!$F$4:$F$59="Passive House",($L29="Yes"),($T29&lt;='WALL INCENTIVE'!$F$4:$F$59)),0))),"")</f>
        <v/>
      </c>
      <c r="AF29" s="468" t="str" cm="1">
        <f t="array" ref="AF29">IFERROR(IF(AND($AH$26="Downstate", $D$10="Electric"), "", INDEX('WALL INCENTIVE'!$I$4:$I$59,MATCH(1,($J29='WALL INCENTIVE'!$B$4:$B$59)*($K29='WALL INCENTIVE'!$C$4:$C$59)*($L29='WALL INCENTIVE'!$D$4:$D$59)*IF('WALL INCENTIVE'!$E$4:$E$59="Passive House",($L29="Yes"),($T29&gt;='WALL INCENTIVE'!$E$4:$E$59))*IF('WALL INCENTIVE'!$F$4:$F$59="Passive House",($L29="Yes"),($T29&lt;='WALL INCENTIVE'!$F$4:$F$59)),0))),"")</f>
        <v/>
      </c>
      <c r="AG29" s="143"/>
    </row>
    <row r="30" spans="2:41" ht="15" customHeight="1" x14ac:dyDescent="0.25">
      <c r="B30" s="339">
        <v>3</v>
      </c>
      <c r="C30" s="712"/>
      <c r="D30" s="712"/>
      <c r="E30" s="712"/>
      <c r="F30" s="712"/>
      <c r="G30" s="713"/>
      <c r="H30" s="714"/>
      <c r="I30" s="715"/>
      <c r="J30" s="462" t="str">
        <f t="shared" si="0"/>
        <v/>
      </c>
      <c r="K30" s="339" t="str">
        <f t="shared" si="3"/>
        <v/>
      </c>
      <c r="L30" s="339" t="str">
        <f t="shared" si="4"/>
        <v/>
      </c>
      <c r="M30" s="339" t="str">
        <f t="shared" si="5"/>
        <v/>
      </c>
      <c r="N30" s="339" t="str">
        <f t="shared" si="1"/>
        <v/>
      </c>
      <c r="O30" s="339" t="str">
        <f t="shared" si="6"/>
        <v/>
      </c>
      <c r="P30" s="339" t="str">
        <f t="shared" si="7"/>
        <v/>
      </c>
      <c r="Q30" s="264"/>
      <c r="R30" s="462" t="str" cm="1">
        <f t="array" ref="R30">IFERROR(IF($M30="Retrofit",_xlfn.XLOOKUP($D$5,'TRM V13 Appendix A'!$B$13:$B$33,'TRM V13 Appendix A'!$C$13:$C$33,""),IF(OR($N30="",$F30=""),"",_xlfn.XLOOKUP($F30,'WALL CODE'!$B$4:$B$8,_xlfn.XLOOKUP($N30,'WALL CODE'!$C$3:$E$3,'WALL CODE'!$C$4:$E$8,""),""))),"")</f>
        <v/>
      </c>
      <c r="S30" s="462" t="str">
        <f t="shared" si="8"/>
        <v/>
      </c>
      <c r="T30" s="462" t="str">
        <f t="shared" si="9"/>
        <v/>
      </c>
      <c r="U30" s="463" t="str">
        <f t="shared" si="10"/>
        <v/>
      </c>
      <c r="V30" s="463" t="str">
        <f t="shared" si="11"/>
        <v/>
      </c>
      <c r="W30" s="463" t="str">
        <f t="shared" si="12"/>
        <v/>
      </c>
      <c r="X30" s="464" t="str">
        <f t="shared" si="13"/>
        <v/>
      </c>
      <c r="Y30" s="351" t="str">
        <f t="shared" si="14"/>
        <v/>
      </c>
      <c r="Z30" s="463" t="str">
        <f t="shared" si="2"/>
        <v/>
      </c>
      <c r="AA30" s="465" t="str">
        <f>IFERROR(IF(C30="", "", W30/'App Cust Info'!$F$24), "")</f>
        <v/>
      </c>
      <c r="AB30" s="465" t="str">
        <f>IFERROR(IF(C30="", "", Z30/'App Cust Info'!$F$26), "")</f>
        <v/>
      </c>
      <c r="AC30" s="466" t="str" cm="1">
        <f t="array" ref="AC30">IFERROR(IF(AND($AH$26="Downstate", $D$10="Electric"), "", INDEX('WALL INCENTIVE'!$G$4:$G$59,MATCH(1,($J30='WALL INCENTIVE'!$B$4:$B$59)*($K30='WALL INCENTIVE'!$C$4:$C$59)*($L30='WALL INCENTIVE'!$D$4:$D$59)*IF('WALL INCENTIVE'!$E$4:$E$59="Passive House",($L30="Yes"),($T30&gt;='WALL INCENTIVE'!$E$4:$E$59))*IF('WALL INCENTIVE'!$F$4:$F$59="Passive House",($L30="Yes"),($T30&lt;='WALL INCENTIVE'!$F$4:$F$59)),0))),"")</f>
        <v/>
      </c>
      <c r="AD30" s="466" t="str">
        <f t="shared" si="15"/>
        <v/>
      </c>
      <c r="AE30" s="467" t="str" cm="1">
        <f t="array" ref="AE30">IFERROR(IF(AND($AH$26="Downstate", $D$10="Electric"), "", INDEX('WALL INCENTIVE'!$H$4:$H$59,MATCH(1,($J30='WALL INCENTIVE'!$B$4:$B$59)*($K30='WALL INCENTIVE'!$C$4:$C$59)*($L30='WALL INCENTIVE'!$D$4:$D$59)*IF('WALL INCENTIVE'!$E$4:$E$59="Passive House",($L30="Yes"),($T30&gt;='WALL INCENTIVE'!$E$4:$E$59))*IF('WALL INCENTIVE'!$F$4:$F$59="Passive House",($L30="Yes"),($T30&lt;='WALL INCENTIVE'!$F$4:$F$59)),0))),"")</f>
        <v/>
      </c>
      <c r="AF30" s="468" t="str" cm="1">
        <f t="array" ref="AF30">IFERROR(IF(AND($AH$26="Downstate", $D$10="Electric"), "", INDEX('WALL INCENTIVE'!$I$4:$I$59,MATCH(1,($J30='WALL INCENTIVE'!$B$4:$B$59)*($K30='WALL INCENTIVE'!$C$4:$C$59)*($L30='WALL INCENTIVE'!$D$4:$D$59)*IF('WALL INCENTIVE'!$E$4:$E$59="Passive House",($L30="Yes"),($T30&gt;='WALL INCENTIVE'!$E$4:$E$59))*IF('WALL INCENTIVE'!$F$4:$F$59="Passive House",($L30="Yes"),($T30&lt;='WALL INCENTIVE'!$F$4:$F$59)),0))),"")</f>
        <v/>
      </c>
      <c r="AG30" s="143"/>
    </row>
    <row r="31" spans="2:41" ht="15" customHeight="1" x14ac:dyDescent="0.25">
      <c r="B31" s="339">
        <v>4</v>
      </c>
      <c r="C31" s="712"/>
      <c r="D31" s="712"/>
      <c r="E31" s="712"/>
      <c r="F31" s="712"/>
      <c r="G31" s="713"/>
      <c r="H31" s="714"/>
      <c r="I31" s="715"/>
      <c r="J31" s="462" t="str">
        <f t="shared" si="0"/>
        <v/>
      </c>
      <c r="K31" s="339" t="str">
        <f t="shared" si="3"/>
        <v/>
      </c>
      <c r="L31" s="339" t="str">
        <f t="shared" si="4"/>
        <v/>
      </c>
      <c r="M31" s="339" t="str">
        <f t="shared" si="5"/>
        <v/>
      </c>
      <c r="N31" s="339" t="str">
        <f t="shared" si="1"/>
        <v/>
      </c>
      <c r="O31" s="339" t="str">
        <f t="shared" si="6"/>
        <v/>
      </c>
      <c r="P31" s="339" t="str">
        <f t="shared" si="7"/>
        <v/>
      </c>
      <c r="Q31" s="264"/>
      <c r="R31" s="462" t="str" cm="1">
        <f t="array" ref="R31">IFERROR(IF($M31="Retrofit",_xlfn.XLOOKUP($D$5,'TRM V13 Appendix A'!$B$13:$B$33,'TRM V13 Appendix A'!$C$13:$C$33,""),IF(OR($N31="",$F31=""),"",_xlfn.XLOOKUP($F31,'WALL CODE'!$B$4:$B$8,_xlfn.XLOOKUP($N31,'WALL CODE'!$C$3:$E$3,'WALL CODE'!$C$4:$E$8,""),""))),"")</f>
        <v/>
      </c>
      <c r="S31" s="462" t="str">
        <f t="shared" si="8"/>
        <v/>
      </c>
      <c r="T31" s="462" t="str">
        <f t="shared" si="9"/>
        <v/>
      </c>
      <c r="U31" s="463" t="str">
        <f t="shared" si="10"/>
        <v/>
      </c>
      <c r="V31" s="463" t="str">
        <f t="shared" si="11"/>
        <v/>
      </c>
      <c r="W31" s="463" t="str">
        <f t="shared" si="12"/>
        <v/>
      </c>
      <c r="X31" s="464" t="str">
        <f t="shared" si="13"/>
        <v/>
      </c>
      <c r="Y31" s="351" t="str">
        <f t="shared" si="14"/>
        <v/>
      </c>
      <c r="Z31" s="463" t="str">
        <f t="shared" si="2"/>
        <v/>
      </c>
      <c r="AA31" s="465" t="str">
        <f>IFERROR(IF(C31="", "", W31/'App Cust Info'!$F$24), "")</f>
        <v/>
      </c>
      <c r="AB31" s="465" t="str">
        <f>IFERROR(IF(C31="", "", Z31/'App Cust Info'!$F$26), "")</f>
        <v/>
      </c>
      <c r="AC31" s="466" t="str" cm="1">
        <f t="array" ref="AC31">IFERROR(IF(AND($AH$26="Downstate", $D$10="Electric"), "", INDEX('WALL INCENTIVE'!$G$4:$G$59,MATCH(1,($J31='WALL INCENTIVE'!$B$4:$B$59)*($K31='WALL INCENTIVE'!$C$4:$C$59)*($L31='WALL INCENTIVE'!$D$4:$D$59)*IF('WALL INCENTIVE'!$E$4:$E$59="Passive House",($L31="Yes"),($T31&gt;='WALL INCENTIVE'!$E$4:$E$59))*IF('WALL INCENTIVE'!$F$4:$F$59="Passive House",($L31="Yes"),($T31&lt;='WALL INCENTIVE'!$F$4:$F$59)),0))),"")</f>
        <v/>
      </c>
      <c r="AD31" s="466" t="str">
        <f t="shared" si="15"/>
        <v/>
      </c>
      <c r="AE31" s="467" t="str" cm="1">
        <f t="array" ref="AE31">IFERROR(IF(AND($AH$26="Downstate", $D$10="Electric"), "", INDEX('WALL INCENTIVE'!$H$4:$H$59,MATCH(1,($J31='WALL INCENTIVE'!$B$4:$B$59)*($K31='WALL INCENTIVE'!$C$4:$C$59)*($L31='WALL INCENTIVE'!$D$4:$D$59)*IF('WALL INCENTIVE'!$E$4:$E$59="Passive House",($L31="Yes"),($T31&gt;='WALL INCENTIVE'!$E$4:$E$59))*IF('WALL INCENTIVE'!$F$4:$F$59="Passive House",($L31="Yes"),($T31&lt;='WALL INCENTIVE'!$F$4:$F$59)),0))),"")</f>
        <v/>
      </c>
      <c r="AF31" s="468" t="str" cm="1">
        <f t="array" ref="AF31">IFERROR(IF(AND($AH$26="Downstate", $D$10="Electric"), "", INDEX('WALL INCENTIVE'!$I$4:$I$59,MATCH(1,($J31='WALL INCENTIVE'!$B$4:$B$59)*($K31='WALL INCENTIVE'!$C$4:$C$59)*($L31='WALL INCENTIVE'!$D$4:$D$59)*IF('WALL INCENTIVE'!$E$4:$E$59="Passive House",($L31="Yes"),($T31&gt;='WALL INCENTIVE'!$E$4:$E$59))*IF('WALL INCENTIVE'!$F$4:$F$59="Passive House",($L31="Yes"),($T31&lt;='WALL INCENTIVE'!$F$4:$F$59)),0))),"")</f>
        <v/>
      </c>
      <c r="AG31" s="143"/>
    </row>
    <row r="32" spans="2:41" ht="15" customHeight="1" x14ac:dyDescent="0.25">
      <c r="B32" s="339">
        <v>5</v>
      </c>
      <c r="C32" s="712"/>
      <c r="D32" s="712"/>
      <c r="E32" s="712"/>
      <c r="F32" s="712"/>
      <c r="G32" s="713"/>
      <c r="H32" s="712"/>
      <c r="I32" s="715"/>
      <c r="J32" s="462" t="str">
        <f t="shared" si="0"/>
        <v/>
      </c>
      <c r="K32" s="339" t="str">
        <f t="shared" si="3"/>
        <v/>
      </c>
      <c r="L32" s="339" t="str">
        <f t="shared" si="4"/>
        <v/>
      </c>
      <c r="M32" s="339" t="str">
        <f t="shared" si="5"/>
        <v/>
      </c>
      <c r="N32" s="339" t="str">
        <f t="shared" si="1"/>
        <v/>
      </c>
      <c r="O32" s="339" t="str">
        <f t="shared" si="6"/>
        <v/>
      </c>
      <c r="P32" s="339" t="str">
        <f t="shared" si="7"/>
        <v/>
      </c>
      <c r="Q32" s="264"/>
      <c r="R32" s="462" t="str" cm="1">
        <f t="array" ref="R32">IFERROR(IF($M32="Retrofit",_xlfn.XLOOKUP($D$5,'TRM V13 Appendix A'!$B$13:$B$33,'TRM V13 Appendix A'!$C$13:$C$33,""),IF(OR($N32="",$F32=""),"",_xlfn.XLOOKUP($F32,'WALL CODE'!$B$4:$B$8,_xlfn.XLOOKUP($N32,'WALL CODE'!$C$3:$E$3,'WALL CODE'!$C$4:$E$8,""),""))),"")</f>
        <v/>
      </c>
      <c r="S32" s="462" t="str">
        <f t="shared" si="8"/>
        <v/>
      </c>
      <c r="T32" s="462" t="str">
        <f t="shared" si="9"/>
        <v/>
      </c>
      <c r="U32" s="463" t="str">
        <f t="shared" si="10"/>
        <v/>
      </c>
      <c r="V32" s="463" t="str">
        <f t="shared" si="11"/>
        <v/>
      </c>
      <c r="W32" s="463" t="str">
        <f t="shared" si="12"/>
        <v/>
      </c>
      <c r="X32" s="464" t="str">
        <f t="shared" si="13"/>
        <v/>
      </c>
      <c r="Y32" s="351" t="str">
        <f t="shared" si="14"/>
        <v/>
      </c>
      <c r="Z32" s="463" t="str">
        <f t="shared" si="2"/>
        <v/>
      </c>
      <c r="AA32" s="465" t="str">
        <f>IFERROR(IF(C32="", "", W32/'App Cust Info'!$F$24), "")</f>
        <v/>
      </c>
      <c r="AB32" s="465" t="str">
        <f>IFERROR(IF(C32="", "", Z32/'App Cust Info'!$F$26), "")</f>
        <v/>
      </c>
      <c r="AC32" s="466" t="str" cm="1">
        <f t="array" ref="AC32">IFERROR(IF(AND($AH$26="Downstate", $D$10="Electric"), "", INDEX('WALL INCENTIVE'!$G$4:$G$59,MATCH(1,($J32='WALL INCENTIVE'!$B$4:$B$59)*($K32='WALL INCENTIVE'!$C$4:$C$59)*($L32='WALL INCENTIVE'!$D$4:$D$59)*IF('WALL INCENTIVE'!$E$4:$E$59="Passive House",($L32="Yes"),($T32&gt;='WALL INCENTIVE'!$E$4:$E$59))*IF('WALL INCENTIVE'!$F$4:$F$59="Passive House",($L32="Yes"),($T32&lt;='WALL INCENTIVE'!$F$4:$F$59)),0))),"")</f>
        <v/>
      </c>
      <c r="AD32" s="466" t="str">
        <f t="shared" si="15"/>
        <v/>
      </c>
      <c r="AE32" s="467" t="str" cm="1">
        <f t="array" ref="AE32">IFERROR(IF(AND($AH$26="Downstate", $D$10="Electric"), "", INDEX('WALL INCENTIVE'!$H$4:$H$59,MATCH(1,($J32='WALL INCENTIVE'!$B$4:$B$59)*($K32='WALL INCENTIVE'!$C$4:$C$59)*($L32='WALL INCENTIVE'!$D$4:$D$59)*IF('WALL INCENTIVE'!$E$4:$E$59="Passive House",($L32="Yes"),($T32&gt;='WALL INCENTIVE'!$E$4:$E$59))*IF('WALL INCENTIVE'!$F$4:$F$59="Passive House",($L32="Yes"),($T32&lt;='WALL INCENTIVE'!$F$4:$F$59)),0))),"")</f>
        <v/>
      </c>
      <c r="AF32" s="468" t="str" cm="1">
        <f t="array" ref="AF32">IFERROR(IF(AND($AH$26="Downstate", $D$10="Electric"), "", INDEX('WALL INCENTIVE'!$I$4:$I$59,MATCH(1,($J32='WALL INCENTIVE'!$B$4:$B$59)*($K32='WALL INCENTIVE'!$C$4:$C$59)*($L32='WALL INCENTIVE'!$D$4:$D$59)*IF('WALL INCENTIVE'!$E$4:$E$59="Passive House",($L32="Yes"),($T32&gt;='WALL INCENTIVE'!$E$4:$E$59))*IF('WALL INCENTIVE'!$F$4:$F$59="Passive House",($L32="Yes"),($T32&lt;='WALL INCENTIVE'!$F$4:$F$59)),0))),"")</f>
        <v/>
      </c>
      <c r="AG32" s="143"/>
      <c r="AL32" s="205"/>
    </row>
    <row r="33" spans="2:38" ht="15" customHeight="1" x14ac:dyDescent="0.25">
      <c r="B33" s="339">
        <v>6</v>
      </c>
      <c r="C33" s="712"/>
      <c r="D33" s="712"/>
      <c r="E33" s="712"/>
      <c r="F33" s="712"/>
      <c r="G33" s="713"/>
      <c r="H33" s="712"/>
      <c r="I33" s="715"/>
      <c r="J33" s="462" t="str">
        <f t="shared" si="0"/>
        <v/>
      </c>
      <c r="K33" s="339" t="str">
        <f t="shared" si="3"/>
        <v/>
      </c>
      <c r="L33" s="339" t="str">
        <f t="shared" si="4"/>
        <v/>
      </c>
      <c r="M33" s="339" t="str">
        <f t="shared" si="5"/>
        <v/>
      </c>
      <c r="N33" s="339" t="str">
        <f t="shared" si="1"/>
        <v/>
      </c>
      <c r="O33" s="339" t="str">
        <f t="shared" si="6"/>
        <v/>
      </c>
      <c r="P33" s="339" t="str">
        <f t="shared" si="7"/>
        <v/>
      </c>
      <c r="Q33" s="264"/>
      <c r="R33" s="462" t="str" cm="1">
        <f t="array" ref="R33">IFERROR(IF($M33="Retrofit",_xlfn.XLOOKUP($D$5,'TRM V13 Appendix A'!$B$13:$B$33,'TRM V13 Appendix A'!$C$13:$C$33,""),IF(OR($N33="",$F33=""),"",_xlfn.XLOOKUP($F33,'WALL CODE'!$B$4:$B$8,_xlfn.XLOOKUP($N33,'WALL CODE'!$C$3:$E$3,'WALL CODE'!$C$4:$E$8,""),""))),"")</f>
        <v/>
      </c>
      <c r="S33" s="462" t="str">
        <f t="shared" si="8"/>
        <v/>
      </c>
      <c r="T33" s="462" t="str">
        <f t="shared" si="9"/>
        <v/>
      </c>
      <c r="U33" s="463" t="str">
        <f t="shared" si="10"/>
        <v/>
      </c>
      <c r="V33" s="463" t="str">
        <f t="shared" si="11"/>
        <v/>
      </c>
      <c r="W33" s="463" t="str">
        <f t="shared" si="12"/>
        <v/>
      </c>
      <c r="X33" s="464" t="str">
        <f t="shared" si="13"/>
        <v/>
      </c>
      <c r="Y33" s="351" t="str">
        <f t="shared" si="14"/>
        <v/>
      </c>
      <c r="Z33" s="463" t="str">
        <f t="shared" si="2"/>
        <v/>
      </c>
      <c r="AA33" s="465" t="str">
        <f>IFERROR(IF(C33="", "", W33/'App Cust Info'!$F$24), "")</f>
        <v/>
      </c>
      <c r="AB33" s="465" t="str">
        <f>IFERROR(IF(C33="", "", Z33/'App Cust Info'!$F$26), "")</f>
        <v/>
      </c>
      <c r="AC33" s="466" t="str" cm="1">
        <f t="array" ref="AC33">IFERROR(IF(AND($AH$26="Downstate", $D$10="Electric"), "", INDEX('WALL INCENTIVE'!$G$4:$G$59,MATCH(1,($J33='WALL INCENTIVE'!$B$4:$B$59)*($K33='WALL INCENTIVE'!$C$4:$C$59)*($L33='WALL INCENTIVE'!$D$4:$D$59)*IF('WALL INCENTIVE'!$E$4:$E$59="Passive House",($L33="Yes"),($T33&gt;='WALL INCENTIVE'!$E$4:$E$59))*IF('WALL INCENTIVE'!$F$4:$F$59="Passive House",($L33="Yes"),($T33&lt;='WALL INCENTIVE'!$F$4:$F$59)),0))),"")</f>
        <v/>
      </c>
      <c r="AD33" s="466" t="str">
        <f t="shared" si="15"/>
        <v/>
      </c>
      <c r="AE33" s="467" t="str" cm="1">
        <f t="array" ref="AE33">IFERROR(IF(AND($AH$26="Downstate", $D$10="Electric"), "", INDEX('WALL INCENTIVE'!$H$4:$H$59,MATCH(1,($J33='WALL INCENTIVE'!$B$4:$B$59)*($K33='WALL INCENTIVE'!$C$4:$C$59)*($L33='WALL INCENTIVE'!$D$4:$D$59)*IF('WALL INCENTIVE'!$E$4:$E$59="Passive House",($L33="Yes"),($T33&gt;='WALL INCENTIVE'!$E$4:$E$59))*IF('WALL INCENTIVE'!$F$4:$F$59="Passive House",($L33="Yes"),($T33&lt;='WALL INCENTIVE'!$F$4:$F$59)),0))),"")</f>
        <v/>
      </c>
      <c r="AF33" s="468" t="str" cm="1">
        <f t="array" ref="AF33">IFERROR(IF(AND($AH$26="Downstate", $D$10="Electric"), "", INDEX('WALL INCENTIVE'!$I$4:$I$59,MATCH(1,($J33='WALL INCENTIVE'!$B$4:$B$59)*($K33='WALL INCENTIVE'!$C$4:$C$59)*($L33='WALL INCENTIVE'!$D$4:$D$59)*IF('WALL INCENTIVE'!$E$4:$E$59="Passive House",($L33="Yes"),($T33&gt;='WALL INCENTIVE'!$E$4:$E$59))*IF('WALL INCENTIVE'!$F$4:$F$59="Passive House",($L33="Yes"),($T33&lt;='WALL INCENTIVE'!$F$4:$F$59)),0))),"")</f>
        <v/>
      </c>
      <c r="AG33" s="143"/>
      <c r="AK33" s="64"/>
      <c r="AL33" s="205"/>
    </row>
    <row r="34" spans="2:38" ht="15" customHeight="1" x14ac:dyDescent="0.25">
      <c r="B34" s="339">
        <v>7</v>
      </c>
      <c r="C34" s="712"/>
      <c r="D34" s="712"/>
      <c r="E34" s="712"/>
      <c r="F34" s="712"/>
      <c r="G34" s="713"/>
      <c r="H34" s="712"/>
      <c r="I34" s="715"/>
      <c r="J34" s="462" t="str">
        <f t="shared" si="0"/>
        <v/>
      </c>
      <c r="K34" s="339" t="str">
        <f t="shared" si="3"/>
        <v/>
      </c>
      <c r="L34" s="339" t="str">
        <f t="shared" si="4"/>
        <v/>
      </c>
      <c r="M34" s="339" t="str">
        <f t="shared" si="5"/>
        <v/>
      </c>
      <c r="N34" s="339" t="str">
        <f t="shared" si="1"/>
        <v/>
      </c>
      <c r="O34" s="339" t="str">
        <f t="shared" si="6"/>
        <v/>
      </c>
      <c r="P34" s="339" t="str">
        <f t="shared" si="7"/>
        <v/>
      </c>
      <c r="Q34" s="264"/>
      <c r="R34" s="462" t="str" cm="1">
        <f t="array" ref="R34">IFERROR(IF($M34="Retrofit",_xlfn.XLOOKUP($D$5,'TRM V13 Appendix A'!$B$13:$B$33,'TRM V13 Appendix A'!$C$13:$C$33,""),IF(OR($N34="",$F34=""),"",_xlfn.XLOOKUP($F34,'WALL CODE'!$B$4:$B$8,_xlfn.XLOOKUP($N34,'WALL CODE'!$C$3:$E$3,'WALL CODE'!$C$4:$E$8,""),""))),"")</f>
        <v/>
      </c>
      <c r="S34" s="462" t="str">
        <f t="shared" si="8"/>
        <v/>
      </c>
      <c r="T34" s="462" t="str">
        <f t="shared" si="9"/>
        <v/>
      </c>
      <c r="U34" s="463" t="str">
        <f t="shared" si="10"/>
        <v/>
      </c>
      <c r="V34" s="463" t="str">
        <f t="shared" si="11"/>
        <v/>
      </c>
      <c r="W34" s="463" t="str">
        <f t="shared" si="12"/>
        <v/>
      </c>
      <c r="X34" s="464" t="str">
        <f t="shared" si="13"/>
        <v/>
      </c>
      <c r="Y34" s="351" t="str">
        <f t="shared" si="14"/>
        <v/>
      </c>
      <c r="Z34" s="463" t="str">
        <f t="shared" si="2"/>
        <v/>
      </c>
      <c r="AA34" s="465" t="str">
        <f>IFERROR(IF(C34="", "", W34/'App Cust Info'!$F$24), "")</f>
        <v/>
      </c>
      <c r="AB34" s="465" t="str">
        <f>IFERROR(IF(C34="", "", Z34/'App Cust Info'!$F$26), "")</f>
        <v/>
      </c>
      <c r="AC34" s="466" t="str" cm="1">
        <f t="array" ref="AC34">IFERROR(IF(AND($AH$26="Downstate", $D$10="Electric"), "", INDEX('WALL INCENTIVE'!$G$4:$G$59,MATCH(1,($J34='WALL INCENTIVE'!$B$4:$B$59)*($K34='WALL INCENTIVE'!$C$4:$C$59)*($L34='WALL INCENTIVE'!$D$4:$D$59)*IF('WALL INCENTIVE'!$E$4:$E$59="Passive House",($L34="Yes"),($T34&gt;='WALL INCENTIVE'!$E$4:$E$59))*IF('WALL INCENTIVE'!$F$4:$F$59="Passive House",($L34="Yes"),($T34&lt;='WALL INCENTIVE'!$F$4:$F$59)),0))),"")</f>
        <v/>
      </c>
      <c r="AD34" s="466" t="str">
        <f t="shared" si="15"/>
        <v/>
      </c>
      <c r="AE34" s="467" t="str" cm="1">
        <f t="array" ref="AE34">IFERROR(IF(AND($AH$26="Downstate", $D$10="Electric"), "", INDEX('WALL INCENTIVE'!$H$4:$H$59,MATCH(1,($J34='WALL INCENTIVE'!$B$4:$B$59)*($K34='WALL INCENTIVE'!$C$4:$C$59)*($L34='WALL INCENTIVE'!$D$4:$D$59)*IF('WALL INCENTIVE'!$E$4:$E$59="Passive House",($L34="Yes"),($T34&gt;='WALL INCENTIVE'!$E$4:$E$59))*IF('WALL INCENTIVE'!$F$4:$F$59="Passive House",($L34="Yes"),($T34&lt;='WALL INCENTIVE'!$F$4:$F$59)),0))),"")</f>
        <v/>
      </c>
      <c r="AF34" s="468" t="str" cm="1">
        <f t="array" ref="AF34">IFERROR(IF(AND($AH$26="Downstate", $D$10="Electric"), "", INDEX('WALL INCENTIVE'!$I$4:$I$59,MATCH(1,($J34='WALL INCENTIVE'!$B$4:$B$59)*($K34='WALL INCENTIVE'!$C$4:$C$59)*($L34='WALL INCENTIVE'!$D$4:$D$59)*IF('WALL INCENTIVE'!$E$4:$E$59="Passive House",($L34="Yes"),($T34&gt;='WALL INCENTIVE'!$E$4:$E$59))*IF('WALL INCENTIVE'!$F$4:$F$59="Passive House",($L34="Yes"),($T34&lt;='WALL INCENTIVE'!$F$4:$F$59)),0))),"")</f>
        <v/>
      </c>
      <c r="AG34" s="143"/>
      <c r="AL34" s="205"/>
    </row>
    <row r="35" spans="2:38" ht="15" customHeight="1" x14ac:dyDescent="0.25">
      <c r="B35" s="339">
        <v>8</v>
      </c>
      <c r="C35" s="712"/>
      <c r="D35" s="712"/>
      <c r="E35" s="712"/>
      <c r="F35" s="712"/>
      <c r="G35" s="713"/>
      <c r="H35" s="712"/>
      <c r="I35" s="715"/>
      <c r="J35" s="462" t="str">
        <f t="shared" si="0"/>
        <v/>
      </c>
      <c r="K35" s="339" t="str">
        <f t="shared" si="3"/>
        <v/>
      </c>
      <c r="L35" s="339" t="str">
        <f t="shared" si="4"/>
        <v/>
      </c>
      <c r="M35" s="339" t="str">
        <f t="shared" si="5"/>
        <v/>
      </c>
      <c r="N35" s="339" t="str">
        <f t="shared" si="1"/>
        <v/>
      </c>
      <c r="O35" s="339" t="str">
        <f t="shared" si="6"/>
        <v/>
      </c>
      <c r="P35" s="339" t="str">
        <f t="shared" si="7"/>
        <v/>
      </c>
      <c r="Q35" s="264"/>
      <c r="R35" s="462" t="str" cm="1">
        <f t="array" ref="R35">IFERROR(IF($M35="Retrofit",_xlfn.XLOOKUP($D$5,'TRM V13 Appendix A'!$B$13:$B$33,'TRM V13 Appendix A'!$C$13:$C$33,""),IF(OR($N35="",$F35=""),"",_xlfn.XLOOKUP($F35,'WALL CODE'!$B$4:$B$8,_xlfn.XLOOKUP($N35,'WALL CODE'!$C$3:$E$3,'WALL CODE'!$C$4:$E$8,""),""))),"")</f>
        <v/>
      </c>
      <c r="S35" s="462" t="str">
        <f t="shared" si="8"/>
        <v/>
      </c>
      <c r="T35" s="462" t="str">
        <f t="shared" si="9"/>
        <v/>
      </c>
      <c r="U35" s="463" t="str">
        <f t="shared" si="10"/>
        <v/>
      </c>
      <c r="V35" s="463" t="str">
        <f t="shared" si="11"/>
        <v/>
      </c>
      <c r="W35" s="463" t="str">
        <f t="shared" si="12"/>
        <v/>
      </c>
      <c r="X35" s="464" t="str">
        <f t="shared" si="13"/>
        <v/>
      </c>
      <c r="Y35" s="351" t="str">
        <f t="shared" si="14"/>
        <v/>
      </c>
      <c r="Z35" s="463" t="str">
        <f t="shared" si="2"/>
        <v/>
      </c>
      <c r="AA35" s="465" t="str">
        <f>IFERROR(IF(C35="", "", W35/'App Cust Info'!$F$24), "")</f>
        <v/>
      </c>
      <c r="AB35" s="465" t="str">
        <f>IFERROR(IF(C35="", "", Z35/'App Cust Info'!$F$26), "")</f>
        <v/>
      </c>
      <c r="AC35" s="466" t="str" cm="1">
        <f t="array" ref="AC35">IFERROR(IF(AND($AH$26="Downstate", $D$10="Electric"), "", INDEX('WALL INCENTIVE'!$G$4:$G$59,MATCH(1,($J35='WALL INCENTIVE'!$B$4:$B$59)*($K35='WALL INCENTIVE'!$C$4:$C$59)*($L35='WALL INCENTIVE'!$D$4:$D$59)*IF('WALL INCENTIVE'!$E$4:$E$59="Passive House",($L35="Yes"),($T35&gt;='WALL INCENTIVE'!$E$4:$E$59))*IF('WALL INCENTIVE'!$F$4:$F$59="Passive House",($L35="Yes"),($T35&lt;='WALL INCENTIVE'!$F$4:$F$59)),0))),"")</f>
        <v/>
      </c>
      <c r="AD35" s="466" t="str">
        <f t="shared" si="15"/>
        <v/>
      </c>
      <c r="AE35" s="467" t="str" cm="1">
        <f t="array" ref="AE35">IFERROR(IF(AND($AH$26="Downstate", $D$10="Electric"), "", INDEX('WALL INCENTIVE'!$H$4:$H$59,MATCH(1,($J35='WALL INCENTIVE'!$B$4:$B$59)*($K35='WALL INCENTIVE'!$C$4:$C$59)*($L35='WALL INCENTIVE'!$D$4:$D$59)*IF('WALL INCENTIVE'!$E$4:$E$59="Passive House",($L35="Yes"),($T35&gt;='WALL INCENTIVE'!$E$4:$E$59))*IF('WALL INCENTIVE'!$F$4:$F$59="Passive House",($L35="Yes"),($T35&lt;='WALL INCENTIVE'!$F$4:$F$59)),0))),"")</f>
        <v/>
      </c>
      <c r="AF35" s="468" t="str" cm="1">
        <f t="array" ref="AF35">IFERROR(IF(AND($AH$26="Downstate", $D$10="Electric"), "", INDEX('WALL INCENTIVE'!$I$4:$I$59,MATCH(1,($J35='WALL INCENTIVE'!$B$4:$B$59)*($K35='WALL INCENTIVE'!$C$4:$C$59)*($L35='WALL INCENTIVE'!$D$4:$D$59)*IF('WALL INCENTIVE'!$E$4:$E$59="Passive House",($L35="Yes"),($T35&gt;='WALL INCENTIVE'!$E$4:$E$59))*IF('WALL INCENTIVE'!$F$4:$F$59="Passive House",($L35="Yes"),($T35&lt;='WALL INCENTIVE'!$F$4:$F$59)),0))),"")</f>
        <v/>
      </c>
      <c r="AG35" s="143"/>
      <c r="AL35" s="205"/>
    </row>
    <row r="36" spans="2:38" ht="15" customHeight="1" x14ac:dyDescent="0.25">
      <c r="B36" s="339">
        <v>9</v>
      </c>
      <c r="C36" s="712"/>
      <c r="D36" s="712"/>
      <c r="E36" s="712"/>
      <c r="F36" s="712"/>
      <c r="G36" s="713"/>
      <c r="H36" s="712"/>
      <c r="I36" s="715"/>
      <c r="J36" s="462" t="str">
        <f t="shared" si="0"/>
        <v/>
      </c>
      <c r="K36" s="339" t="str">
        <f t="shared" si="3"/>
        <v/>
      </c>
      <c r="L36" s="339" t="str">
        <f t="shared" si="4"/>
        <v/>
      </c>
      <c r="M36" s="339" t="str">
        <f t="shared" si="5"/>
        <v/>
      </c>
      <c r="N36" s="339" t="str">
        <f t="shared" si="1"/>
        <v/>
      </c>
      <c r="O36" s="339" t="str">
        <f t="shared" si="6"/>
        <v/>
      </c>
      <c r="P36" s="339" t="str">
        <f t="shared" si="7"/>
        <v/>
      </c>
      <c r="Q36" s="264"/>
      <c r="R36" s="462" t="str" cm="1">
        <f t="array" ref="R36">IFERROR(IF($M36="Retrofit",_xlfn.XLOOKUP($D$5,'TRM V13 Appendix A'!$B$13:$B$33,'TRM V13 Appendix A'!$C$13:$C$33,""),IF(OR($N36="",$F36=""),"",_xlfn.XLOOKUP($F36,'WALL CODE'!$B$4:$B$8,_xlfn.XLOOKUP($N36,'WALL CODE'!$C$3:$E$3,'WALL CODE'!$C$4:$E$8,""),""))),"")</f>
        <v/>
      </c>
      <c r="S36" s="462" t="str">
        <f t="shared" si="8"/>
        <v/>
      </c>
      <c r="T36" s="462" t="str">
        <f t="shared" si="9"/>
        <v/>
      </c>
      <c r="U36" s="463" t="str">
        <f t="shared" si="10"/>
        <v/>
      </c>
      <c r="V36" s="463" t="str">
        <f t="shared" si="11"/>
        <v/>
      </c>
      <c r="W36" s="463" t="str">
        <f t="shared" si="12"/>
        <v/>
      </c>
      <c r="X36" s="464" t="str">
        <f t="shared" si="13"/>
        <v/>
      </c>
      <c r="Y36" s="351" t="str">
        <f t="shared" si="14"/>
        <v/>
      </c>
      <c r="Z36" s="463" t="str">
        <f t="shared" si="2"/>
        <v/>
      </c>
      <c r="AA36" s="465" t="str">
        <f>IFERROR(IF(C36="", "", W36/'App Cust Info'!$F$24), "")</f>
        <v/>
      </c>
      <c r="AB36" s="465" t="str">
        <f>IFERROR(IF(C36="", "", Z36/'App Cust Info'!$F$26), "")</f>
        <v/>
      </c>
      <c r="AC36" s="466" t="str" cm="1">
        <f t="array" ref="AC36">IFERROR(IF(AND($AH$26="Downstate", $D$10="Electric"), "", INDEX('WALL INCENTIVE'!$G$4:$G$59,MATCH(1,($J36='WALL INCENTIVE'!$B$4:$B$59)*($K36='WALL INCENTIVE'!$C$4:$C$59)*($L36='WALL INCENTIVE'!$D$4:$D$59)*IF('WALL INCENTIVE'!$E$4:$E$59="Passive House",($L36="Yes"),($T36&gt;='WALL INCENTIVE'!$E$4:$E$59))*IF('WALL INCENTIVE'!$F$4:$F$59="Passive House",($L36="Yes"),($T36&lt;='WALL INCENTIVE'!$F$4:$F$59)),0))),"")</f>
        <v/>
      </c>
      <c r="AD36" s="466" t="str">
        <f t="shared" si="15"/>
        <v/>
      </c>
      <c r="AE36" s="467" t="str" cm="1">
        <f t="array" ref="AE36">IFERROR(IF(AND($AH$26="Downstate", $D$10="Electric"), "", INDEX('WALL INCENTIVE'!$H$4:$H$59,MATCH(1,($J36='WALL INCENTIVE'!$B$4:$B$59)*($K36='WALL INCENTIVE'!$C$4:$C$59)*($L36='WALL INCENTIVE'!$D$4:$D$59)*IF('WALL INCENTIVE'!$E$4:$E$59="Passive House",($L36="Yes"),($T36&gt;='WALL INCENTIVE'!$E$4:$E$59))*IF('WALL INCENTIVE'!$F$4:$F$59="Passive House",($L36="Yes"),($T36&lt;='WALL INCENTIVE'!$F$4:$F$59)),0))),"")</f>
        <v/>
      </c>
      <c r="AF36" s="468" t="str" cm="1">
        <f t="array" ref="AF36">IFERROR(IF(AND($AH$26="Downstate", $D$10="Electric"), "", INDEX('WALL INCENTIVE'!$I$4:$I$59,MATCH(1,($J36='WALL INCENTIVE'!$B$4:$B$59)*($K36='WALL INCENTIVE'!$C$4:$C$59)*($L36='WALL INCENTIVE'!$D$4:$D$59)*IF('WALL INCENTIVE'!$E$4:$E$59="Passive House",($L36="Yes"),($T36&gt;='WALL INCENTIVE'!$E$4:$E$59))*IF('WALL INCENTIVE'!$F$4:$F$59="Passive House",($L36="Yes"),($T36&lt;='WALL INCENTIVE'!$F$4:$F$59)),0))),"")</f>
        <v/>
      </c>
      <c r="AG36" s="143"/>
    </row>
    <row r="37" spans="2:38" ht="15" customHeight="1" x14ac:dyDescent="0.25">
      <c r="B37" s="339">
        <v>10</v>
      </c>
      <c r="C37" s="712"/>
      <c r="D37" s="712"/>
      <c r="E37" s="712"/>
      <c r="F37" s="712"/>
      <c r="G37" s="713"/>
      <c r="H37" s="712"/>
      <c r="I37" s="715"/>
      <c r="J37" s="462" t="str">
        <f t="shared" si="0"/>
        <v/>
      </c>
      <c r="K37" s="339" t="str">
        <f t="shared" si="3"/>
        <v/>
      </c>
      <c r="L37" s="339" t="str">
        <f t="shared" si="4"/>
        <v/>
      </c>
      <c r="M37" s="339" t="str">
        <f t="shared" si="5"/>
        <v/>
      </c>
      <c r="N37" s="339" t="str">
        <f t="shared" si="1"/>
        <v/>
      </c>
      <c r="O37" s="339" t="str">
        <f t="shared" si="6"/>
        <v/>
      </c>
      <c r="P37" s="339" t="str">
        <f t="shared" si="7"/>
        <v/>
      </c>
      <c r="Q37" s="264"/>
      <c r="R37" s="462" t="str" cm="1">
        <f t="array" ref="R37">IFERROR(IF($M37="Retrofit",_xlfn.XLOOKUP($D$5,'TRM V13 Appendix A'!$B$13:$B$33,'TRM V13 Appendix A'!$C$13:$C$33,""),IF(OR($N37="",$F37=""),"",_xlfn.XLOOKUP($F37,'WALL CODE'!$B$4:$B$8,_xlfn.XLOOKUP($N37,'WALL CODE'!$C$3:$E$3,'WALL CODE'!$C$4:$E$8,""),""))),"")</f>
        <v/>
      </c>
      <c r="S37" s="462" t="str">
        <f t="shared" si="8"/>
        <v/>
      </c>
      <c r="T37" s="462" t="str">
        <f t="shared" si="9"/>
        <v/>
      </c>
      <c r="U37" s="463" t="str">
        <f t="shared" si="10"/>
        <v/>
      </c>
      <c r="V37" s="463" t="str">
        <f t="shared" si="11"/>
        <v/>
      </c>
      <c r="W37" s="463" t="str">
        <f t="shared" si="12"/>
        <v/>
      </c>
      <c r="X37" s="464" t="str">
        <f t="shared" si="13"/>
        <v/>
      </c>
      <c r="Y37" s="351" t="str">
        <f t="shared" si="14"/>
        <v/>
      </c>
      <c r="Z37" s="463" t="str">
        <f t="shared" si="2"/>
        <v/>
      </c>
      <c r="AA37" s="465" t="str">
        <f>IFERROR(IF(C37="", "", W37/'App Cust Info'!$F$24), "")</f>
        <v/>
      </c>
      <c r="AB37" s="465" t="str">
        <f>IFERROR(IF(C37="", "", Z37/'App Cust Info'!$F$26), "")</f>
        <v/>
      </c>
      <c r="AC37" s="466" t="str" cm="1">
        <f t="array" ref="AC37">IFERROR(IF(AND($AH$26="Downstate", $D$10="Electric"), "", INDEX('WALL INCENTIVE'!$G$4:$G$59,MATCH(1,($J37='WALL INCENTIVE'!$B$4:$B$59)*($K37='WALL INCENTIVE'!$C$4:$C$59)*($L37='WALL INCENTIVE'!$D$4:$D$59)*IF('WALL INCENTIVE'!$E$4:$E$59="Passive House",($L37="Yes"),($T37&gt;='WALL INCENTIVE'!$E$4:$E$59))*IF('WALL INCENTIVE'!$F$4:$F$59="Passive House",($L37="Yes"),($T37&lt;='WALL INCENTIVE'!$F$4:$F$59)),0))),"")</f>
        <v/>
      </c>
      <c r="AD37" s="466" t="str">
        <f t="shared" si="15"/>
        <v/>
      </c>
      <c r="AE37" s="467" t="str" cm="1">
        <f t="array" ref="AE37">IFERROR(IF(AND($AH$26="Downstate", $D$10="Electric"), "", INDEX('WALL INCENTIVE'!$H$4:$H$59,MATCH(1,($J37='WALL INCENTIVE'!$B$4:$B$59)*($K37='WALL INCENTIVE'!$C$4:$C$59)*($L37='WALL INCENTIVE'!$D$4:$D$59)*IF('WALL INCENTIVE'!$E$4:$E$59="Passive House",($L37="Yes"),($T37&gt;='WALL INCENTIVE'!$E$4:$E$59))*IF('WALL INCENTIVE'!$F$4:$F$59="Passive House",($L37="Yes"),($T37&lt;='WALL INCENTIVE'!$F$4:$F$59)),0))),"")</f>
        <v/>
      </c>
      <c r="AF37" s="468" t="str" cm="1">
        <f t="array" ref="AF37">IFERROR(IF(AND($AH$26="Downstate", $D$10="Electric"), "", INDEX('WALL INCENTIVE'!$I$4:$I$59,MATCH(1,($J37='WALL INCENTIVE'!$B$4:$B$59)*($K37='WALL INCENTIVE'!$C$4:$C$59)*($L37='WALL INCENTIVE'!$D$4:$D$59)*IF('WALL INCENTIVE'!$E$4:$E$59="Passive House",($L37="Yes"),($T37&gt;='WALL INCENTIVE'!$E$4:$E$59))*IF('WALL INCENTIVE'!$F$4:$F$59="Passive House",($L37="Yes"),($T37&lt;='WALL INCENTIVE'!$F$4:$F$59)),0))),"")</f>
        <v/>
      </c>
      <c r="AG37" s="143"/>
    </row>
    <row r="38" spans="2:38" ht="15" customHeight="1" x14ac:dyDescent="0.25">
      <c r="B38" s="339">
        <v>11</v>
      </c>
      <c r="C38" s="712"/>
      <c r="D38" s="712"/>
      <c r="E38" s="712"/>
      <c r="F38" s="712"/>
      <c r="G38" s="713"/>
      <c r="H38" s="712"/>
      <c r="I38" s="715"/>
      <c r="J38" s="462" t="str">
        <f t="shared" si="0"/>
        <v/>
      </c>
      <c r="K38" s="339" t="str">
        <f t="shared" si="3"/>
        <v/>
      </c>
      <c r="L38" s="339" t="str">
        <f t="shared" si="4"/>
        <v/>
      </c>
      <c r="M38" s="339" t="str">
        <f t="shared" si="5"/>
        <v/>
      </c>
      <c r="N38" s="339" t="str">
        <f t="shared" si="1"/>
        <v/>
      </c>
      <c r="O38" s="339" t="str">
        <f t="shared" si="6"/>
        <v/>
      </c>
      <c r="P38" s="339" t="str">
        <f t="shared" si="7"/>
        <v/>
      </c>
      <c r="Q38" s="264"/>
      <c r="R38" s="462" t="str" cm="1">
        <f t="array" ref="R38">IFERROR(IF($M38="Retrofit",_xlfn.XLOOKUP($D$5,'TRM V13 Appendix A'!$B$13:$B$33,'TRM V13 Appendix A'!$C$13:$C$33,""),IF(OR($N38="",$F38=""),"",_xlfn.XLOOKUP($F38,'WALL CODE'!$B$4:$B$8,_xlfn.XLOOKUP($N38,'WALL CODE'!$C$3:$E$3,'WALL CODE'!$C$4:$E$8,""),""))),"")</f>
        <v/>
      </c>
      <c r="S38" s="462" t="str">
        <f t="shared" si="8"/>
        <v/>
      </c>
      <c r="T38" s="462" t="str">
        <f t="shared" si="9"/>
        <v/>
      </c>
      <c r="U38" s="463" t="str">
        <f t="shared" si="10"/>
        <v/>
      </c>
      <c r="V38" s="463" t="str">
        <f t="shared" si="11"/>
        <v/>
      </c>
      <c r="W38" s="463" t="str">
        <f t="shared" si="12"/>
        <v/>
      </c>
      <c r="X38" s="464" t="str">
        <f t="shared" si="13"/>
        <v/>
      </c>
      <c r="Y38" s="351" t="str">
        <f t="shared" si="14"/>
        <v/>
      </c>
      <c r="Z38" s="463" t="str">
        <f t="shared" si="2"/>
        <v/>
      </c>
      <c r="AA38" s="465" t="str">
        <f>IFERROR(IF(C38="", "", W38/'App Cust Info'!$F$24), "")</f>
        <v/>
      </c>
      <c r="AB38" s="465" t="str">
        <f>IFERROR(IF(C38="", "", Z38/'App Cust Info'!$F$26), "")</f>
        <v/>
      </c>
      <c r="AC38" s="466" t="str" cm="1">
        <f t="array" ref="AC38">IFERROR(IF(AND($AH$26="Downstate", $D$10="Electric"), "", INDEX('WALL INCENTIVE'!$G$4:$G$59,MATCH(1,($J38='WALL INCENTIVE'!$B$4:$B$59)*($K38='WALL INCENTIVE'!$C$4:$C$59)*($L38='WALL INCENTIVE'!$D$4:$D$59)*IF('WALL INCENTIVE'!$E$4:$E$59="Passive House",($L38="Yes"),($T38&gt;='WALL INCENTIVE'!$E$4:$E$59))*IF('WALL INCENTIVE'!$F$4:$F$59="Passive House",($L38="Yes"),($T38&lt;='WALL INCENTIVE'!$F$4:$F$59)),0))),"")</f>
        <v/>
      </c>
      <c r="AD38" s="466" t="str">
        <f t="shared" si="15"/>
        <v/>
      </c>
      <c r="AE38" s="467" t="str" cm="1">
        <f t="array" ref="AE38">IFERROR(IF(AND($AH$26="Downstate", $D$10="Electric"), "", INDEX('WALL INCENTIVE'!$H$4:$H$59,MATCH(1,($J38='WALL INCENTIVE'!$B$4:$B$59)*($K38='WALL INCENTIVE'!$C$4:$C$59)*($L38='WALL INCENTIVE'!$D$4:$D$59)*IF('WALL INCENTIVE'!$E$4:$E$59="Passive House",($L38="Yes"),($T38&gt;='WALL INCENTIVE'!$E$4:$E$59))*IF('WALL INCENTIVE'!$F$4:$F$59="Passive House",($L38="Yes"),($T38&lt;='WALL INCENTIVE'!$F$4:$F$59)),0))),"")</f>
        <v/>
      </c>
      <c r="AF38" s="468" t="str" cm="1">
        <f t="array" ref="AF38">IFERROR(IF(AND($AH$26="Downstate", $D$10="Electric"), "", INDEX('WALL INCENTIVE'!$I$4:$I$59,MATCH(1,($J38='WALL INCENTIVE'!$B$4:$B$59)*($K38='WALL INCENTIVE'!$C$4:$C$59)*($L38='WALL INCENTIVE'!$D$4:$D$59)*IF('WALL INCENTIVE'!$E$4:$E$59="Passive House",($L38="Yes"),($T38&gt;='WALL INCENTIVE'!$E$4:$E$59))*IF('WALL INCENTIVE'!$F$4:$F$59="Passive House",($L38="Yes"),($T38&lt;='WALL INCENTIVE'!$F$4:$F$59)),0))),"")</f>
        <v/>
      </c>
      <c r="AG38" s="143"/>
    </row>
    <row r="39" spans="2:38" ht="15" customHeight="1" x14ac:dyDescent="0.25">
      <c r="B39" s="339">
        <v>12</v>
      </c>
      <c r="C39" s="712"/>
      <c r="D39" s="712"/>
      <c r="E39" s="712"/>
      <c r="F39" s="712"/>
      <c r="G39" s="713"/>
      <c r="H39" s="712"/>
      <c r="I39" s="715"/>
      <c r="J39" s="462" t="str">
        <f t="shared" si="0"/>
        <v/>
      </c>
      <c r="K39" s="339" t="str">
        <f t="shared" si="3"/>
        <v/>
      </c>
      <c r="L39" s="339" t="str">
        <f t="shared" si="4"/>
        <v/>
      </c>
      <c r="M39" s="339" t="str">
        <f t="shared" si="5"/>
        <v/>
      </c>
      <c r="N39" s="339" t="str">
        <f t="shared" si="1"/>
        <v/>
      </c>
      <c r="O39" s="339" t="str">
        <f t="shared" si="6"/>
        <v/>
      </c>
      <c r="P39" s="339" t="str">
        <f t="shared" si="7"/>
        <v/>
      </c>
      <c r="Q39" s="264"/>
      <c r="R39" s="462" t="str" cm="1">
        <f t="array" ref="R39">IFERROR(IF($M39="Retrofit",_xlfn.XLOOKUP($D$5,'TRM V13 Appendix A'!$B$13:$B$33,'TRM V13 Appendix A'!$C$13:$C$33,""),IF(OR($N39="",$F39=""),"",_xlfn.XLOOKUP($F39,'WALL CODE'!$B$4:$B$8,_xlfn.XLOOKUP($N39,'WALL CODE'!$C$3:$E$3,'WALL CODE'!$C$4:$E$8,""),""))),"")</f>
        <v/>
      </c>
      <c r="S39" s="462" t="str">
        <f t="shared" si="8"/>
        <v/>
      </c>
      <c r="T39" s="462" t="str">
        <f t="shared" si="9"/>
        <v/>
      </c>
      <c r="U39" s="463" t="str">
        <f t="shared" si="10"/>
        <v/>
      </c>
      <c r="V39" s="463" t="str">
        <f t="shared" si="11"/>
        <v/>
      </c>
      <c r="W39" s="463" t="str">
        <f t="shared" si="12"/>
        <v/>
      </c>
      <c r="X39" s="464" t="str">
        <f t="shared" si="13"/>
        <v/>
      </c>
      <c r="Y39" s="351" t="str">
        <f t="shared" si="14"/>
        <v/>
      </c>
      <c r="Z39" s="463" t="str">
        <f t="shared" si="2"/>
        <v/>
      </c>
      <c r="AA39" s="465" t="str">
        <f>IFERROR(IF(C39="", "", W39/'App Cust Info'!$F$24), "")</f>
        <v/>
      </c>
      <c r="AB39" s="465" t="str">
        <f>IFERROR(IF(C39="", "", Z39/'App Cust Info'!$F$26), "")</f>
        <v/>
      </c>
      <c r="AC39" s="466" t="str" cm="1">
        <f t="array" ref="AC39">IFERROR(IF(AND($AH$26="Downstate", $D$10="Electric"), "", INDEX('WALL INCENTIVE'!$G$4:$G$59,MATCH(1,($J39='WALL INCENTIVE'!$B$4:$B$59)*($K39='WALL INCENTIVE'!$C$4:$C$59)*($L39='WALL INCENTIVE'!$D$4:$D$59)*IF('WALL INCENTIVE'!$E$4:$E$59="Passive House",($L39="Yes"),($T39&gt;='WALL INCENTIVE'!$E$4:$E$59))*IF('WALL INCENTIVE'!$F$4:$F$59="Passive House",($L39="Yes"),($T39&lt;='WALL INCENTIVE'!$F$4:$F$59)),0))),"")</f>
        <v/>
      </c>
      <c r="AD39" s="466" t="str">
        <f t="shared" si="15"/>
        <v/>
      </c>
      <c r="AE39" s="467" t="str" cm="1">
        <f t="array" ref="AE39">IFERROR(IF(AND($AH$26="Downstate", $D$10="Electric"), "", INDEX('WALL INCENTIVE'!$H$4:$H$59,MATCH(1,($J39='WALL INCENTIVE'!$B$4:$B$59)*($K39='WALL INCENTIVE'!$C$4:$C$59)*($L39='WALL INCENTIVE'!$D$4:$D$59)*IF('WALL INCENTIVE'!$E$4:$E$59="Passive House",($L39="Yes"),($T39&gt;='WALL INCENTIVE'!$E$4:$E$59))*IF('WALL INCENTIVE'!$F$4:$F$59="Passive House",($L39="Yes"),($T39&lt;='WALL INCENTIVE'!$F$4:$F$59)),0))),"")</f>
        <v/>
      </c>
      <c r="AF39" s="468" t="str" cm="1">
        <f t="array" ref="AF39">IFERROR(IF(AND($AH$26="Downstate", $D$10="Electric"), "", INDEX('WALL INCENTIVE'!$I$4:$I$59,MATCH(1,($J39='WALL INCENTIVE'!$B$4:$B$59)*($K39='WALL INCENTIVE'!$C$4:$C$59)*($L39='WALL INCENTIVE'!$D$4:$D$59)*IF('WALL INCENTIVE'!$E$4:$E$59="Passive House",($L39="Yes"),($T39&gt;='WALL INCENTIVE'!$E$4:$E$59))*IF('WALL INCENTIVE'!$F$4:$F$59="Passive House",($L39="Yes"),($T39&lt;='WALL INCENTIVE'!$F$4:$F$59)),0))),"")</f>
        <v/>
      </c>
      <c r="AG39" s="143"/>
      <c r="AH39" s="65"/>
      <c r="AI39" s="65"/>
      <c r="AJ39" s="65"/>
    </row>
    <row r="40" spans="2:38" ht="15" customHeight="1" x14ac:dyDescent="0.25">
      <c r="B40" s="339">
        <v>13</v>
      </c>
      <c r="C40" s="712"/>
      <c r="D40" s="712"/>
      <c r="E40" s="712"/>
      <c r="F40" s="712"/>
      <c r="G40" s="713"/>
      <c r="H40" s="712"/>
      <c r="I40" s="715"/>
      <c r="J40" s="462" t="str">
        <f t="shared" si="0"/>
        <v/>
      </c>
      <c r="K40" s="339" t="str">
        <f t="shared" si="3"/>
        <v/>
      </c>
      <c r="L40" s="339" t="str">
        <f t="shared" si="4"/>
        <v/>
      </c>
      <c r="M40" s="339" t="str">
        <f t="shared" si="5"/>
        <v/>
      </c>
      <c r="N40" s="339" t="str">
        <f t="shared" si="1"/>
        <v/>
      </c>
      <c r="O40" s="339" t="str">
        <f t="shared" si="6"/>
        <v/>
      </c>
      <c r="P40" s="339" t="str">
        <f t="shared" si="7"/>
        <v/>
      </c>
      <c r="Q40" s="264"/>
      <c r="R40" s="462" t="str" cm="1">
        <f t="array" ref="R40">IFERROR(IF($M40="Retrofit",_xlfn.XLOOKUP($D$5,'TRM V13 Appendix A'!$B$13:$B$33,'TRM V13 Appendix A'!$C$13:$C$33,""),IF(OR($N40="",$F40=""),"",_xlfn.XLOOKUP($F40,'WALL CODE'!$B$4:$B$8,_xlfn.XLOOKUP($N40,'WALL CODE'!$C$3:$E$3,'WALL CODE'!$C$4:$E$8,""),""))),"")</f>
        <v/>
      </c>
      <c r="S40" s="462" t="str">
        <f t="shared" si="8"/>
        <v/>
      </c>
      <c r="T40" s="462" t="str">
        <f t="shared" si="9"/>
        <v/>
      </c>
      <c r="U40" s="463" t="str">
        <f t="shared" si="10"/>
        <v/>
      </c>
      <c r="V40" s="463" t="str">
        <f t="shared" si="11"/>
        <v/>
      </c>
      <c r="W40" s="463" t="str">
        <f t="shared" si="12"/>
        <v/>
      </c>
      <c r="X40" s="464" t="str">
        <f t="shared" si="13"/>
        <v/>
      </c>
      <c r="Y40" s="351" t="str">
        <f t="shared" si="14"/>
        <v/>
      </c>
      <c r="Z40" s="463" t="str">
        <f t="shared" si="2"/>
        <v/>
      </c>
      <c r="AA40" s="465" t="str">
        <f>IFERROR(IF(C40="", "", W40/'App Cust Info'!$F$24), "")</f>
        <v/>
      </c>
      <c r="AB40" s="465" t="str">
        <f>IFERROR(IF(C40="", "", Z40/'App Cust Info'!$F$26), "")</f>
        <v/>
      </c>
      <c r="AC40" s="466" t="str" cm="1">
        <f t="array" ref="AC40">IFERROR(IF(AND($AH$26="Downstate", $D$10="Electric"), "", INDEX('WALL INCENTIVE'!$G$4:$G$59,MATCH(1,($J40='WALL INCENTIVE'!$B$4:$B$59)*($K40='WALL INCENTIVE'!$C$4:$C$59)*($L40='WALL INCENTIVE'!$D$4:$D$59)*IF('WALL INCENTIVE'!$E$4:$E$59="Passive House",($L40="Yes"),($T40&gt;='WALL INCENTIVE'!$E$4:$E$59))*IF('WALL INCENTIVE'!$F$4:$F$59="Passive House",($L40="Yes"),($T40&lt;='WALL INCENTIVE'!$F$4:$F$59)),0))),"")</f>
        <v/>
      </c>
      <c r="AD40" s="466" t="str">
        <f t="shared" si="15"/>
        <v/>
      </c>
      <c r="AE40" s="467" t="str" cm="1">
        <f t="array" ref="AE40">IFERROR(IF(AND($AH$26="Downstate", $D$10="Electric"), "", INDEX('WALL INCENTIVE'!$H$4:$H$59,MATCH(1,($J40='WALL INCENTIVE'!$B$4:$B$59)*($K40='WALL INCENTIVE'!$C$4:$C$59)*($L40='WALL INCENTIVE'!$D$4:$D$59)*IF('WALL INCENTIVE'!$E$4:$E$59="Passive House",($L40="Yes"),($T40&gt;='WALL INCENTIVE'!$E$4:$E$59))*IF('WALL INCENTIVE'!$F$4:$F$59="Passive House",($L40="Yes"),($T40&lt;='WALL INCENTIVE'!$F$4:$F$59)),0))),"")</f>
        <v/>
      </c>
      <c r="AF40" s="468" t="str" cm="1">
        <f t="array" ref="AF40">IFERROR(IF(AND($AH$26="Downstate", $D$10="Electric"), "", INDEX('WALL INCENTIVE'!$I$4:$I$59,MATCH(1,($J40='WALL INCENTIVE'!$B$4:$B$59)*($K40='WALL INCENTIVE'!$C$4:$C$59)*($L40='WALL INCENTIVE'!$D$4:$D$59)*IF('WALL INCENTIVE'!$E$4:$E$59="Passive House",($L40="Yes"),($T40&gt;='WALL INCENTIVE'!$E$4:$E$59))*IF('WALL INCENTIVE'!$F$4:$F$59="Passive House",($L40="Yes"),($T40&lt;='WALL INCENTIVE'!$F$4:$F$59)),0))),"")</f>
        <v/>
      </c>
      <c r="AG40" s="143"/>
      <c r="AH40" s="65"/>
      <c r="AI40" s="65"/>
      <c r="AJ40" s="65"/>
    </row>
    <row r="41" spans="2:38" x14ac:dyDescent="0.25">
      <c r="B41" s="339">
        <v>14</v>
      </c>
      <c r="C41" s="712"/>
      <c r="D41" s="712"/>
      <c r="E41" s="712"/>
      <c r="F41" s="712"/>
      <c r="G41" s="713"/>
      <c r="H41" s="712"/>
      <c r="I41" s="715"/>
      <c r="J41" s="462" t="str">
        <f t="shared" si="0"/>
        <v/>
      </c>
      <c r="K41" s="339" t="str">
        <f t="shared" si="3"/>
        <v/>
      </c>
      <c r="L41" s="339" t="str">
        <f t="shared" si="4"/>
        <v/>
      </c>
      <c r="M41" s="339" t="str">
        <f t="shared" si="5"/>
        <v/>
      </c>
      <c r="N41" s="339" t="str">
        <f t="shared" si="1"/>
        <v/>
      </c>
      <c r="O41" s="339" t="str">
        <f t="shared" si="6"/>
        <v/>
      </c>
      <c r="P41" s="339" t="str">
        <f t="shared" si="7"/>
        <v/>
      </c>
      <c r="Q41" s="264"/>
      <c r="R41" s="462" t="str" cm="1">
        <f t="array" ref="R41">IFERROR(IF($M41="Retrofit",_xlfn.XLOOKUP($D$5,'TRM V13 Appendix A'!$B$13:$B$33,'TRM V13 Appendix A'!$C$13:$C$33,""),IF(OR($N41="",$F41=""),"",_xlfn.XLOOKUP($F41,'WALL CODE'!$B$4:$B$8,_xlfn.XLOOKUP($N41,'WALL CODE'!$C$3:$E$3,'WALL CODE'!$C$4:$E$8,""),""))),"")</f>
        <v/>
      </c>
      <c r="S41" s="462" t="str">
        <f t="shared" si="8"/>
        <v/>
      </c>
      <c r="T41" s="462" t="str">
        <f t="shared" si="9"/>
        <v/>
      </c>
      <c r="U41" s="463" t="str">
        <f t="shared" si="10"/>
        <v/>
      </c>
      <c r="V41" s="463" t="str">
        <f t="shared" si="11"/>
        <v/>
      </c>
      <c r="W41" s="463" t="str">
        <f t="shared" si="12"/>
        <v/>
      </c>
      <c r="X41" s="464" t="str">
        <f t="shared" si="13"/>
        <v/>
      </c>
      <c r="Y41" s="351" t="str">
        <f t="shared" si="14"/>
        <v/>
      </c>
      <c r="Z41" s="463" t="str">
        <f t="shared" si="2"/>
        <v/>
      </c>
      <c r="AA41" s="465" t="str">
        <f>IFERROR(IF(C41="", "", W41/'App Cust Info'!$F$24), "")</f>
        <v/>
      </c>
      <c r="AB41" s="465" t="str">
        <f>IFERROR(IF(C41="", "", Z41/'App Cust Info'!$F$26), "")</f>
        <v/>
      </c>
      <c r="AC41" s="466" t="str" cm="1">
        <f t="array" ref="AC41">IFERROR(IF(AND($AH$26="Downstate", $D$10="Electric"), "", INDEX('WALL INCENTIVE'!$G$4:$G$59,MATCH(1,($J41='WALL INCENTIVE'!$B$4:$B$59)*($K41='WALL INCENTIVE'!$C$4:$C$59)*($L41='WALL INCENTIVE'!$D$4:$D$59)*IF('WALL INCENTIVE'!$E$4:$E$59="Passive House",($L41="Yes"),($T41&gt;='WALL INCENTIVE'!$E$4:$E$59))*IF('WALL INCENTIVE'!$F$4:$F$59="Passive House",($L41="Yes"),($T41&lt;='WALL INCENTIVE'!$F$4:$F$59)),0))),"")</f>
        <v/>
      </c>
      <c r="AD41" s="466" t="str">
        <f t="shared" si="15"/>
        <v/>
      </c>
      <c r="AE41" s="467" t="str" cm="1">
        <f t="array" ref="AE41">IFERROR(IF(AND($AH$26="Downstate", $D$10="Electric"), "", INDEX('WALL INCENTIVE'!$H$4:$H$59,MATCH(1,($J41='WALL INCENTIVE'!$B$4:$B$59)*($K41='WALL INCENTIVE'!$C$4:$C$59)*($L41='WALL INCENTIVE'!$D$4:$D$59)*IF('WALL INCENTIVE'!$E$4:$E$59="Passive House",($L41="Yes"),($T41&gt;='WALL INCENTIVE'!$E$4:$E$59))*IF('WALL INCENTIVE'!$F$4:$F$59="Passive House",($L41="Yes"),($T41&lt;='WALL INCENTIVE'!$F$4:$F$59)),0))),"")</f>
        <v/>
      </c>
      <c r="AF41" s="468" t="str" cm="1">
        <f t="array" ref="AF41">IFERROR(IF(AND($AH$26="Downstate", $D$10="Electric"), "", INDEX('WALL INCENTIVE'!$I$4:$I$59,MATCH(1,($J41='WALL INCENTIVE'!$B$4:$B$59)*($K41='WALL INCENTIVE'!$C$4:$C$59)*($L41='WALL INCENTIVE'!$D$4:$D$59)*IF('WALL INCENTIVE'!$E$4:$E$59="Passive House",($L41="Yes"),($T41&gt;='WALL INCENTIVE'!$E$4:$E$59))*IF('WALL INCENTIVE'!$F$4:$F$59="Passive House",($L41="Yes"),($T41&lt;='WALL INCENTIVE'!$F$4:$F$59)),0))),"")</f>
        <v/>
      </c>
      <c r="AG41" s="143"/>
      <c r="AH41" s="65"/>
      <c r="AI41" s="65"/>
      <c r="AJ41" s="65"/>
    </row>
    <row r="42" spans="2:38" x14ac:dyDescent="0.25">
      <c r="B42" s="339">
        <v>15</v>
      </c>
      <c r="C42" s="712"/>
      <c r="D42" s="712"/>
      <c r="E42" s="712"/>
      <c r="F42" s="712"/>
      <c r="G42" s="713"/>
      <c r="H42" s="712"/>
      <c r="I42" s="715"/>
      <c r="J42" s="462" t="str">
        <f t="shared" si="0"/>
        <v/>
      </c>
      <c r="K42" s="339" t="str">
        <f t="shared" si="3"/>
        <v/>
      </c>
      <c r="L42" s="339" t="str">
        <f t="shared" si="4"/>
        <v/>
      </c>
      <c r="M42" s="339" t="str">
        <f t="shared" si="5"/>
        <v/>
      </c>
      <c r="N42" s="339" t="str">
        <f t="shared" si="1"/>
        <v/>
      </c>
      <c r="O42" s="339" t="str">
        <f t="shared" si="6"/>
        <v/>
      </c>
      <c r="P42" s="339" t="str">
        <f t="shared" si="7"/>
        <v/>
      </c>
      <c r="Q42" s="264"/>
      <c r="R42" s="462" t="str" cm="1">
        <f t="array" ref="R42">IFERROR(IF($M42="Retrofit",_xlfn.XLOOKUP($D$5,'TRM V13 Appendix A'!$B$13:$B$33,'TRM V13 Appendix A'!$C$13:$C$33,""),IF(OR($N42="",$F42=""),"",_xlfn.XLOOKUP($F42,'WALL CODE'!$B$4:$B$8,_xlfn.XLOOKUP($N42,'WALL CODE'!$C$3:$E$3,'WALL CODE'!$C$4:$E$8,""),""))),"")</f>
        <v/>
      </c>
      <c r="S42" s="462" t="str">
        <f t="shared" si="8"/>
        <v/>
      </c>
      <c r="T42" s="462" t="str">
        <f t="shared" si="9"/>
        <v/>
      </c>
      <c r="U42" s="463" t="str">
        <f t="shared" si="10"/>
        <v/>
      </c>
      <c r="V42" s="463" t="str">
        <f t="shared" si="11"/>
        <v/>
      </c>
      <c r="W42" s="463" t="str">
        <f t="shared" si="12"/>
        <v/>
      </c>
      <c r="X42" s="464" t="str">
        <f t="shared" si="13"/>
        <v/>
      </c>
      <c r="Y42" s="351" t="str">
        <f t="shared" si="14"/>
        <v/>
      </c>
      <c r="Z42" s="463" t="str">
        <f t="shared" si="2"/>
        <v/>
      </c>
      <c r="AA42" s="465" t="str">
        <f>IFERROR(IF(C42="", "", W42/'App Cust Info'!$F$24), "")</f>
        <v/>
      </c>
      <c r="AB42" s="465" t="str">
        <f>IFERROR(IF(C42="", "", Z42/'App Cust Info'!$F$26), "")</f>
        <v/>
      </c>
      <c r="AC42" s="466" t="str" cm="1">
        <f t="array" ref="AC42">IFERROR(IF(AND($AH$26="Downstate", $D$10="Electric"), "", INDEX('WALL INCENTIVE'!$G$4:$G$59,MATCH(1,($J42='WALL INCENTIVE'!$B$4:$B$59)*($K42='WALL INCENTIVE'!$C$4:$C$59)*($L42='WALL INCENTIVE'!$D$4:$D$59)*IF('WALL INCENTIVE'!$E$4:$E$59="Passive House",($L42="Yes"),($T42&gt;='WALL INCENTIVE'!$E$4:$E$59))*IF('WALL INCENTIVE'!$F$4:$F$59="Passive House",($L42="Yes"),($T42&lt;='WALL INCENTIVE'!$F$4:$F$59)),0))),"")</f>
        <v/>
      </c>
      <c r="AD42" s="466" t="str">
        <f t="shared" si="15"/>
        <v/>
      </c>
      <c r="AE42" s="467" t="str" cm="1">
        <f t="array" ref="AE42">IFERROR(IF(AND($AH$26="Downstate", $D$10="Electric"), "", INDEX('WALL INCENTIVE'!$H$4:$H$59,MATCH(1,($J42='WALL INCENTIVE'!$B$4:$B$59)*($K42='WALL INCENTIVE'!$C$4:$C$59)*($L42='WALL INCENTIVE'!$D$4:$D$59)*IF('WALL INCENTIVE'!$E$4:$E$59="Passive House",($L42="Yes"),($T42&gt;='WALL INCENTIVE'!$E$4:$E$59))*IF('WALL INCENTIVE'!$F$4:$F$59="Passive House",($L42="Yes"),($T42&lt;='WALL INCENTIVE'!$F$4:$F$59)),0))),"")</f>
        <v/>
      </c>
      <c r="AF42" s="468" t="str" cm="1">
        <f t="array" ref="AF42">IFERROR(IF(AND($AH$26="Downstate", $D$10="Electric"), "", INDEX('WALL INCENTIVE'!$I$4:$I$59,MATCH(1,($J42='WALL INCENTIVE'!$B$4:$B$59)*($K42='WALL INCENTIVE'!$C$4:$C$59)*($L42='WALL INCENTIVE'!$D$4:$D$59)*IF('WALL INCENTIVE'!$E$4:$E$59="Passive House",($L42="Yes"),($T42&gt;='WALL INCENTIVE'!$E$4:$E$59))*IF('WALL INCENTIVE'!$F$4:$F$59="Passive House",($L42="Yes"),($T42&lt;='WALL INCENTIVE'!$F$4:$F$59)),0))),"")</f>
        <v/>
      </c>
      <c r="AG42" s="143"/>
      <c r="AH42" s="65"/>
      <c r="AI42" s="65"/>
      <c r="AJ42" s="65"/>
    </row>
    <row r="43" spans="2:38" x14ac:dyDescent="0.25">
      <c r="B43" s="339">
        <v>16</v>
      </c>
      <c r="C43" s="712"/>
      <c r="D43" s="712"/>
      <c r="E43" s="712"/>
      <c r="F43" s="712"/>
      <c r="G43" s="713"/>
      <c r="H43" s="712"/>
      <c r="I43" s="715"/>
      <c r="J43" s="462" t="str">
        <f t="shared" si="0"/>
        <v/>
      </c>
      <c r="K43" s="339" t="str">
        <f t="shared" si="3"/>
        <v/>
      </c>
      <c r="L43" s="339" t="str">
        <f t="shared" si="4"/>
        <v/>
      </c>
      <c r="M43" s="339" t="str">
        <f t="shared" si="5"/>
        <v/>
      </c>
      <c r="N43" s="339" t="str">
        <f t="shared" si="1"/>
        <v/>
      </c>
      <c r="O43" s="339" t="str">
        <f t="shared" si="6"/>
        <v/>
      </c>
      <c r="P43" s="339" t="str">
        <f t="shared" si="7"/>
        <v/>
      </c>
      <c r="Q43" s="264"/>
      <c r="R43" s="462" t="str" cm="1">
        <f t="array" ref="R43">IFERROR(IF($M43="Retrofit",_xlfn.XLOOKUP($D$5,'TRM V13 Appendix A'!$B$13:$B$33,'TRM V13 Appendix A'!$C$13:$C$33,""),IF(OR($N43="",$F43=""),"",_xlfn.XLOOKUP($F43,'WALL CODE'!$B$4:$B$8,_xlfn.XLOOKUP($N43,'WALL CODE'!$C$3:$E$3,'WALL CODE'!$C$4:$E$8,""),""))),"")</f>
        <v/>
      </c>
      <c r="S43" s="462" t="str">
        <f t="shared" si="8"/>
        <v/>
      </c>
      <c r="T43" s="462" t="str">
        <f t="shared" si="9"/>
        <v/>
      </c>
      <c r="U43" s="463" t="str">
        <f t="shared" si="10"/>
        <v/>
      </c>
      <c r="V43" s="463" t="str">
        <f t="shared" si="11"/>
        <v/>
      </c>
      <c r="W43" s="463" t="str">
        <f t="shared" si="12"/>
        <v/>
      </c>
      <c r="X43" s="464" t="str">
        <f t="shared" si="13"/>
        <v/>
      </c>
      <c r="Y43" s="351" t="str">
        <f t="shared" si="14"/>
        <v/>
      </c>
      <c r="Z43" s="463" t="str">
        <f t="shared" si="2"/>
        <v/>
      </c>
      <c r="AA43" s="465" t="str">
        <f>IFERROR(IF(C43="", "", W43/'App Cust Info'!$F$24), "")</f>
        <v/>
      </c>
      <c r="AB43" s="465" t="str">
        <f>IFERROR(IF(C43="", "", Z43/'App Cust Info'!$F$26), "")</f>
        <v/>
      </c>
      <c r="AC43" s="466" t="str" cm="1">
        <f t="array" ref="AC43">IFERROR(IF(AND($AH$26="Downstate", $D$10="Electric"), "", INDEX('WALL INCENTIVE'!$G$4:$G$59,MATCH(1,($J43='WALL INCENTIVE'!$B$4:$B$59)*($K43='WALL INCENTIVE'!$C$4:$C$59)*($L43='WALL INCENTIVE'!$D$4:$D$59)*IF('WALL INCENTIVE'!$E$4:$E$59="Passive House",($L43="Yes"),($T43&gt;='WALL INCENTIVE'!$E$4:$E$59))*IF('WALL INCENTIVE'!$F$4:$F$59="Passive House",($L43="Yes"),($T43&lt;='WALL INCENTIVE'!$F$4:$F$59)),0))),"")</f>
        <v/>
      </c>
      <c r="AD43" s="466" t="str">
        <f t="shared" si="15"/>
        <v/>
      </c>
      <c r="AE43" s="467" t="str" cm="1">
        <f t="array" ref="AE43">IFERROR(IF(AND($AH$26="Downstate", $D$10="Electric"), "", INDEX('WALL INCENTIVE'!$H$4:$H$59,MATCH(1,($J43='WALL INCENTIVE'!$B$4:$B$59)*($K43='WALL INCENTIVE'!$C$4:$C$59)*($L43='WALL INCENTIVE'!$D$4:$D$59)*IF('WALL INCENTIVE'!$E$4:$E$59="Passive House",($L43="Yes"),($T43&gt;='WALL INCENTIVE'!$E$4:$E$59))*IF('WALL INCENTIVE'!$F$4:$F$59="Passive House",($L43="Yes"),($T43&lt;='WALL INCENTIVE'!$F$4:$F$59)),0))),"")</f>
        <v/>
      </c>
      <c r="AF43" s="468" t="str" cm="1">
        <f t="array" ref="AF43">IFERROR(IF(AND($AH$26="Downstate", $D$10="Electric"), "", INDEX('WALL INCENTIVE'!$I$4:$I$59,MATCH(1,($J43='WALL INCENTIVE'!$B$4:$B$59)*($K43='WALL INCENTIVE'!$C$4:$C$59)*($L43='WALL INCENTIVE'!$D$4:$D$59)*IF('WALL INCENTIVE'!$E$4:$E$59="Passive House",($L43="Yes"),($T43&gt;='WALL INCENTIVE'!$E$4:$E$59))*IF('WALL INCENTIVE'!$F$4:$F$59="Passive House",($L43="Yes"),($T43&lt;='WALL INCENTIVE'!$F$4:$F$59)),0))),"")</f>
        <v/>
      </c>
      <c r="AG43" s="143"/>
      <c r="AH43" s="65"/>
      <c r="AI43" s="65"/>
      <c r="AJ43" s="65"/>
    </row>
    <row r="44" spans="2:38" x14ac:dyDescent="0.25">
      <c r="B44" s="339">
        <v>17</v>
      </c>
      <c r="C44" s="712"/>
      <c r="D44" s="712"/>
      <c r="E44" s="712"/>
      <c r="F44" s="712"/>
      <c r="G44" s="713"/>
      <c r="H44" s="712"/>
      <c r="I44" s="715"/>
      <c r="J44" s="462" t="str">
        <f t="shared" si="0"/>
        <v/>
      </c>
      <c r="K44" s="339" t="str">
        <f t="shared" si="3"/>
        <v/>
      </c>
      <c r="L44" s="339" t="str">
        <f t="shared" si="4"/>
        <v/>
      </c>
      <c r="M44" s="339" t="str">
        <f t="shared" si="5"/>
        <v/>
      </c>
      <c r="N44" s="339" t="str">
        <f t="shared" si="1"/>
        <v/>
      </c>
      <c r="O44" s="339" t="str">
        <f t="shared" si="6"/>
        <v/>
      </c>
      <c r="P44" s="339" t="str">
        <f t="shared" si="7"/>
        <v/>
      </c>
      <c r="Q44" s="264"/>
      <c r="R44" s="462" t="str" cm="1">
        <f t="array" ref="R44">IFERROR(IF($M44="Retrofit",_xlfn.XLOOKUP($D$5,'TRM V13 Appendix A'!$B$13:$B$33,'TRM V13 Appendix A'!$C$13:$C$33,""),IF(OR($N44="",$F44=""),"",_xlfn.XLOOKUP($F44,'WALL CODE'!$B$4:$B$8,_xlfn.XLOOKUP($N44,'WALL CODE'!$C$3:$E$3,'WALL CODE'!$C$4:$E$8,""),""))),"")</f>
        <v/>
      </c>
      <c r="S44" s="462" t="str">
        <f t="shared" si="8"/>
        <v/>
      </c>
      <c r="T44" s="462" t="str">
        <f t="shared" si="9"/>
        <v/>
      </c>
      <c r="U44" s="463" t="str">
        <f t="shared" si="10"/>
        <v/>
      </c>
      <c r="V44" s="463" t="str">
        <f t="shared" si="11"/>
        <v/>
      </c>
      <c r="W44" s="463" t="str">
        <f t="shared" si="12"/>
        <v/>
      </c>
      <c r="X44" s="464" t="str">
        <f t="shared" si="13"/>
        <v/>
      </c>
      <c r="Y44" s="351" t="str">
        <f t="shared" si="14"/>
        <v/>
      </c>
      <c r="Z44" s="463" t="str">
        <f t="shared" si="2"/>
        <v/>
      </c>
      <c r="AA44" s="465" t="str">
        <f>IFERROR(IF(C44="", "", W44/'App Cust Info'!$F$24), "")</f>
        <v/>
      </c>
      <c r="AB44" s="465" t="str">
        <f>IFERROR(IF(C44="", "", Z44/'App Cust Info'!$F$26), "")</f>
        <v/>
      </c>
      <c r="AC44" s="466" t="str" cm="1">
        <f t="array" ref="AC44">IFERROR(IF(AND($AH$26="Downstate", $D$10="Electric"), "", INDEX('WALL INCENTIVE'!$G$4:$G$59,MATCH(1,($J44='WALL INCENTIVE'!$B$4:$B$59)*($K44='WALL INCENTIVE'!$C$4:$C$59)*($L44='WALL INCENTIVE'!$D$4:$D$59)*IF('WALL INCENTIVE'!$E$4:$E$59="Passive House",($L44="Yes"),($T44&gt;='WALL INCENTIVE'!$E$4:$E$59))*IF('WALL INCENTIVE'!$F$4:$F$59="Passive House",($L44="Yes"),($T44&lt;='WALL INCENTIVE'!$F$4:$F$59)),0))),"")</f>
        <v/>
      </c>
      <c r="AD44" s="466" t="str">
        <f t="shared" si="15"/>
        <v/>
      </c>
      <c r="AE44" s="467" t="str" cm="1">
        <f t="array" ref="AE44">IFERROR(IF(AND($AH$26="Downstate", $D$10="Electric"), "", INDEX('WALL INCENTIVE'!$H$4:$H$59,MATCH(1,($J44='WALL INCENTIVE'!$B$4:$B$59)*($K44='WALL INCENTIVE'!$C$4:$C$59)*($L44='WALL INCENTIVE'!$D$4:$D$59)*IF('WALL INCENTIVE'!$E$4:$E$59="Passive House",($L44="Yes"),($T44&gt;='WALL INCENTIVE'!$E$4:$E$59))*IF('WALL INCENTIVE'!$F$4:$F$59="Passive House",($L44="Yes"),($T44&lt;='WALL INCENTIVE'!$F$4:$F$59)),0))),"")</f>
        <v/>
      </c>
      <c r="AF44" s="468" t="str" cm="1">
        <f t="array" ref="AF44">IFERROR(IF(AND($AH$26="Downstate", $D$10="Electric"), "", INDEX('WALL INCENTIVE'!$I$4:$I$59,MATCH(1,($J44='WALL INCENTIVE'!$B$4:$B$59)*($K44='WALL INCENTIVE'!$C$4:$C$59)*($L44='WALL INCENTIVE'!$D$4:$D$59)*IF('WALL INCENTIVE'!$E$4:$E$59="Passive House",($L44="Yes"),($T44&gt;='WALL INCENTIVE'!$E$4:$E$59))*IF('WALL INCENTIVE'!$F$4:$F$59="Passive House",($L44="Yes"),($T44&lt;='WALL INCENTIVE'!$F$4:$F$59)),0))),"")</f>
        <v/>
      </c>
      <c r="AG44" s="143"/>
      <c r="AH44" s="65"/>
      <c r="AI44" s="65"/>
      <c r="AJ44" s="65"/>
    </row>
    <row r="45" spans="2:38" x14ac:dyDescent="0.25">
      <c r="B45" s="339">
        <v>18</v>
      </c>
      <c r="C45" s="712"/>
      <c r="D45" s="712"/>
      <c r="E45" s="712"/>
      <c r="F45" s="712"/>
      <c r="G45" s="713"/>
      <c r="H45" s="712"/>
      <c r="I45" s="715"/>
      <c r="J45" s="462" t="str">
        <f t="shared" si="0"/>
        <v/>
      </c>
      <c r="K45" s="339" t="str">
        <f t="shared" si="3"/>
        <v/>
      </c>
      <c r="L45" s="339" t="str">
        <f t="shared" si="4"/>
        <v/>
      </c>
      <c r="M45" s="339" t="str">
        <f t="shared" si="5"/>
        <v/>
      </c>
      <c r="N45" s="339" t="str">
        <f t="shared" si="1"/>
        <v/>
      </c>
      <c r="O45" s="339" t="str">
        <f t="shared" si="6"/>
        <v/>
      </c>
      <c r="P45" s="339" t="str">
        <f t="shared" si="7"/>
        <v/>
      </c>
      <c r="Q45" s="264"/>
      <c r="R45" s="462" t="str" cm="1">
        <f t="array" ref="R45">IFERROR(IF($M45="Retrofit",_xlfn.XLOOKUP($D$5,'TRM V13 Appendix A'!$B$13:$B$33,'TRM V13 Appendix A'!$C$13:$C$33,""),IF(OR($N45="",$F45=""),"",_xlfn.XLOOKUP($F45,'WALL CODE'!$B$4:$B$8,_xlfn.XLOOKUP($N45,'WALL CODE'!$C$3:$E$3,'WALL CODE'!$C$4:$E$8,""),""))),"")</f>
        <v/>
      </c>
      <c r="S45" s="462" t="str">
        <f t="shared" si="8"/>
        <v/>
      </c>
      <c r="T45" s="462" t="str">
        <f t="shared" si="9"/>
        <v/>
      </c>
      <c r="U45" s="463" t="str">
        <f t="shared" si="10"/>
        <v/>
      </c>
      <c r="V45" s="463" t="str">
        <f t="shared" si="11"/>
        <v/>
      </c>
      <c r="W45" s="463" t="str">
        <f t="shared" si="12"/>
        <v/>
      </c>
      <c r="X45" s="464" t="str">
        <f t="shared" si="13"/>
        <v/>
      </c>
      <c r="Y45" s="351" t="str">
        <f t="shared" si="14"/>
        <v/>
      </c>
      <c r="Z45" s="463" t="str">
        <f t="shared" si="2"/>
        <v/>
      </c>
      <c r="AA45" s="465" t="str">
        <f>IFERROR(IF(C45="", "", W45/'App Cust Info'!$F$24), "")</f>
        <v/>
      </c>
      <c r="AB45" s="465" t="str">
        <f>IFERROR(IF(C45="", "", Z45/'App Cust Info'!$F$26), "")</f>
        <v/>
      </c>
      <c r="AC45" s="466" t="str" cm="1">
        <f t="array" ref="AC45">IFERROR(IF(AND($AH$26="Downstate", $D$10="Electric"), "", INDEX('WALL INCENTIVE'!$G$4:$G$59,MATCH(1,($J45='WALL INCENTIVE'!$B$4:$B$59)*($K45='WALL INCENTIVE'!$C$4:$C$59)*($L45='WALL INCENTIVE'!$D$4:$D$59)*IF('WALL INCENTIVE'!$E$4:$E$59="Passive House",($L45="Yes"),($T45&gt;='WALL INCENTIVE'!$E$4:$E$59))*IF('WALL INCENTIVE'!$F$4:$F$59="Passive House",($L45="Yes"),($T45&lt;='WALL INCENTIVE'!$F$4:$F$59)),0))),"")</f>
        <v/>
      </c>
      <c r="AD45" s="466" t="str">
        <f t="shared" si="15"/>
        <v/>
      </c>
      <c r="AE45" s="467" t="str" cm="1">
        <f t="array" ref="AE45">IFERROR(IF(AND($AH$26="Downstate", $D$10="Electric"), "", INDEX('WALL INCENTIVE'!$H$4:$H$59,MATCH(1,($J45='WALL INCENTIVE'!$B$4:$B$59)*($K45='WALL INCENTIVE'!$C$4:$C$59)*($L45='WALL INCENTIVE'!$D$4:$D$59)*IF('WALL INCENTIVE'!$E$4:$E$59="Passive House",($L45="Yes"),($T45&gt;='WALL INCENTIVE'!$E$4:$E$59))*IF('WALL INCENTIVE'!$F$4:$F$59="Passive House",($L45="Yes"),($T45&lt;='WALL INCENTIVE'!$F$4:$F$59)),0))),"")</f>
        <v/>
      </c>
      <c r="AF45" s="468" t="str" cm="1">
        <f t="array" ref="AF45">IFERROR(IF(AND($AH$26="Downstate", $D$10="Electric"), "", INDEX('WALL INCENTIVE'!$I$4:$I$59,MATCH(1,($J45='WALL INCENTIVE'!$B$4:$B$59)*($K45='WALL INCENTIVE'!$C$4:$C$59)*($L45='WALL INCENTIVE'!$D$4:$D$59)*IF('WALL INCENTIVE'!$E$4:$E$59="Passive House",($L45="Yes"),($T45&gt;='WALL INCENTIVE'!$E$4:$E$59))*IF('WALL INCENTIVE'!$F$4:$F$59="Passive House",($L45="Yes"),($T45&lt;='WALL INCENTIVE'!$F$4:$F$59)),0))),"")</f>
        <v/>
      </c>
      <c r="AG45" s="143"/>
      <c r="AH45" s="65"/>
      <c r="AI45" s="65"/>
      <c r="AJ45" s="65"/>
    </row>
    <row r="46" spans="2:38" x14ac:dyDescent="0.25">
      <c r="B46" s="339">
        <v>19</v>
      </c>
      <c r="C46" s="712"/>
      <c r="D46" s="712"/>
      <c r="E46" s="712"/>
      <c r="F46" s="712"/>
      <c r="G46" s="713"/>
      <c r="H46" s="712"/>
      <c r="I46" s="715"/>
      <c r="J46" s="462" t="str">
        <f t="shared" si="0"/>
        <v/>
      </c>
      <c r="K46" s="339" t="str">
        <f t="shared" si="3"/>
        <v/>
      </c>
      <c r="L46" s="339" t="str">
        <f t="shared" si="4"/>
        <v/>
      </c>
      <c r="M46" s="339" t="str">
        <f t="shared" si="5"/>
        <v/>
      </c>
      <c r="N46" s="339" t="str">
        <f t="shared" si="1"/>
        <v/>
      </c>
      <c r="O46" s="339" t="str">
        <f t="shared" si="6"/>
        <v/>
      </c>
      <c r="P46" s="339" t="str">
        <f t="shared" si="7"/>
        <v/>
      </c>
      <c r="Q46" s="264"/>
      <c r="R46" s="462" t="str" cm="1">
        <f t="array" ref="R46">IFERROR(IF($M46="Retrofit",_xlfn.XLOOKUP($D$5,'TRM V13 Appendix A'!$B$13:$B$33,'TRM V13 Appendix A'!$C$13:$C$33,""),IF(OR($N46="",$F46=""),"",_xlfn.XLOOKUP($F46,'WALL CODE'!$B$4:$B$8,_xlfn.XLOOKUP($N46,'WALL CODE'!$C$3:$E$3,'WALL CODE'!$C$4:$E$8,""),""))),"")</f>
        <v/>
      </c>
      <c r="S46" s="462" t="str">
        <f t="shared" si="8"/>
        <v/>
      </c>
      <c r="T46" s="462" t="str">
        <f t="shared" si="9"/>
        <v/>
      </c>
      <c r="U46" s="463" t="str">
        <f t="shared" si="10"/>
        <v/>
      </c>
      <c r="V46" s="463" t="str">
        <f t="shared" si="11"/>
        <v/>
      </c>
      <c r="W46" s="463" t="str">
        <f t="shared" si="12"/>
        <v/>
      </c>
      <c r="X46" s="464" t="str">
        <f t="shared" si="13"/>
        <v/>
      </c>
      <c r="Y46" s="351" t="str">
        <f t="shared" si="14"/>
        <v/>
      </c>
      <c r="Z46" s="463" t="str">
        <f t="shared" si="2"/>
        <v/>
      </c>
      <c r="AA46" s="465" t="str">
        <f>IFERROR(IF(C46="", "", W46/'App Cust Info'!$F$24), "")</f>
        <v/>
      </c>
      <c r="AB46" s="465" t="str">
        <f>IFERROR(IF(C46="", "", Z46/'App Cust Info'!$F$26), "")</f>
        <v/>
      </c>
      <c r="AC46" s="466" t="str" cm="1">
        <f t="array" ref="AC46">IFERROR(IF(AND($AH$26="Downstate", $D$10="Electric"), "", INDEX('WALL INCENTIVE'!$G$4:$G$59,MATCH(1,($J46='WALL INCENTIVE'!$B$4:$B$59)*($K46='WALL INCENTIVE'!$C$4:$C$59)*($L46='WALL INCENTIVE'!$D$4:$D$59)*IF('WALL INCENTIVE'!$E$4:$E$59="Passive House",($L46="Yes"),($T46&gt;='WALL INCENTIVE'!$E$4:$E$59))*IF('WALL INCENTIVE'!$F$4:$F$59="Passive House",($L46="Yes"),($T46&lt;='WALL INCENTIVE'!$F$4:$F$59)),0))),"")</f>
        <v/>
      </c>
      <c r="AD46" s="466" t="str">
        <f t="shared" si="15"/>
        <v/>
      </c>
      <c r="AE46" s="467" t="str" cm="1">
        <f t="array" ref="AE46">IFERROR(IF(AND($AH$26="Downstate", $D$10="Electric"), "", INDEX('WALL INCENTIVE'!$H$4:$H$59,MATCH(1,($J46='WALL INCENTIVE'!$B$4:$B$59)*($K46='WALL INCENTIVE'!$C$4:$C$59)*($L46='WALL INCENTIVE'!$D$4:$D$59)*IF('WALL INCENTIVE'!$E$4:$E$59="Passive House",($L46="Yes"),($T46&gt;='WALL INCENTIVE'!$E$4:$E$59))*IF('WALL INCENTIVE'!$F$4:$F$59="Passive House",($L46="Yes"),($T46&lt;='WALL INCENTIVE'!$F$4:$F$59)),0))),"")</f>
        <v/>
      </c>
      <c r="AF46" s="468" t="str" cm="1">
        <f t="array" ref="AF46">IFERROR(IF(AND($AH$26="Downstate", $D$10="Electric"), "", INDEX('WALL INCENTIVE'!$I$4:$I$59,MATCH(1,($J46='WALL INCENTIVE'!$B$4:$B$59)*($K46='WALL INCENTIVE'!$C$4:$C$59)*($L46='WALL INCENTIVE'!$D$4:$D$59)*IF('WALL INCENTIVE'!$E$4:$E$59="Passive House",($L46="Yes"),($T46&gt;='WALL INCENTIVE'!$E$4:$E$59))*IF('WALL INCENTIVE'!$F$4:$F$59="Passive House",($L46="Yes"),($T46&lt;='WALL INCENTIVE'!$F$4:$F$59)),0))),"")</f>
        <v/>
      </c>
      <c r="AG46" s="143"/>
      <c r="AH46" s="65"/>
      <c r="AI46" s="65"/>
      <c r="AJ46" s="65"/>
    </row>
    <row r="47" spans="2:38" x14ac:dyDescent="0.25">
      <c r="B47" s="339">
        <v>20</v>
      </c>
      <c r="C47" s="712"/>
      <c r="D47" s="712"/>
      <c r="E47" s="712"/>
      <c r="F47" s="712"/>
      <c r="G47" s="713"/>
      <c r="H47" s="712"/>
      <c r="I47" s="715"/>
      <c r="J47" s="462" t="str">
        <f t="shared" si="0"/>
        <v/>
      </c>
      <c r="K47" s="339" t="str">
        <f t="shared" si="3"/>
        <v/>
      </c>
      <c r="L47" s="339" t="str">
        <f t="shared" si="4"/>
        <v/>
      </c>
      <c r="M47" s="339" t="str">
        <f t="shared" si="5"/>
        <v/>
      </c>
      <c r="N47" s="339" t="str">
        <f t="shared" si="1"/>
        <v/>
      </c>
      <c r="O47" s="339" t="str">
        <f t="shared" si="6"/>
        <v/>
      </c>
      <c r="P47" s="339" t="str">
        <f t="shared" si="7"/>
        <v/>
      </c>
      <c r="Q47" s="264"/>
      <c r="R47" s="462" t="str" cm="1">
        <f t="array" ref="R47">IFERROR(IF($M47="Retrofit",_xlfn.XLOOKUP($D$5,'TRM V13 Appendix A'!$B$13:$B$33,'TRM V13 Appendix A'!$C$13:$C$33,""),IF(OR($N47="",$F47=""),"",_xlfn.XLOOKUP($F47,'WALL CODE'!$B$4:$B$8,_xlfn.XLOOKUP($N47,'WALL CODE'!$C$3:$E$3,'WALL CODE'!$C$4:$E$8,""),""))),"")</f>
        <v/>
      </c>
      <c r="S47" s="462" t="str">
        <f t="shared" si="8"/>
        <v/>
      </c>
      <c r="T47" s="462" t="str">
        <f t="shared" si="9"/>
        <v/>
      </c>
      <c r="U47" s="463" t="str">
        <f t="shared" si="10"/>
        <v/>
      </c>
      <c r="V47" s="463" t="str">
        <f t="shared" si="11"/>
        <v/>
      </c>
      <c r="W47" s="463" t="str">
        <f t="shared" si="12"/>
        <v/>
      </c>
      <c r="X47" s="464" t="str">
        <f t="shared" si="13"/>
        <v/>
      </c>
      <c r="Y47" s="351" t="str">
        <f t="shared" si="14"/>
        <v/>
      </c>
      <c r="Z47" s="463" t="str">
        <f t="shared" si="2"/>
        <v/>
      </c>
      <c r="AA47" s="465" t="str">
        <f>IFERROR(IF(C47="", "", W47/'App Cust Info'!$F$24), "")</f>
        <v/>
      </c>
      <c r="AB47" s="465" t="str">
        <f>IFERROR(IF(C47="", "", Z47/'App Cust Info'!$F$26), "")</f>
        <v/>
      </c>
      <c r="AC47" s="466" t="str" cm="1">
        <f t="array" ref="AC47">IFERROR(IF(AND($AH$26="Downstate", $D$10="Electric"), "", INDEX('WALL INCENTIVE'!$G$4:$G$59,MATCH(1,($J47='WALL INCENTIVE'!$B$4:$B$59)*($K47='WALL INCENTIVE'!$C$4:$C$59)*($L47='WALL INCENTIVE'!$D$4:$D$59)*IF('WALL INCENTIVE'!$E$4:$E$59="Passive House",($L47="Yes"),($T47&gt;='WALL INCENTIVE'!$E$4:$E$59))*IF('WALL INCENTIVE'!$F$4:$F$59="Passive House",($L47="Yes"),($T47&lt;='WALL INCENTIVE'!$F$4:$F$59)),0))),"")</f>
        <v/>
      </c>
      <c r="AD47" s="466" t="str">
        <f t="shared" si="15"/>
        <v/>
      </c>
      <c r="AE47" s="467" t="str" cm="1">
        <f t="array" ref="AE47">IFERROR(IF(AND($AH$26="Downstate", $D$10="Electric"), "", INDEX('WALL INCENTIVE'!$H$4:$H$59,MATCH(1,($J47='WALL INCENTIVE'!$B$4:$B$59)*($K47='WALL INCENTIVE'!$C$4:$C$59)*($L47='WALL INCENTIVE'!$D$4:$D$59)*IF('WALL INCENTIVE'!$E$4:$E$59="Passive House",($L47="Yes"),($T47&gt;='WALL INCENTIVE'!$E$4:$E$59))*IF('WALL INCENTIVE'!$F$4:$F$59="Passive House",($L47="Yes"),($T47&lt;='WALL INCENTIVE'!$F$4:$F$59)),0))),"")</f>
        <v/>
      </c>
      <c r="AF47" s="468" t="str" cm="1">
        <f t="array" ref="AF47">IFERROR(IF(AND($AH$26="Downstate", $D$10="Electric"), "", INDEX('WALL INCENTIVE'!$I$4:$I$59,MATCH(1,($J47='WALL INCENTIVE'!$B$4:$B$59)*($K47='WALL INCENTIVE'!$C$4:$C$59)*($L47='WALL INCENTIVE'!$D$4:$D$59)*IF('WALL INCENTIVE'!$E$4:$E$59="Passive House",($L47="Yes"),($T47&gt;='WALL INCENTIVE'!$E$4:$E$59))*IF('WALL INCENTIVE'!$F$4:$F$59="Passive House",($L47="Yes"),($T47&lt;='WALL INCENTIVE'!$F$4:$F$59)),0))),"")</f>
        <v/>
      </c>
      <c r="AG47" s="143"/>
      <c r="AH47" s="65"/>
      <c r="AI47" s="65"/>
      <c r="AJ47" s="65"/>
    </row>
    <row r="48" spans="2:38" x14ac:dyDescent="0.25">
      <c r="B48" s="339">
        <v>21</v>
      </c>
      <c r="C48" s="712"/>
      <c r="D48" s="712"/>
      <c r="E48" s="712"/>
      <c r="F48" s="712"/>
      <c r="G48" s="713"/>
      <c r="H48" s="712"/>
      <c r="I48" s="715"/>
      <c r="J48" s="462" t="str">
        <f t="shared" si="0"/>
        <v/>
      </c>
      <c r="K48" s="339" t="str">
        <f t="shared" si="3"/>
        <v/>
      </c>
      <c r="L48" s="339" t="str">
        <f t="shared" si="4"/>
        <v/>
      </c>
      <c r="M48" s="339" t="str">
        <f t="shared" si="5"/>
        <v/>
      </c>
      <c r="N48" s="339" t="str">
        <f t="shared" si="1"/>
        <v/>
      </c>
      <c r="O48" s="339" t="str">
        <f t="shared" si="6"/>
        <v/>
      </c>
      <c r="P48" s="339" t="str">
        <f t="shared" si="7"/>
        <v/>
      </c>
      <c r="Q48" s="264"/>
      <c r="R48" s="462" t="str" cm="1">
        <f t="array" ref="R48">IFERROR(IF($M48="Retrofit",_xlfn.XLOOKUP($D$5,'TRM V13 Appendix A'!$B$13:$B$33,'TRM V13 Appendix A'!$C$13:$C$33,""),IF(OR($N48="",$F48=""),"",_xlfn.XLOOKUP($F48,'WALL CODE'!$B$4:$B$8,_xlfn.XLOOKUP($N48,'WALL CODE'!$C$3:$E$3,'WALL CODE'!$C$4:$E$8,""),""))),"")</f>
        <v/>
      </c>
      <c r="S48" s="462" t="str">
        <f t="shared" si="8"/>
        <v/>
      </c>
      <c r="T48" s="462" t="str">
        <f t="shared" si="9"/>
        <v/>
      </c>
      <c r="U48" s="463" t="str">
        <f t="shared" si="10"/>
        <v/>
      </c>
      <c r="V48" s="463" t="str">
        <f t="shared" si="11"/>
        <v/>
      </c>
      <c r="W48" s="463" t="str">
        <f t="shared" si="12"/>
        <v/>
      </c>
      <c r="X48" s="464" t="str">
        <f t="shared" si="13"/>
        <v/>
      </c>
      <c r="Y48" s="351" t="str">
        <f t="shared" si="14"/>
        <v/>
      </c>
      <c r="Z48" s="463" t="str">
        <f t="shared" si="2"/>
        <v/>
      </c>
      <c r="AA48" s="465" t="str">
        <f>IFERROR(IF(C48="", "", W48/'App Cust Info'!$F$24), "")</f>
        <v/>
      </c>
      <c r="AB48" s="465" t="str">
        <f>IFERROR(IF(C48="", "", Z48/'App Cust Info'!$F$26), "")</f>
        <v/>
      </c>
      <c r="AC48" s="466" t="str" cm="1">
        <f t="array" ref="AC48">IFERROR(IF(AND($AH$26="Downstate", $D$10="Electric"), "", INDEX('WALL INCENTIVE'!$G$4:$G$59,MATCH(1,($J48='WALL INCENTIVE'!$B$4:$B$59)*($K48='WALL INCENTIVE'!$C$4:$C$59)*($L48='WALL INCENTIVE'!$D$4:$D$59)*IF('WALL INCENTIVE'!$E$4:$E$59="Passive House",($L48="Yes"),($T48&gt;='WALL INCENTIVE'!$E$4:$E$59))*IF('WALL INCENTIVE'!$F$4:$F$59="Passive House",($L48="Yes"),($T48&lt;='WALL INCENTIVE'!$F$4:$F$59)),0))),"")</f>
        <v/>
      </c>
      <c r="AD48" s="466" t="str">
        <f t="shared" si="15"/>
        <v/>
      </c>
      <c r="AE48" s="467" t="str" cm="1">
        <f t="array" ref="AE48">IFERROR(IF(AND($AH$26="Downstate", $D$10="Electric"), "", INDEX('WALL INCENTIVE'!$H$4:$H$59,MATCH(1,($J48='WALL INCENTIVE'!$B$4:$B$59)*($K48='WALL INCENTIVE'!$C$4:$C$59)*($L48='WALL INCENTIVE'!$D$4:$D$59)*IF('WALL INCENTIVE'!$E$4:$E$59="Passive House",($L48="Yes"),($T48&gt;='WALL INCENTIVE'!$E$4:$E$59))*IF('WALL INCENTIVE'!$F$4:$F$59="Passive House",($L48="Yes"),($T48&lt;='WALL INCENTIVE'!$F$4:$F$59)),0))),"")</f>
        <v/>
      </c>
      <c r="AF48" s="468" t="str" cm="1">
        <f t="array" ref="AF48">IFERROR(IF(AND($AH$26="Downstate", $D$10="Electric"), "", INDEX('WALL INCENTIVE'!$I$4:$I$59,MATCH(1,($J48='WALL INCENTIVE'!$B$4:$B$59)*($K48='WALL INCENTIVE'!$C$4:$C$59)*($L48='WALL INCENTIVE'!$D$4:$D$59)*IF('WALL INCENTIVE'!$E$4:$E$59="Passive House",($L48="Yes"),($T48&gt;='WALL INCENTIVE'!$E$4:$E$59))*IF('WALL INCENTIVE'!$F$4:$F$59="Passive House",($L48="Yes"),($T48&lt;='WALL INCENTIVE'!$F$4:$F$59)),0))),"")</f>
        <v/>
      </c>
      <c r="AG48" s="143"/>
      <c r="AH48" s="65"/>
      <c r="AI48" s="65"/>
      <c r="AJ48" s="65"/>
    </row>
    <row r="49" spans="2:36" x14ac:dyDescent="0.25">
      <c r="B49" s="339">
        <v>22</v>
      </c>
      <c r="C49" s="712"/>
      <c r="D49" s="712"/>
      <c r="E49" s="712"/>
      <c r="F49" s="712"/>
      <c r="G49" s="713"/>
      <c r="H49" s="712"/>
      <c r="I49" s="715"/>
      <c r="J49" s="462" t="str">
        <f t="shared" si="0"/>
        <v/>
      </c>
      <c r="K49" s="339" t="str">
        <f t="shared" si="3"/>
        <v/>
      </c>
      <c r="L49" s="339" t="str">
        <f t="shared" si="4"/>
        <v/>
      </c>
      <c r="M49" s="339" t="str">
        <f t="shared" si="5"/>
        <v/>
      </c>
      <c r="N49" s="339" t="str">
        <f t="shared" si="1"/>
        <v/>
      </c>
      <c r="O49" s="339" t="str">
        <f t="shared" si="6"/>
        <v/>
      </c>
      <c r="P49" s="339" t="str">
        <f t="shared" si="7"/>
        <v/>
      </c>
      <c r="Q49" s="264"/>
      <c r="R49" s="462" t="str" cm="1">
        <f t="array" ref="R49">IFERROR(IF($M49="Retrofit",_xlfn.XLOOKUP($D$5,'TRM V13 Appendix A'!$B$13:$B$33,'TRM V13 Appendix A'!$C$13:$C$33,""),IF(OR($N49="",$F49=""),"",_xlfn.XLOOKUP($F49,'WALL CODE'!$B$4:$B$8,_xlfn.XLOOKUP($N49,'WALL CODE'!$C$3:$E$3,'WALL CODE'!$C$4:$E$8,""),""))),"")</f>
        <v/>
      </c>
      <c r="S49" s="462" t="str">
        <f t="shared" si="8"/>
        <v/>
      </c>
      <c r="T49" s="462" t="str">
        <f t="shared" si="9"/>
        <v/>
      </c>
      <c r="U49" s="463" t="str">
        <f t="shared" si="10"/>
        <v/>
      </c>
      <c r="V49" s="463" t="str">
        <f t="shared" si="11"/>
        <v/>
      </c>
      <c r="W49" s="463" t="str">
        <f t="shared" si="12"/>
        <v/>
      </c>
      <c r="X49" s="464" t="str">
        <f t="shared" si="13"/>
        <v/>
      </c>
      <c r="Y49" s="351" t="str">
        <f t="shared" si="14"/>
        <v/>
      </c>
      <c r="Z49" s="463" t="str">
        <f t="shared" si="2"/>
        <v/>
      </c>
      <c r="AA49" s="465" t="str">
        <f>IFERROR(IF(C49="", "", W49/'App Cust Info'!$F$24), "")</f>
        <v/>
      </c>
      <c r="AB49" s="465" t="str">
        <f>IFERROR(IF(C49="", "", Z49/'App Cust Info'!$F$26), "")</f>
        <v/>
      </c>
      <c r="AC49" s="466" t="str" cm="1">
        <f t="array" ref="AC49">IFERROR(IF(AND($AH$26="Downstate", $D$10="Electric"), "", INDEX('WALL INCENTIVE'!$G$4:$G$59,MATCH(1,($J49='WALL INCENTIVE'!$B$4:$B$59)*($K49='WALL INCENTIVE'!$C$4:$C$59)*($L49='WALL INCENTIVE'!$D$4:$D$59)*IF('WALL INCENTIVE'!$E$4:$E$59="Passive House",($L49="Yes"),($T49&gt;='WALL INCENTIVE'!$E$4:$E$59))*IF('WALL INCENTIVE'!$F$4:$F$59="Passive House",($L49="Yes"),($T49&lt;='WALL INCENTIVE'!$F$4:$F$59)),0))),"")</f>
        <v/>
      </c>
      <c r="AD49" s="466" t="str">
        <f t="shared" si="15"/>
        <v/>
      </c>
      <c r="AE49" s="467" t="str" cm="1">
        <f t="array" ref="AE49">IFERROR(IF(AND($AH$26="Downstate", $D$10="Electric"), "", INDEX('WALL INCENTIVE'!$H$4:$H$59,MATCH(1,($J49='WALL INCENTIVE'!$B$4:$B$59)*($K49='WALL INCENTIVE'!$C$4:$C$59)*($L49='WALL INCENTIVE'!$D$4:$D$59)*IF('WALL INCENTIVE'!$E$4:$E$59="Passive House",($L49="Yes"),($T49&gt;='WALL INCENTIVE'!$E$4:$E$59))*IF('WALL INCENTIVE'!$F$4:$F$59="Passive House",($L49="Yes"),($T49&lt;='WALL INCENTIVE'!$F$4:$F$59)),0))),"")</f>
        <v/>
      </c>
      <c r="AF49" s="468" t="str" cm="1">
        <f t="array" ref="AF49">IFERROR(IF(AND($AH$26="Downstate", $D$10="Electric"), "", INDEX('WALL INCENTIVE'!$I$4:$I$59,MATCH(1,($J49='WALL INCENTIVE'!$B$4:$B$59)*($K49='WALL INCENTIVE'!$C$4:$C$59)*($L49='WALL INCENTIVE'!$D$4:$D$59)*IF('WALL INCENTIVE'!$E$4:$E$59="Passive House",($L49="Yes"),($T49&gt;='WALL INCENTIVE'!$E$4:$E$59))*IF('WALL INCENTIVE'!$F$4:$F$59="Passive House",($L49="Yes"),($T49&lt;='WALL INCENTIVE'!$F$4:$F$59)),0))),"")</f>
        <v/>
      </c>
      <c r="AG49" s="143"/>
      <c r="AH49" s="65"/>
      <c r="AI49" s="65"/>
      <c r="AJ49" s="65"/>
    </row>
    <row r="50" spans="2:36" x14ac:dyDescent="0.25">
      <c r="B50" s="339">
        <v>23</v>
      </c>
      <c r="C50" s="712"/>
      <c r="D50" s="712"/>
      <c r="E50" s="712"/>
      <c r="F50" s="712"/>
      <c r="G50" s="713"/>
      <c r="H50" s="712"/>
      <c r="I50" s="715"/>
      <c r="J50" s="462" t="str">
        <f t="shared" si="0"/>
        <v/>
      </c>
      <c r="K50" s="339" t="str">
        <f t="shared" si="3"/>
        <v/>
      </c>
      <c r="L50" s="339" t="str">
        <f t="shared" si="4"/>
        <v/>
      </c>
      <c r="M50" s="339" t="str">
        <f t="shared" si="5"/>
        <v/>
      </c>
      <c r="N50" s="339" t="str">
        <f t="shared" si="1"/>
        <v/>
      </c>
      <c r="O50" s="339" t="str">
        <f t="shared" si="6"/>
        <v/>
      </c>
      <c r="P50" s="339" t="str">
        <f t="shared" si="7"/>
        <v/>
      </c>
      <c r="Q50" s="264"/>
      <c r="R50" s="462" t="str" cm="1">
        <f t="array" ref="R50">IFERROR(IF($M50="Retrofit",_xlfn.XLOOKUP($D$5,'TRM V13 Appendix A'!$B$13:$B$33,'TRM V13 Appendix A'!$C$13:$C$33,""),IF(OR($N50="",$F50=""),"",_xlfn.XLOOKUP($F50,'WALL CODE'!$B$4:$B$8,_xlfn.XLOOKUP($N50,'WALL CODE'!$C$3:$E$3,'WALL CODE'!$C$4:$E$8,""),""))),"")</f>
        <v/>
      </c>
      <c r="S50" s="462" t="str">
        <f t="shared" si="8"/>
        <v/>
      </c>
      <c r="T50" s="462" t="str">
        <f t="shared" si="9"/>
        <v/>
      </c>
      <c r="U50" s="463" t="str">
        <f t="shared" si="10"/>
        <v/>
      </c>
      <c r="V50" s="463" t="str">
        <f t="shared" si="11"/>
        <v/>
      </c>
      <c r="W50" s="463" t="str">
        <f t="shared" si="12"/>
        <v/>
      </c>
      <c r="X50" s="464" t="str">
        <f t="shared" si="13"/>
        <v/>
      </c>
      <c r="Y50" s="351" t="str">
        <f t="shared" si="14"/>
        <v/>
      </c>
      <c r="Z50" s="463" t="str">
        <f t="shared" si="2"/>
        <v/>
      </c>
      <c r="AA50" s="465" t="str">
        <f>IFERROR(IF(C50="", "", W50/'App Cust Info'!$F$24), "")</f>
        <v/>
      </c>
      <c r="AB50" s="465" t="str">
        <f>IFERROR(IF(C50="", "", Z50/'App Cust Info'!$F$26), "")</f>
        <v/>
      </c>
      <c r="AC50" s="466" t="str" cm="1">
        <f t="array" ref="AC50">IFERROR(IF(AND($AH$26="Downstate", $D$10="Electric"), "", INDEX('WALL INCENTIVE'!$G$4:$G$59,MATCH(1,($J50='WALL INCENTIVE'!$B$4:$B$59)*($K50='WALL INCENTIVE'!$C$4:$C$59)*($L50='WALL INCENTIVE'!$D$4:$D$59)*IF('WALL INCENTIVE'!$E$4:$E$59="Passive House",($L50="Yes"),($T50&gt;='WALL INCENTIVE'!$E$4:$E$59))*IF('WALL INCENTIVE'!$F$4:$F$59="Passive House",($L50="Yes"),($T50&lt;='WALL INCENTIVE'!$F$4:$F$59)),0))),"")</f>
        <v/>
      </c>
      <c r="AD50" s="466" t="str">
        <f t="shared" si="15"/>
        <v/>
      </c>
      <c r="AE50" s="467" t="str" cm="1">
        <f t="array" ref="AE50">IFERROR(IF(AND($AH$26="Downstate", $D$10="Electric"), "", INDEX('WALL INCENTIVE'!$H$4:$H$59,MATCH(1,($J50='WALL INCENTIVE'!$B$4:$B$59)*($K50='WALL INCENTIVE'!$C$4:$C$59)*($L50='WALL INCENTIVE'!$D$4:$D$59)*IF('WALL INCENTIVE'!$E$4:$E$59="Passive House",($L50="Yes"),($T50&gt;='WALL INCENTIVE'!$E$4:$E$59))*IF('WALL INCENTIVE'!$F$4:$F$59="Passive House",($L50="Yes"),($T50&lt;='WALL INCENTIVE'!$F$4:$F$59)),0))),"")</f>
        <v/>
      </c>
      <c r="AF50" s="468" t="str" cm="1">
        <f t="array" ref="AF50">IFERROR(IF(AND($AH$26="Downstate", $D$10="Electric"), "", INDEX('WALL INCENTIVE'!$I$4:$I$59,MATCH(1,($J50='WALL INCENTIVE'!$B$4:$B$59)*($K50='WALL INCENTIVE'!$C$4:$C$59)*($L50='WALL INCENTIVE'!$D$4:$D$59)*IF('WALL INCENTIVE'!$E$4:$E$59="Passive House",($L50="Yes"),($T50&gt;='WALL INCENTIVE'!$E$4:$E$59))*IF('WALL INCENTIVE'!$F$4:$F$59="Passive House",($L50="Yes"),($T50&lt;='WALL INCENTIVE'!$F$4:$F$59)),0))),"")</f>
        <v/>
      </c>
      <c r="AG50" s="143"/>
      <c r="AH50" s="65"/>
      <c r="AI50" s="65"/>
      <c r="AJ50" s="65"/>
    </row>
    <row r="51" spans="2:36" x14ac:dyDescent="0.25">
      <c r="B51" s="339">
        <v>24</v>
      </c>
      <c r="C51" s="712"/>
      <c r="D51" s="712"/>
      <c r="E51" s="712"/>
      <c r="F51" s="712"/>
      <c r="G51" s="713"/>
      <c r="H51" s="712"/>
      <c r="I51" s="715"/>
      <c r="J51" s="462" t="str">
        <f t="shared" si="0"/>
        <v/>
      </c>
      <c r="K51" s="339" t="str">
        <f t="shared" si="3"/>
        <v/>
      </c>
      <c r="L51" s="339" t="str">
        <f t="shared" si="4"/>
        <v/>
      </c>
      <c r="M51" s="339" t="str">
        <f t="shared" si="5"/>
        <v/>
      </c>
      <c r="N51" s="339" t="str">
        <f t="shared" si="1"/>
        <v/>
      </c>
      <c r="O51" s="339" t="str">
        <f t="shared" si="6"/>
        <v/>
      </c>
      <c r="P51" s="339" t="str">
        <f t="shared" si="7"/>
        <v/>
      </c>
      <c r="Q51" s="264"/>
      <c r="R51" s="462" t="str" cm="1">
        <f t="array" ref="R51">IFERROR(IF($M51="Retrofit",_xlfn.XLOOKUP($D$5,'TRM V13 Appendix A'!$B$13:$B$33,'TRM V13 Appendix A'!$C$13:$C$33,""),IF(OR($N51="",$F51=""),"",_xlfn.XLOOKUP($F51,'WALL CODE'!$B$4:$B$8,_xlfn.XLOOKUP($N51,'WALL CODE'!$C$3:$E$3,'WALL CODE'!$C$4:$E$8,""),""))),"")</f>
        <v/>
      </c>
      <c r="S51" s="462" t="str">
        <f t="shared" si="8"/>
        <v/>
      </c>
      <c r="T51" s="462" t="str">
        <f t="shared" si="9"/>
        <v/>
      </c>
      <c r="U51" s="463" t="str">
        <f t="shared" si="10"/>
        <v/>
      </c>
      <c r="V51" s="463" t="str">
        <f t="shared" si="11"/>
        <v/>
      </c>
      <c r="W51" s="463" t="str">
        <f t="shared" si="12"/>
        <v/>
      </c>
      <c r="X51" s="464" t="str">
        <f t="shared" si="13"/>
        <v/>
      </c>
      <c r="Y51" s="351" t="str">
        <f t="shared" si="14"/>
        <v/>
      </c>
      <c r="Z51" s="463" t="str">
        <f t="shared" si="2"/>
        <v/>
      </c>
      <c r="AA51" s="465" t="str">
        <f>IFERROR(IF(C51="", "", W51/'App Cust Info'!$F$24), "")</f>
        <v/>
      </c>
      <c r="AB51" s="465" t="str">
        <f>IFERROR(IF(C51="", "", Z51/'App Cust Info'!$F$26), "")</f>
        <v/>
      </c>
      <c r="AC51" s="466" t="str" cm="1">
        <f t="array" ref="AC51">IFERROR(IF(AND($AH$26="Downstate", $D$10="Electric"), "", INDEX('WALL INCENTIVE'!$G$4:$G$59,MATCH(1,($J51='WALL INCENTIVE'!$B$4:$B$59)*($K51='WALL INCENTIVE'!$C$4:$C$59)*($L51='WALL INCENTIVE'!$D$4:$D$59)*IF('WALL INCENTIVE'!$E$4:$E$59="Passive House",($L51="Yes"),($T51&gt;='WALL INCENTIVE'!$E$4:$E$59))*IF('WALL INCENTIVE'!$F$4:$F$59="Passive House",($L51="Yes"),($T51&lt;='WALL INCENTIVE'!$F$4:$F$59)),0))),"")</f>
        <v/>
      </c>
      <c r="AD51" s="466" t="str">
        <f t="shared" si="15"/>
        <v/>
      </c>
      <c r="AE51" s="467" t="str" cm="1">
        <f t="array" ref="AE51">IFERROR(IF(AND($AH$26="Downstate", $D$10="Electric"), "", INDEX('WALL INCENTIVE'!$H$4:$H$59,MATCH(1,($J51='WALL INCENTIVE'!$B$4:$B$59)*($K51='WALL INCENTIVE'!$C$4:$C$59)*($L51='WALL INCENTIVE'!$D$4:$D$59)*IF('WALL INCENTIVE'!$E$4:$E$59="Passive House",($L51="Yes"),($T51&gt;='WALL INCENTIVE'!$E$4:$E$59))*IF('WALL INCENTIVE'!$F$4:$F$59="Passive House",($L51="Yes"),($T51&lt;='WALL INCENTIVE'!$F$4:$F$59)),0))),"")</f>
        <v/>
      </c>
      <c r="AF51" s="468" t="str" cm="1">
        <f t="array" ref="AF51">IFERROR(IF(AND($AH$26="Downstate", $D$10="Electric"), "", INDEX('WALL INCENTIVE'!$I$4:$I$59,MATCH(1,($J51='WALL INCENTIVE'!$B$4:$B$59)*($K51='WALL INCENTIVE'!$C$4:$C$59)*($L51='WALL INCENTIVE'!$D$4:$D$59)*IF('WALL INCENTIVE'!$E$4:$E$59="Passive House",($L51="Yes"),($T51&gt;='WALL INCENTIVE'!$E$4:$E$59))*IF('WALL INCENTIVE'!$F$4:$F$59="Passive House",($L51="Yes"),($T51&lt;='WALL INCENTIVE'!$F$4:$F$59)),0))),"")</f>
        <v/>
      </c>
      <c r="AG51" s="143"/>
      <c r="AH51" s="65"/>
      <c r="AI51" s="65"/>
      <c r="AJ51" s="65"/>
    </row>
    <row r="52" spans="2:36" x14ac:dyDescent="0.25">
      <c r="B52" s="339">
        <v>25</v>
      </c>
      <c r="C52" s="712"/>
      <c r="D52" s="712"/>
      <c r="E52" s="712"/>
      <c r="F52" s="712"/>
      <c r="G52" s="713"/>
      <c r="H52" s="712"/>
      <c r="I52" s="715"/>
      <c r="J52" s="462" t="str">
        <f t="shared" si="0"/>
        <v/>
      </c>
      <c r="K52" s="339" t="str">
        <f t="shared" si="3"/>
        <v/>
      </c>
      <c r="L52" s="339" t="str">
        <f t="shared" si="4"/>
        <v/>
      </c>
      <c r="M52" s="339" t="str">
        <f t="shared" si="5"/>
        <v/>
      </c>
      <c r="N52" s="339" t="str">
        <f t="shared" si="1"/>
        <v/>
      </c>
      <c r="O52" s="339" t="str">
        <f t="shared" si="6"/>
        <v/>
      </c>
      <c r="P52" s="339" t="str">
        <f t="shared" si="7"/>
        <v/>
      </c>
      <c r="Q52" s="264"/>
      <c r="R52" s="462" t="str" cm="1">
        <f t="array" ref="R52">IFERROR(IF($M52="Retrofit",_xlfn.XLOOKUP($D$5,'TRM V13 Appendix A'!$B$13:$B$33,'TRM V13 Appendix A'!$C$13:$C$33,""),IF(OR($N52="",$F52=""),"",_xlfn.XLOOKUP($F52,'WALL CODE'!$B$4:$B$8,_xlfn.XLOOKUP($N52,'WALL CODE'!$C$3:$E$3,'WALL CODE'!$C$4:$E$8,""),""))),"")</f>
        <v/>
      </c>
      <c r="S52" s="462" t="str">
        <f t="shared" si="8"/>
        <v/>
      </c>
      <c r="T52" s="462" t="str">
        <f t="shared" si="9"/>
        <v/>
      </c>
      <c r="U52" s="463" t="str">
        <f t="shared" si="10"/>
        <v/>
      </c>
      <c r="V52" s="463" t="str">
        <f t="shared" si="11"/>
        <v/>
      </c>
      <c r="W52" s="463" t="str">
        <f t="shared" si="12"/>
        <v/>
      </c>
      <c r="X52" s="464" t="str">
        <f t="shared" si="13"/>
        <v/>
      </c>
      <c r="Y52" s="351" t="str">
        <f t="shared" si="14"/>
        <v/>
      </c>
      <c r="Z52" s="463" t="str">
        <f t="shared" si="2"/>
        <v/>
      </c>
      <c r="AA52" s="465" t="str">
        <f>IFERROR(IF(C52="", "", W52/'App Cust Info'!$F$24), "")</f>
        <v/>
      </c>
      <c r="AB52" s="465" t="str">
        <f>IFERROR(IF(C52="", "", Z52/'App Cust Info'!$F$26), "")</f>
        <v/>
      </c>
      <c r="AC52" s="466" t="str" cm="1">
        <f t="array" ref="AC52">IFERROR(IF(AND($AH$26="Downstate", $D$10="Electric"), "", INDEX('WALL INCENTIVE'!$G$4:$G$59,MATCH(1,($J52='WALL INCENTIVE'!$B$4:$B$59)*($K52='WALL INCENTIVE'!$C$4:$C$59)*($L52='WALL INCENTIVE'!$D$4:$D$59)*IF('WALL INCENTIVE'!$E$4:$E$59="Passive House",($L52="Yes"),($T52&gt;='WALL INCENTIVE'!$E$4:$E$59))*IF('WALL INCENTIVE'!$F$4:$F$59="Passive House",($L52="Yes"),($T52&lt;='WALL INCENTIVE'!$F$4:$F$59)),0))),"")</f>
        <v/>
      </c>
      <c r="AD52" s="466" t="str">
        <f t="shared" si="15"/>
        <v/>
      </c>
      <c r="AE52" s="467" t="str" cm="1">
        <f t="array" ref="AE52">IFERROR(IF(AND($AH$26="Downstate", $D$10="Electric"), "", INDEX('WALL INCENTIVE'!$H$4:$H$59,MATCH(1,($J52='WALL INCENTIVE'!$B$4:$B$59)*($K52='WALL INCENTIVE'!$C$4:$C$59)*($L52='WALL INCENTIVE'!$D$4:$D$59)*IF('WALL INCENTIVE'!$E$4:$E$59="Passive House",($L52="Yes"),($T52&gt;='WALL INCENTIVE'!$E$4:$E$59))*IF('WALL INCENTIVE'!$F$4:$F$59="Passive House",($L52="Yes"),($T52&lt;='WALL INCENTIVE'!$F$4:$F$59)),0))),"")</f>
        <v/>
      </c>
      <c r="AF52" s="468" t="str" cm="1">
        <f t="array" ref="AF52">IFERROR(IF(AND($AH$26="Downstate", $D$10="Electric"), "", INDEX('WALL INCENTIVE'!$I$4:$I$59,MATCH(1,($J52='WALL INCENTIVE'!$B$4:$B$59)*($K52='WALL INCENTIVE'!$C$4:$C$59)*($L52='WALL INCENTIVE'!$D$4:$D$59)*IF('WALL INCENTIVE'!$E$4:$E$59="Passive House",($L52="Yes"),($T52&gt;='WALL INCENTIVE'!$E$4:$E$59))*IF('WALL INCENTIVE'!$F$4:$F$59="Passive House",($L52="Yes"),($T52&lt;='WALL INCENTIVE'!$F$4:$F$59)),0))),"")</f>
        <v/>
      </c>
      <c r="AG52" s="143"/>
      <c r="AH52" s="65"/>
      <c r="AI52" s="65"/>
      <c r="AJ52" s="65"/>
    </row>
    <row r="53" spans="2:36" x14ac:dyDescent="0.25">
      <c r="B53" s="339">
        <v>26</v>
      </c>
      <c r="C53" s="712"/>
      <c r="D53" s="712"/>
      <c r="E53" s="712"/>
      <c r="F53" s="712"/>
      <c r="G53" s="713"/>
      <c r="H53" s="712"/>
      <c r="I53" s="715"/>
      <c r="J53" s="462" t="str">
        <f t="shared" si="0"/>
        <v/>
      </c>
      <c r="K53" s="339" t="str">
        <f t="shared" si="3"/>
        <v/>
      </c>
      <c r="L53" s="339" t="str">
        <f t="shared" si="4"/>
        <v/>
      </c>
      <c r="M53" s="339" t="str">
        <f t="shared" si="5"/>
        <v/>
      </c>
      <c r="N53" s="339" t="str">
        <f t="shared" si="1"/>
        <v/>
      </c>
      <c r="O53" s="339" t="str">
        <f t="shared" si="6"/>
        <v/>
      </c>
      <c r="P53" s="339" t="str">
        <f t="shared" si="7"/>
        <v/>
      </c>
      <c r="Q53" s="264"/>
      <c r="R53" s="462" t="str" cm="1">
        <f t="array" ref="R53">IFERROR(IF($M53="Retrofit",_xlfn.XLOOKUP($D$5,'TRM V13 Appendix A'!$B$13:$B$33,'TRM V13 Appendix A'!$C$13:$C$33,""),IF(OR($N53="",$F53=""),"",_xlfn.XLOOKUP($F53,'WALL CODE'!$B$4:$B$8,_xlfn.XLOOKUP($N53,'WALL CODE'!$C$3:$E$3,'WALL CODE'!$C$4:$E$8,""),""))),"")</f>
        <v/>
      </c>
      <c r="S53" s="462" t="str">
        <f t="shared" si="8"/>
        <v/>
      </c>
      <c r="T53" s="462" t="str">
        <f t="shared" si="9"/>
        <v/>
      </c>
      <c r="U53" s="463" t="str">
        <f t="shared" si="10"/>
        <v/>
      </c>
      <c r="V53" s="463" t="str">
        <f t="shared" si="11"/>
        <v/>
      </c>
      <c r="W53" s="463" t="str">
        <f t="shared" si="12"/>
        <v/>
      </c>
      <c r="X53" s="464" t="str">
        <f t="shared" si="13"/>
        <v/>
      </c>
      <c r="Y53" s="351" t="str">
        <f t="shared" si="14"/>
        <v/>
      </c>
      <c r="Z53" s="463" t="str">
        <f t="shared" si="2"/>
        <v/>
      </c>
      <c r="AA53" s="465" t="str">
        <f>IFERROR(IF(C53="", "", W53/'App Cust Info'!$F$24), "")</f>
        <v/>
      </c>
      <c r="AB53" s="465" t="str">
        <f>IFERROR(IF(C53="", "", Z53/'App Cust Info'!$F$26), "")</f>
        <v/>
      </c>
      <c r="AC53" s="466" t="str" cm="1">
        <f t="array" ref="AC53">IFERROR(IF(AND($AH$26="Downstate", $D$10="Electric"), "", INDEX('WALL INCENTIVE'!$G$4:$G$59,MATCH(1,($J53='WALL INCENTIVE'!$B$4:$B$59)*($K53='WALL INCENTIVE'!$C$4:$C$59)*($L53='WALL INCENTIVE'!$D$4:$D$59)*IF('WALL INCENTIVE'!$E$4:$E$59="Passive House",($L53="Yes"),($T53&gt;='WALL INCENTIVE'!$E$4:$E$59))*IF('WALL INCENTIVE'!$F$4:$F$59="Passive House",($L53="Yes"),($T53&lt;='WALL INCENTIVE'!$F$4:$F$59)),0))),"")</f>
        <v/>
      </c>
      <c r="AD53" s="466" t="str">
        <f t="shared" si="15"/>
        <v/>
      </c>
      <c r="AE53" s="467" t="str" cm="1">
        <f t="array" ref="AE53">IFERROR(IF(AND($AH$26="Downstate", $D$10="Electric"), "", INDEX('WALL INCENTIVE'!$H$4:$H$59,MATCH(1,($J53='WALL INCENTIVE'!$B$4:$B$59)*($K53='WALL INCENTIVE'!$C$4:$C$59)*($L53='WALL INCENTIVE'!$D$4:$D$59)*IF('WALL INCENTIVE'!$E$4:$E$59="Passive House",($L53="Yes"),($T53&gt;='WALL INCENTIVE'!$E$4:$E$59))*IF('WALL INCENTIVE'!$F$4:$F$59="Passive House",($L53="Yes"),($T53&lt;='WALL INCENTIVE'!$F$4:$F$59)),0))),"")</f>
        <v/>
      </c>
      <c r="AF53" s="468" t="str" cm="1">
        <f t="array" ref="AF53">IFERROR(IF(AND($AH$26="Downstate", $D$10="Electric"), "", INDEX('WALL INCENTIVE'!$I$4:$I$59,MATCH(1,($J53='WALL INCENTIVE'!$B$4:$B$59)*($K53='WALL INCENTIVE'!$C$4:$C$59)*($L53='WALL INCENTIVE'!$D$4:$D$59)*IF('WALL INCENTIVE'!$E$4:$E$59="Passive House",($L53="Yes"),($T53&gt;='WALL INCENTIVE'!$E$4:$E$59))*IF('WALL INCENTIVE'!$F$4:$F$59="Passive House",($L53="Yes"),($T53&lt;='WALL INCENTIVE'!$F$4:$F$59)),0))),"")</f>
        <v/>
      </c>
      <c r="AG53" s="143"/>
      <c r="AH53" s="65"/>
      <c r="AI53" s="65"/>
      <c r="AJ53" s="65"/>
    </row>
    <row r="54" spans="2:36" x14ac:dyDescent="0.25">
      <c r="B54" s="339">
        <v>27</v>
      </c>
      <c r="C54" s="712"/>
      <c r="D54" s="712"/>
      <c r="E54" s="712"/>
      <c r="F54" s="712"/>
      <c r="G54" s="713"/>
      <c r="H54" s="712"/>
      <c r="I54" s="715"/>
      <c r="J54" s="462" t="str">
        <f t="shared" si="0"/>
        <v/>
      </c>
      <c r="K54" s="339" t="str">
        <f t="shared" si="3"/>
        <v/>
      </c>
      <c r="L54" s="339" t="str">
        <f t="shared" si="4"/>
        <v/>
      </c>
      <c r="M54" s="339" t="str">
        <f t="shared" si="5"/>
        <v/>
      </c>
      <c r="N54" s="339" t="str">
        <f t="shared" si="1"/>
        <v/>
      </c>
      <c r="O54" s="339" t="str">
        <f t="shared" si="6"/>
        <v/>
      </c>
      <c r="P54" s="339" t="str">
        <f t="shared" si="7"/>
        <v/>
      </c>
      <c r="Q54" s="264"/>
      <c r="R54" s="462" t="str" cm="1">
        <f t="array" ref="R54">IFERROR(IF($M54="Retrofit",_xlfn.XLOOKUP($D$5,'TRM V13 Appendix A'!$B$13:$B$33,'TRM V13 Appendix A'!$C$13:$C$33,""),IF(OR($N54="",$F54=""),"",_xlfn.XLOOKUP($F54,'WALL CODE'!$B$4:$B$8,_xlfn.XLOOKUP($N54,'WALL CODE'!$C$3:$E$3,'WALL CODE'!$C$4:$E$8,""),""))),"")</f>
        <v/>
      </c>
      <c r="S54" s="462" t="str">
        <f t="shared" si="8"/>
        <v/>
      </c>
      <c r="T54" s="462" t="str">
        <f t="shared" si="9"/>
        <v/>
      </c>
      <c r="U54" s="463" t="str">
        <f t="shared" si="10"/>
        <v/>
      </c>
      <c r="V54" s="463" t="str">
        <f t="shared" si="11"/>
        <v/>
      </c>
      <c r="W54" s="463" t="str">
        <f t="shared" si="12"/>
        <v/>
      </c>
      <c r="X54" s="464" t="str">
        <f t="shared" si="13"/>
        <v/>
      </c>
      <c r="Y54" s="351" t="str">
        <f t="shared" si="14"/>
        <v/>
      </c>
      <c r="Z54" s="463" t="str">
        <f t="shared" si="2"/>
        <v/>
      </c>
      <c r="AA54" s="465" t="str">
        <f>IFERROR(IF(C54="", "", W54/'App Cust Info'!$F$24), "")</f>
        <v/>
      </c>
      <c r="AB54" s="465" t="str">
        <f>IFERROR(IF(C54="", "", Z54/'App Cust Info'!$F$26), "")</f>
        <v/>
      </c>
      <c r="AC54" s="466" t="str" cm="1">
        <f t="array" ref="AC54">IFERROR(IF(AND($AH$26="Downstate", $D$10="Electric"), "", INDEX('WALL INCENTIVE'!$G$4:$G$59,MATCH(1,($J54='WALL INCENTIVE'!$B$4:$B$59)*($K54='WALL INCENTIVE'!$C$4:$C$59)*($L54='WALL INCENTIVE'!$D$4:$D$59)*IF('WALL INCENTIVE'!$E$4:$E$59="Passive House",($L54="Yes"),($T54&gt;='WALL INCENTIVE'!$E$4:$E$59))*IF('WALL INCENTIVE'!$F$4:$F$59="Passive House",($L54="Yes"),($T54&lt;='WALL INCENTIVE'!$F$4:$F$59)),0))),"")</f>
        <v/>
      </c>
      <c r="AD54" s="466" t="str">
        <f t="shared" si="15"/>
        <v/>
      </c>
      <c r="AE54" s="467" t="str" cm="1">
        <f t="array" ref="AE54">IFERROR(IF(AND($AH$26="Downstate", $D$10="Electric"), "", INDEX('WALL INCENTIVE'!$H$4:$H$59,MATCH(1,($J54='WALL INCENTIVE'!$B$4:$B$59)*($K54='WALL INCENTIVE'!$C$4:$C$59)*($L54='WALL INCENTIVE'!$D$4:$D$59)*IF('WALL INCENTIVE'!$E$4:$E$59="Passive House",($L54="Yes"),($T54&gt;='WALL INCENTIVE'!$E$4:$E$59))*IF('WALL INCENTIVE'!$F$4:$F$59="Passive House",($L54="Yes"),($T54&lt;='WALL INCENTIVE'!$F$4:$F$59)),0))),"")</f>
        <v/>
      </c>
      <c r="AF54" s="468" t="str" cm="1">
        <f t="array" ref="AF54">IFERROR(IF(AND($AH$26="Downstate", $D$10="Electric"), "", INDEX('WALL INCENTIVE'!$I$4:$I$59,MATCH(1,($J54='WALL INCENTIVE'!$B$4:$B$59)*($K54='WALL INCENTIVE'!$C$4:$C$59)*($L54='WALL INCENTIVE'!$D$4:$D$59)*IF('WALL INCENTIVE'!$E$4:$E$59="Passive House",($L54="Yes"),($T54&gt;='WALL INCENTIVE'!$E$4:$E$59))*IF('WALL INCENTIVE'!$F$4:$F$59="Passive House",($L54="Yes"),($T54&lt;='WALL INCENTIVE'!$F$4:$F$59)),0))),"")</f>
        <v/>
      </c>
      <c r="AG54" s="143"/>
      <c r="AH54" s="65"/>
      <c r="AI54" s="65"/>
      <c r="AJ54" s="65"/>
    </row>
    <row r="55" spans="2:36" x14ac:dyDescent="0.25">
      <c r="B55" s="339">
        <v>28</v>
      </c>
      <c r="C55" s="712"/>
      <c r="D55" s="712"/>
      <c r="E55" s="712"/>
      <c r="F55" s="712"/>
      <c r="G55" s="713"/>
      <c r="H55" s="712"/>
      <c r="I55" s="715"/>
      <c r="J55" s="462" t="str">
        <f t="shared" si="0"/>
        <v/>
      </c>
      <c r="K55" s="339" t="str">
        <f t="shared" si="3"/>
        <v/>
      </c>
      <c r="L55" s="339" t="str">
        <f t="shared" si="4"/>
        <v/>
      </c>
      <c r="M55" s="339" t="str">
        <f t="shared" si="5"/>
        <v/>
      </c>
      <c r="N55" s="339" t="str">
        <f t="shared" si="1"/>
        <v/>
      </c>
      <c r="O55" s="339" t="str">
        <f t="shared" si="6"/>
        <v/>
      </c>
      <c r="P55" s="339" t="str">
        <f t="shared" si="7"/>
        <v/>
      </c>
      <c r="Q55" s="264"/>
      <c r="R55" s="462" t="str" cm="1">
        <f t="array" ref="R55">IFERROR(IF($M55="Retrofit",_xlfn.XLOOKUP($D$5,'TRM V13 Appendix A'!$B$13:$B$33,'TRM V13 Appendix A'!$C$13:$C$33,""),IF(OR($N55="",$F55=""),"",_xlfn.XLOOKUP($F55,'WALL CODE'!$B$4:$B$8,_xlfn.XLOOKUP($N55,'WALL CODE'!$C$3:$E$3,'WALL CODE'!$C$4:$E$8,""),""))),"")</f>
        <v/>
      </c>
      <c r="S55" s="462" t="str">
        <f t="shared" si="8"/>
        <v/>
      </c>
      <c r="T55" s="462" t="str">
        <f t="shared" si="9"/>
        <v/>
      </c>
      <c r="U55" s="463" t="str">
        <f t="shared" si="10"/>
        <v/>
      </c>
      <c r="V55" s="463" t="str">
        <f t="shared" si="11"/>
        <v/>
      </c>
      <c r="W55" s="463" t="str">
        <f t="shared" si="12"/>
        <v/>
      </c>
      <c r="X55" s="464" t="str">
        <f t="shared" si="13"/>
        <v/>
      </c>
      <c r="Y55" s="351" t="str">
        <f t="shared" si="14"/>
        <v/>
      </c>
      <c r="Z55" s="463" t="str">
        <f t="shared" si="2"/>
        <v/>
      </c>
      <c r="AA55" s="465" t="str">
        <f>IFERROR(IF(C55="", "", W55/'App Cust Info'!$F$24), "")</f>
        <v/>
      </c>
      <c r="AB55" s="465" t="str">
        <f>IFERROR(IF(C55="", "", Z55/'App Cust Info'!$F$26), "")</f>
        <v/>
      </c>
      <c r="AC55" s="466" t="str" cm="1">
        <f t="array" ref="AC55">IFERROR(IF(AND($AH$26="Downstate", $D$10="Electric"), "", INDEX('WALL INCENTIVE'!$G$4:$G$59,MATCH(1,($J55='WALL INCENTIVE'!$B$4:$B$59)*($K55='WALL INCENTIVE'!$C$4:$C$59)*($L55='WALL INCENTIVE'!$D$4:$D$59)*IF('WALL INCENTIVE'!$E$4:$E$59="Passive House",($L55="Yes"),($T55&gt;='WALL INCENTIVE'!$E$4:$E$59))*IF('WALL INCENTIVE'!$F$4:$F$59="Passive House",($L55="Yes"),($T55&lt;='WALL INCENTIVE'!$F$4:$F$59)),0))),"")</f>
        <v/>
      </c>
      <c r="AD55" s="466" t="str">
        <f t="shared" si="15"/>
        <v/>
      </c>
      <c r="AE55" s="467" t="str" cm="1">
        <f t="array" ref="AE55">IFERROR(IF(AND($AH$26="Downstate", $D$10="Electric"), "", INDEX('WALL INCENTIVE'!$H$4:$H$59,MATCH(1,($J55='WALL INCENTIVE'!$B$4:$B$59)*($K55='WALL INCENTIVE'!$C$4:$C$59)*($L55='WALL INCENTIVE'!$D$4:$D$59)*IF('WALL INCENTIVE'!$E$4:$E$59="Passive House",($L55="Yes"),($T55&gt;='WALL INCENTIVE'!$E$4:$E$59))*IF('WALL INCENTIVE'!$F$4:$F$59="Passive House",($L55="Yes"),($T55&lt;='WALL INCENTIVE'!$F$4:$F$59)),0))),"")</f>
        <v/>
      </c>
      <c r="AF55" s="468" t="str" cm="1">
        <f t="array" ref="AF55">IFERROR(IF(AND($AH$26="Downstate", $D$10="Electric"), "", INDEX('WALL INCENTIVE'!$I$4:$I$59,MATCH(1,($J55='WALL INCENTIVE'!$B$4:$B$59)*($K55='WALL INCENTIVE'!$C$4:$C$59)*($L55='WALL INCENTIVE'!$D$4:$D$59)*IF('WALL INCENTIVE'!$E$4:$E$59="Passive House",($L55="Yes"),($T55&gt;='WALL INCENTIVE'!$E$4:$E$59))*IF('WALL INCENTIVE'!$F$4:$F$59="Passive House",($L55="Yes"),($T55&lt;='WALL INCENTIVE'!$F$4:$F$59)),0))),"")</f>
        <v/>
      </c>
      <c r="AG55" s="143"/>
      <c r="AH55" s="65"/>
      <c r="AI55" s="65"/>
      <c r="AJ55" s="65"/>
    </row>
    <row r="56" spans="2:36" x14ac:dyDescent="0.25">
      <c r="B56" s="339">
        <v>29</v>
      </c>
      <c r="C56" s="712"/>
      <c r="D56" s="712"/>
      <c r="E56" s="712"/>
      <c r="F56" s="712"/>
      <c r="G56" s="713"/>
      <c r="H56" s="712"/>
      <c r="I56" s="715"/>
      <c r="J56" s="462" t="str">
        <f t="shared" si="0"/>
        <v/>
      </c>
      <c r="K56" s="339" t="str">
        <f t="shared" si="3"/>
        <v/>
      </c>
      <c r="L56" s="339" t="str">
        <f t="shared" si="4"/>
        <v/>
      </c>
      <c r="M56" s="339" t="str">
        <f t="shared" si="5"/>
        <v/>
      </c>
      <c r="N56" s="339" t="str">
        <f t="shared" si="1"/>
        <v/>
      </c>
      <c r="O56" s="339" t="str">
        <f t="shared" si="6"/>
        <v/>
      </c>
      <c r="P56" s="339" t="str">
        <f t="shared" si="7"/>
        <v/>
      </c>
      <c r="Q56" s="264"/>
      <c r="R56" s="462" t="str" cm="1">
        <f t="array" ref="R56">IFERROR(IF($M56="Retrofit",_xlfn.XLOOKUP($D$5,'TRM V13 Appendix A'!$B$13:$B$33,'TRM V13 Appendix A'!$C$13:$C$33,""),IF(OR($N56="",$F56=""),"",_xlfn.XLOOKUP($F56,'WALL CODE'!$B$4:$B$8,_xlfn.XLOOKUP($N56,'WALL CODE'!$C$3:$E$3,'WALL CODE'!$C$4:$E$8,""),""))),"")</f>
        <v/>
      </c>
      <c r="S56" s="462" t="str">
        <f t="shared" si="8"/>
        <v/>
      </c>
      <c r="T56" s="462" t="str">
        <f t="shared" si="9"/>
        <v/>
      </c>
      <c r="U56" s="463" t="str">
        <f t="shared" si="10"/>
        <v/>
      </c>
      <c r="V56" s="463" t="str">
        <f t="shared" si="11"/>
        <v/>
      </c>
      <c r="W56" s="463" t="str">
        <f t="shared" si="12"/>
        <v/>
      </c>
      <c r="X56" s="464" t="str">
        <f t="shared" si="13"/>
        <v/>
      </c>
      <c r="Y56" s="351" t="str">
        <f t="shared" si="14"/>
        <v/>
      </c>
      <c r="Z56" s="463" t="str">
        <f t="shared" si="2"/>
        <v/>
      </c>
      <c r="AA56" s="465" t="str">
        <f>IFERROR(IF(C56="", "", W56/'App Cust Info'!$F$24), "")</f>
        <v/>
      </c>
      <c r="AB56" s="465" t="str">
        <f>IFERROR(IF(C56="", "", Z56/'App Cust Info'!$F$26), "")</f>
        <v/>
      </c>
      <c r="AC56" s="466" t="str" cm="1">
        <f t="array" ref="AC56">IFERROR(IF(AND($AH$26="Downstate", $D$10="Electric"), "", INDEX('WALL INCENTIVE'!$G$4:$G$59,MATCH(1,($J56='WALL INCENTIVE'!$B$4:$B$59)*($K56='WALL INCENTIVE'!$C$4:$C$59)*($L56='WALL INCENTIVE'!$D$4:$D$59)*IF('WALL INCENTIVE'!$E$4:$E$59="Passive House",($L56="Yes"),($T56&gt;='WALL INCENTIVE'!$E$4:$E$59))*IF('WALL INCENTIVE'!$F$4:$F$59="Passive House",($L56="Yes"),($T56&lt;='WALL INCENTIVE'!$F$4:$F$59)),0))),"")</f>
        <v/>
      </c>
      <c r="AD56" s="466" t="str">
        <f t="shared" si="15"/>
        <v/>
      </c>
      <c r="AE56" s="467" t="str" cm="1">
        <f t="array" ref="AE56">IFERROR(IF(AND($AH$26="Downstate", $D$10="Electric"), "", INDEX('WALL INCENTIVE'!$H$4:$H$59,MATCH(1,($J56='WALL INCENTIVE'!$B$4:$B$59)*($K56='WALL INCENTIVE'!$C$4:$C$59)*($L56='WALL INCENTIVE'!$D$4:$D$59)*IF('WALL INCENTIVE'!$E$4:$E$59="Passive House",($L56="Yes"),($T56&gt;='WALL INCENTIVE'!$E$4:$E$59))*IF('WALL INCENTIVE'!$F$4:$F$59="Passive House",($L56="Yes"),($T56&lt;='WALL INCENTIVE'!$F$4:$F$59)),0))),"")</f>
        <v/>
      </c>
      <c r="AF56" s="468" t="str" cm="1">
        <f t="array" ref="AF56">IFERROR(IF(AND($AH$26="Downstate", $D$10="Electric"), "", INDEX('WALL INCENTIVE'!$I$4:$I$59,MATCH(1,($J56='WALL INCENTIVE'!$B$4:$B$59)*($K56='WALL INCENTIVE'!$C$4:$C$59)*($L56='WALL INCENTIVE'!$D$4:$D$59)*IF('WALL INCENTIVE'!$E$4:$E$59="Passive House",($L56="Yes"),($T56&gt;='WALL INCENTIVE'!$E$4:$E$59))*IF('WALL INCENTIVE'!$F$4:$F$59="Passive House",($L56="Yes"),($T56&lt;='WALL INCENTIVE'!$F$4:$F$59)),0))),"")</f>
        <v/>
      </c>
      <c r="AG56" s="143"/>
      <c r="AH56" s="65"/>
      <c r="AI56" s="65"/>
      <c r="AJ56" s="65"/>
    </row>
    <row r="57" spans="2:36" x14ac:dyDescent="0.25">
      <c r="B57" s="339">
        <v>30</v>
      </c>
      <c r="C57" s="712"/>
      <c r="D57" s="712"/>
      <c r="E57" s="712"/>
      <c r="F57" s="712"/>
      <c r="G57" s="713"/>
      <c r="H57" s="712"/>
      <c r="I57" s="715"/>
      <c r="J57" s="462" t="str">
        <f t="shared" si="0"/>
        <v/>
      </c>
      <c r="K57" s="339" t="str">
        <f t="shared" si="3"/>
        <v/>
      </c>
      <c r="L57" s="339" t="str">
        <f t="shared" si="4"/>
        <v/>
      </c>
      <c r="M57" s="339" t="str">
        <f t="shared" si="5"/>
        <v/>
      </c>
      <c r="N57" s="339" t="str">
        <f t="shared" si="1"/>
        <v/>
      </c>
      <c r="O57" s="339" t="str">
        <f t="shared" si="6"/>
        <v/>
      </c>
      <c r="P57" s="339" t="str">
        <f t="shared" si="7"/>
        <v/>
      </c>
      <c r="Q57" s="264"/>
      <c r="R57" s="462" t="str" cm="1">
        <f t="array" ref="R57">IFERROR(IF($M57="Retrofit",_xlfn.XLOOKUP($D$5,'TRM V13 Appendix A'!$B$13:$B$33,'TRM V13 Appendix A'!$C$13:$C$33,""),IF(OR($N57="",$F57=""),"",_xlfn.XLOOKUP($F57,'WALL CODE'!$B$4:$B$8,_xlfn.XLOOKUP($N57,'WALL CODE'!$C$3:$E$3,'WALL CODE'!$C$4:$E$8,""),""))),"")</f>
        <v/>
      </c>
      <c r="S57" s="462" t="str">
        <f t="shared" si="8"/>
        <v/>
      </c>
      <c r="T57" s="462" t="str">
        <f t="shared" si="9"/>
        <v/>
      </c>
      <c r="U57" s="463" t="str">
        <f t="shared" si="10"/>
        <v/>
      </c>
      <c r="V57" s="463" t="str">
        <f t="shared" si="11"/>
        <v/>
      </c>
      <c r="W57" s="463" t="str">
        <f t="shared" si="12"/>
        <v/>
      </c>
      <c r="X57" s="464" t="str">
        <f t="shared" si="13"/>
        <v/>
      </c>
      <c r="Y57" s="351" t="str">
        <f t="shared" si="14"/>
        <v/>
      </c>
      <c r="Z57" s="463" t="str">
        <f t="shared" si="2"/>
        <v/>
      </c>
      <c r="AA57" s="465" t="str">
        <f>IFERROR(IF(C57="", "", W57/'App Cust Info'!$F$24), "")</f>
        <v/>
      </c>
      <c r="AB57" s="465" t="str">
        <f>IFERROR(IF(C57="", "", Z57/'App Cust Info'!$F$26), "")</f>
        <v/>
      </c>
      <c r="AC57" s="466" t="str" cm="1">
        <f t="array" ref="AC57">IFERROR(IF(AND($AH$26="Downstate", $D$10="Electric"), "", INDEX('WALL INCENTIVE'!$G$4:$G$59,MATCH(1,($J57='WALL INCENTIVE'!$B$4:$B$59)*($K57='WALL INCENTIVE'!$C$4:$C$59)*($L57='WALL INCENTIVE'!$D$4:$D$59)*IF('WALL INCENTIVE'!$E$4:$E$59="Passive House",($L57="Yes"),($T57&gt;='WALL INCENTIVE'!$E$4:$E$59))*IF('WALL INCENTIVE'!$F$4:$F$59="Passive House",($L57="Yes"),($T57&lt;='WALL INCENTIVE'!$F$4:$F$59)),0))),"")</f>
        <v/>
      </c>
      <c r="AD57" s="466" t="str">
        <f t="shared" si="15"/>
        <v/>
      </c>
      <c r="AE57" s="467" t="str" cm="1">
        <f t="array" ref="AE57">IFERROR(IF(AND($AH$26="Downstate", $D$10="Electric"), "", INDEX('WALL INCENTIVE'!$H$4:$H$59,MATCH(1,($J57='WALL INCENTIVE'!$B$4:$B$59)*($K57='WALL INCENTIVE'!$C$4:$C$59)*($L57='WALL INCENTIVE'!$D$4:$D$59)*IF('WALL INCENTIVE'!$E$4:$E$59="Passive House",($L57="Yes"),($T57&gt;='WALL INCENTIVE'!$E$4:$E$59))*IF('WALL INCENTIVE'!$F$4:$F$59="Passive House",($L57="Yes"),($T57&lt;='WALL INCENTIVE'!$F$4:$F$59)),0))),"")</f>
        <v/>
      </c>
      <c r="AF57" s="468" t="str" cm="1">
        <f t="array" ref="AF57">IFERROR(IF(AND($AH$26="Downstate", $D$10="Electric"), "", INDEX('WALL INCENTIVE'!$I$4:$I$59,MATCH(1,($J57='WALL INCENTIVE'!$B$4:$B$59)*($K57='WALL INCENTIVE'!$C$4:$C$59)*($L57='WALL INCENTIVE'!$D$4:$D$59)*IF('WALL INCENTIVE'!$E$4:$E$59="Passive House",($L57="Yes"),($T57&gt;='WALL INCENTIVE'!$E$4:$E$59))*IF('WALL INCENTIVE'!$F$4:$F$59="Passive House",($L57="Yes"),($T57&lt;='WALL INCENTIVE'!$F$4:$F$59)),0))),"")</f>
        <v/>
      </c>
      <c r="AG57" s="143"/>
      <c r="AH57" s="65"/>
      <c r="AI57" s="65"/>
      <c r="AJ57" s="65"/>
    </row>
    <row r="58" spans="2:36" x14ac:dyDescent="0.25">
      <c r="B58" s="339">
        <v>31</v>
      </c>
      <c r="C58" s="712"/>
      <c r="D58" s="712"/>
      <c r="E58" s="712"/>
      <c r="F58" s="712"/>
      <c r="G58" s="713"/>
      <c r="H58" s="712"/>
      <c r="I58" s="715"/>
      <c r="J58" s="462" t="str">
        <f t="shared" si="0"/>
        <v/>
      </c>
      <c r="K58" s="339" t="str">
        <f t="shared" si="3"/>
        <v/>
      </c>
      <c r="L58" s="339" t="str">
        <f t="shared" si="4"/>
        <v/>
      </c>
      <c r="M58" s="339" t="str">
        <f t="shared" si="5"/>
        <v/>
      </c>
      <c r="N58" s="339" t="str">
        <f t="shared" si="1"/>
        <v/>
      </c>
      <c r="O58" s="339" t="str">
        <f t="shared" si="6"/>
        <v/>
      </c>
      <c r="P58" s="339" t="str">
        <f t="shared" si="7"/>
        <v/>
      </c>
      <c r="Q58" s="264"/>
      <c r="R58" s="462" t="str" cm="1">
        <f t="array" ref="R58">IFERROR(IF($M58="Retrofit",_xlfn.XLOOKUP($D$5,'TRM V13 Appendix A'!$B$13:$B$33,'TRM V13 Appendix A'!$C$13:$C$33,""),IF(OR($N58="",$F58=""),"",_xlfn.XLOOKUP($F58,'WALL CODE'!$B$4:$B$8,_xlfn.XLOOKUP($N58,'WALL CODE'!$C$3:$E$3,'WALL CODE'!$C$4:$E$8,""),""))),"")</f>
        <v/>
      </c>
      <c r="S58" s="462" t="str">
        <f t="shared" si="8"/>
        <v/>
      </c>
      <c r="T58" s="462" t="str">
        <f t="shared" si="9"/>
        <v/>
      </c>
      <c r="U58" s="463" t="str">
        <f t="shared" si="10"/>
        <v/>
      </c>
      <c r="V58" s="463" t="str">
        <f t="shared" si="11"/>
        <v/>
      </c>
      <c r="W58" s="463" t="str">
        <f t="shared" si="12"/>
        <v/>
      </c>
      <c r="X58" s="464" t="str">
        <f t="shared" si="13"/>
        <v/>
      </c>
      <c r="Y58" s="351" t="str">
        <f t="shared" si="14"/>
        <v/>
      </c>
      <c r="Z58" s="463" t="str">
        <f t="shared" si="2"/>
        <v/>
      </c>
      <c r="AA58" s="465" t="str">
        <f>IFERROR(IF(C58="", "", W58/'App Cust Info'!$F$24), "")</f>
        <v/>
      </c>
      <c r="AB58" s="465" t="str">
        <f>IFERROR(IF(C58="", "", Z58/'App Cust Info'!$F$26), "")</f>
        <v/>
      </c>
      <c r="AC58" s="466" t="str" cm="1">
        <f t="array" ref="AC58">IFERROR(IF(AND($AH$26="Downstate", $D$10="Electric"), "", INDEX('WALL INCENTIVE'!$G$4:$G$59,MATCH(1,($J58='WALL INCENTIVE'!$B$4:$B$59)*($K58='WALL INCENTIVE'!$C$4:$C$59)*($L58='WALL INCENTIVE'!$D$4:$D$59)*IF('WALL INCENTIVE'!$E$4:$E$59="Passive House",($L58="Yes"),($T58&gt;='WALL INCENTIVE'!$E$4:$E$59))*IF('WALL INCENTIVE'!$F$4:$F$59="Passive House",($L58="Yes"),($T58&lt;='WALL INCENTIVE'!$F$4:$F$59)),0))),"")</f>
        <v/>
      </c>
      <c r="AD58" s="466" t="str">
        <f t="shared" si="15"/>
        <v/>
      </c>
      <c r="AE58" s="467" t="str" cm="1">
        <f t="array" ref="AE58">IFERROR(IF(AND($AH$26="Downstate", $D$10="Electric"), "", INDEX('WALL INCENTIVE'!$H$4:$H$59,MATCH(1,($J58='WALL INCENTIVE'!$B$4:$B$59)*($K58='WALL INCENTIVE'!$C$4:$C$59)*($L58='WALL INCENTIVE'!$D$4:$D$59)*IF('WALL INCENTIVE'!$E$4:$E$59="Passive House",($L58="Yes"),($T58&gt;='WALL INCENTIVE'!$E$4:$E$59))*IF('WALL INCENTIVE'!$F$4:$F$59="Passive House",($L58="Yes"),($T58&lt;='WALL INCENTIVE'!$F$4:$F$59)),0))),"")</f>
        <v/>
      </c>
      <c r="AF58" s="468" t="str" cm="1">
        <f t="array" ref="AF58">IFERROR(IF(AND($AH$26="Downstate", $D$10="Electric"), "", INDEX('WALL INCENTIVE'!$I$4:$I$59,MATCH(1,($J58='WALL INCENTIVE'!$B$4:$B$59)*($K58='WALL INCENTIVE'!$C$4:$C$59)*($L58='WALL INCENTIVE'!$D$4:$D$59)*IF('WALL INCENTIVE'!$E$4:$E$59="Passive House",($L58="Yes"),($T58&gt;='WALL INCENTIVE'!$E$4:$E$59))*IF('WALL INCENTIVE'!$F$4:$F$59="Passive House",($L58="Yes"),($T58&lt;='WALL INCENTIVE'!$F$4:$F$59)),0))),"")</f>
        <v/>
      </c>
      <c r="AG58" s="143"/>
      <c r="AH58" s="65"/>
      <c r="AI58" s="65"/>
      <c r="AJ58" s="65"/>
    </row>
    <row r="59" spans="2:36" x14ac:dyDescent="0.25">
      <c r="B59" s="339">
        <v>32</v>
      </c>
      <c r="C59" s="712"/>
      <c r="D59" s="712"/>
      <c r="E59" s="712"/>
      <c r="F59" s="712"/>
      <c r="G59" s="713"/>
      <c r="H59" s="712"/>
      <c r="I59" s="715"/>
      <c r="J59" s="462" t="str">
        <f t="shared" si="0"/>
        <v/>
      </c>
      <c r="K59" s="339" t="str">
        <f t="shared" si="3"/>
        <v/>
      </c>
      <c r="L59" s="339" t="str">
        <f t="shared" si="4"/>
        <v/>
      </c>
      <c r="M59" s="339" t="str">
        <f t="shared" si="5"/>
        <v/>
      </c>
      <c r="N59" s="339" t="str">
        <f t="shared" si="1"/>
        <v/>
      </c>
      <c r="O59" s="339" t="str">
        <f t="shared" si="6"/>
        <v/>
      </c>
      <c r="P59" s="339" t="str">
        <f t="shared" si="7"/>
        <v/>
      </c>
      <c r="Q59" s="264"/>
      <c r="R59" s="462" t="str" cm="1">
        <f t="array" ref="R59">IFERROR(IF($M59="Retrofit",_xlfn.XLOOKUP($D$5,'TRM V13 Appendix A'!$B$13:$B$33,'TRM V13 Appendix A'!$C$13:$C$33,""),IF(OR($N59="",$F59=""),"",_xlfn.XLOOKUP($F59,'WALL CODE'!$B$4:$B$8,_xlfn.XLOOKUP($N59,'WALL CODE'!$C$3:$E$3,'WALL CODE'!$C$4:$E$8,""),""))),"")</f>
        <v/>
      </c>
      <c r="S59" s="462" t="str">
        <f t="shared" si="8"/>
        <v/>
      </c>
      <c r="T59" s="462" t="str">
        <f t="shared" si="9"/>
        <v/>
      </c>
      <c r="U59" s="463" t="str">
        <f t="shared" si="10"/>
        <v/>
      </c>
      <c r="V59" s="463" t="str">
        <f t="shared" si="11"/>
        <v/>
      </c>
      <c r="W59" s="463" t="str">
        <f t="shared" si="12"/>
        <v/>
      </c>
      <c r="X59" s="464" t="str">
        <f t="shared" si="13"/>
        <v/>
      </c>
      <c r="Y59" s="351" t="str">
        <f t="shared" si="14"/>
        <v/>
      </c>
      <c r="Z59" s="463" t="str">
        <f t="shared" si="2"/>
        <v/>
      </c>
      <c r="AA59" s="465" t="str">
        <f>IFERROR(IF(C59="", "", W59/'App Cust Info'!$F$24), "")</f>
        <v/>
      </c>
      <c r="AB59" s="465" t="str">
        <f>IFERROR(IF(C59="", "", Z59/'App Cust Info'!$F$26), "")</f>
        <v/>
      </c>
      <c r="AC59" s="466" t="str" cm="1">
        <f t="array" ref="AC59">IFERROR(IF(AND($AH$26="Downstate", $D$10="Electric"), "", INDEX('WALL INCENTIVE'!$G$4:$G$59,MATCH(1,($J59='WALL INCENTIVE'!$B$4:$B$59)*($K59='WALL INCENTIVE'!$C$4:$C$59)*($L59='WALL INCENTIVE'!$D$4:$D$59)*IF('WALL INCENTIVE'!$E$4:$E$59="Passive House",($L59="Yes"),($T59&gt;='WALL INCENTIVE'!$E$4:$E$59))*IF('WALL INCENTIVE'!$F$4:$F$59="Passive House",($L59="Yes"),($T59&lt;='WALL INCENTIVE'!$F$4:$F$59)),0))),"")</f>
        <v/>
      </c>
      <c r="AD59" s="466" t="str">
        <f t="shared" si="15"/>
        <v/>
      </c>
      <c r="AE59" s="467" t="str" cm="1">
        <f t="array" ref="AE59">IFERROR(IF(AND($AH$26="Downstate", $D$10="Electric"), "", INDEX('WALL INCENTIVE'!$H$4:$H$59,MATCH(1,($J59='WALL INCENTIVE'!$B$4:$B$59)*($K59='WALL INCENTIVE'!$C$4:$C$59)*($L59='WALL INCENTIVE'!$D$4:$D$59)*IF('WALL INCENTIVE'!$E$4:$E$59="Passive House",($L59="Yes"),($T59&gt;='WALL INCENTIVE'!$E$4:$E$59))*IF('WALL INCENTIVE'!$F$4:$F$59="Passive House",($L59="Yes"),($T59&lt;='WALL INCENTIVE'!$F$4:$F$59)),0))),"")</f>
        <v/>
      </c>
      <c r="AF59" s="468" t="str" cm="1">
        <f t="array" ref="AF59">IFERROR(IF(AND($AH$26="Downstate", $D$10="Electric"), "", INDEX('WALL INCENTIVE'!$I$4:$I$59,MATCH(1,($J59='WALL INCENTIVE'!$B$4:$B$59)*($K59='WALL INCENTIVE'!$C$4:$C$59)*($L59='WALL INCENTIVE'!$D$4:$D$59)*IF('WALL INCENTIVE'!$E$4:$E$59="Passive House",($L59="Yes"),($T59&gt;='WALL INCENTIVE'!$E$4:$E$59))*IF('WALL INCENTIVE'!$F$4:$F$59="Passive House",($L59="Yes"),($T59&lt;='WALL INCENTIVE'!$F$4:$F$59)),0))),"")</f>
        <v/>
      </c>
      <c r="AG59" s="143"/>
      <c r="AH59" s="65"/>
      <c r="AI59" s="65"/>
      <c r="AJ59" s="65"/>
    </row>
    <row r="60" spans="2:36" x14ac:dyDescent="0.25">
      <c r="B60" s="339">
        <v>33</v>
      </c>
      <c r="C60" s="712"/>
      <c r="D60" s="712"/>
      <c r="E60" s="712"/>
      <c r="F60" s="712"/>
      <c r="G60" s="713"/>
      <c r="H60" s="712"/>
      <c r="I60" s="715"/>
      <c r="J60" s="462" t="str">
        <f t="shared" ref="J60:J77" si="16">IF(C60="", "", $AN$26)</f>
        <v/>
      </c>
      <c r="K60" s="339" t="str">
        <f t="shared" si="3"/>
        <v/>
      </c>
      <c r="L60" s="339" t="str">
        <f t="shared" si="4"/>
        <v/>
      </c>
      <c r="M60" s="339" t="str">
        <f t="shared" si="5"/>
        <v/>
      </c>
      <c r="N60" s="339" t="str">
        <f t="shared" si="1"/>
        <v/>
      </c>
      <c r="O60" s="339" t="str">
        <f t="shared" si="6"/>
        <v/>
      </c>
      <c r="P60" s="339" t="str">
        <f t="shared" si="7"/>
        <v/>
      </c>
      <c r="Q60" s="264"/>
      <c r="R60" s="462" t="str" cm="1">
        <f t="array" ref="R60">IFERROR(IF($M60="Retrofit",_xlfn.XLOOKUP($D$5,'TRM V13 Appendix A'!$B$13:$B$33,'TRM V13 Appendix A'!$C$13:$C$33,""),IF(OR($N60="",$F60=""),"",_xlfn.XLOOKUP($F60,'WALL CODE'!$B$4:$B$8,_xlfn.XLOOKUP($N60,'WALL CODE'!$C$3:$E$3,'WALL CODE'!$C$4:$E$8,""),""))),"")</f>
        <v/>
      </c>
      <c r="S60" s="462" t="str">
        <f t="shared" si="8"/>
        <v/>
      </c>
      <c r="T60" s="462" t="str">
        <f t="shared" si="9"/>
        <v/>
      </c>
      <c r="U60" s="463" t="str">
        <f t="shared" si="10"/>
        <v/>
      </c>
      <c r="V60" s="463" t="str">
        <f t="shared" si="11"/>
        <v/>
      </c>
      <c r="W60" s="463" t="str">
        <f t="shared" si="12"/>
        <v/>
      </c>
      <c r="X60" s="464" t="str">
        <f t="shared" si="13"/>
        <v/>
      </c>
      <c r="Y60" s="351" t="str">
        <f t="shared" si="14"/>
        <v/>
      </c>
      <c r="Z60" s="463" t="str">
        <f t="shared" si="2"/>
        <v/>
      </c>
      <c r="AA60" s="465" t="str">
        <f>IFERROR(IF(C60="", "", W60/'App Cust Info'!$F$24), "")</f>
        <v/>
      </c>
      <c r="AB60" s="465" t="str">
        <f>IFERROR(IF(C60="", "", Z60/'App Cust Info'!$F$26), "")</f>
        <v/>
      </c>
      <c r="AC60" s="466" t="str" cm="1">
        <f t="array" ref="AC60">IFERROR(IF(AND($AH$26="Downstate", $D$10="Electric"), "", INDEX('WALL INCENTIVE'!$G$4:$G$59,MATCH(1,($J60='WALL INCENTIVE'!$B$4:$B$59)*($K60='WALL INCENTIVE'!$C$4:$C$59)*($L60='WALL INCENTIVE'!$D$4:$D$59)*IF('WALL INCENTIVE'!$E$4:$E$59="Passive House",($L60="Yes"),($T60&gt;='WALL INCENTIVE'!$E$4:$E$59))*IF('WALL INCENTIVE'!$F$4:$F$59="Passive House",($L60="Yes"),($T60&lt;='WALL INCENTIVE'!$F$4:$F$59)),0))),"")</f>
        <v/>
      </c>
      <c r="AD60" s="466" t="str">
        <f t="shared" si="15"/>
        <v/>
      </c>
      <c r="AE60" s="467" t="str" cm="1">
        <f t="array" ref="AE60">IFERROR(IF(AND($AH$26="Downstate", $D$10="Electric"), "", INDEX('WALL INCENTIVE'!$H$4:$H$59,MATCH(1,($J60='WALL INCENTIVE'!$B$4:$B$59)*($K60='WALL INCENTIVE'!$C$4:$C$59)*($L60='WALL INCENTIVE'!$D$4:$D$59)*IF('WALL INCENTIVE'!$E$4:$E$59="Passive House",($L60="Yes"),($T60&gt;='WALL INCENTIVE'!$E$4:$E$59))*IF('WALL INCENTIVE'!$F$4:$F$59="Passive House",($L60="Yes"),($T60&lt;='WALL INCENTIVE'!$F$4:$F$59)),0))),"")</f>
        <v/>
      </c>
      <c r="AF60" s="468" t="str" cm="1">
        <f t="array" ref="AF60">IFERROR(IF(AND($AH$26="Downstate", $D$10="Electric"), "", INDEX('WALL INCENTIVE'!$I$4:$I$59,MATCH(1,($J60='WALL INCENTIVE'!$B$4:$B$59)*($K60='WALL INCENTIVE'!$C$4:$C$59)*($L60='WALL INCENTIVE'!$D$4:$D$59)*IF('WALL INCENTIVE'!$E$4:$E$59="Passive House",($L60="Yes"),($T60&gt;='WALL INCENTIVE'!$E$4:$E$59))*IF('WALL INCENTIVE'!$F$4:$F$59="Passive House",($L60="Yes"),($T60&lt;='WALL INCENTIVE'!$F$4:$F$59)),0))),"")</f>
        <v/>
      </c>
      <c r="AG60" s="143"/>
      <c r="AH60" s="65"/>
      <c r="AI60" s="65"/>
      <c r="AJ60" s="65"/>
    </row>
    <row r="61" spans="2:36" x14ac:dyDescent="0.25">
      <c r="B61" s="339">
        <v>34</v>
      </c>
      <c r="C61" s="712"/>
      <c r="D61" s="712"/>
      <c r="E61" s="712"/>
      <c r="F61" s="712"/>
      <c r="G61" s="713"/>
      <c r="H61" s="712"/>
      <c r="I61" s="715"/>
      <c r="J61" s="462" t="str">
        <f t="shared" si="16"/>
        <v/>
      </c>
      <c r="K61" s="339" t="str">
        <f t="shared" si="3"/>
        <v/>
      </c>
      <c r="L61" s="339" t="str">
        <f t="shared" si="4"/>
        <v/>
      </c>
      <c r="M61" s="339" t="str">
        <f t="shared" si="5"/>
        <v/>
      </c>
      <c r="N61" s="339" t="str">
        <f t="shared" si="1"/>
        <v/>
      </c>
      <c r="O61" s="339" t="str">
        <f t="shared" si="6"/>
        <v/>
      </c>
      <c r="P61" s="339" t="str">
        <f t="shared" si="7"/>
        <v/>
      </c>
      <c r="Q61" s="264"/>
      <c r="R61" s="462" t="str" cm="1">
        <f t="array" ref="R61">IFERROR(IF($M61="Retrofit",_xlfn.XLOOKUP($D$5,'TRM V13 Appendix A'!$B$13:$B$33,'TRM V13 Appendix A'!$C$13:$C$33,""),IF(OR($N61="",$F61=""),"",_xlfn.XLOOKUP($F61,'WALL CODE'!$B$4:$B$8,_xlfn.XLOOKUP($N61,'WALL CODE'!$C$3:$E$3,'WALL CODE'!$C$4:$E$8,""),""))),"")</f>
        <v/>
      </c>
      <c r="S61" s="462" t="str">
        <f t="shared" si="8"/>
        <v/>
      </c>
      <c r="T61" s="462" t="str">
        <f t="shared" si="9"/>
        <v/>
      </c>
      <c r="U61" s="463" t="str">
        <f t="shared" si="10"/>
        <v/>
      </c>
      <c r="V61" s="463" t="str">
        <f t="shared" si="11"/>
        <v/>
      </c>
      <c r="W61" s="463" t="str">
        <f t="shared" si="12"/>
        <v/>
      </c>
      <c r="X61" s="464" t="str">
        <f t="shared" si="13"/>
        <v/>
      </c>
      <c r="Y61" s="351" t="str">
        <f t="shared" si="14"/>
        <v/>
      </c>
      <c r="Z61" s="463" t="str">
        <f t="shared" si="2"/>
        <v/>
      </c>
      <c r="AA61" s="465" t="str">
        <f>IFERROR(IF(C61="", "", W61/'App Cust Info'!$F$24), "")</f>
        <v/>
      </c>
      <c r="AB61" s="465" t="str">
        <f>IFERROR(IF(C61="", "", Z61/'App Cust Info'!$F$26), "")</f>
        <v/>
      </c>
      <c r="AC61" s="466" t="str" cm="1">
        <f t="array" ref="AC61">IFERROR(IF(AND($AH$26="Downstate", $D$10="Electric"), "", INDEX('WALL INCENTIVE'!$G$4:$G$59,MATCH(1,($J61='WALL INCENTIVE'!$B$4:$B$59)*($K61='WALL INCENTIVE'!$C$4:$C$59)*($L61='WALL INCENTIVE'!$D$4:$D$59)*IF('WALL INCENTIVE'!$E$4:$E$59="Passive House",($L61="Yes"),($T61&gt;='WALL INCENTIVE'!$E$4:$E$59))*IF('WALL INCENTIVE'!$F$4:$F$59="Passive House",($L61="Yes"),($T61&lt;='WALL INCENTIVE'!$F$4:$F$59)),0))),"")</f>
        <v/>
      </c>
      <c r="AD61" s="466" t="str">
        <f t="shared" si="15"/>
        <v/>
      </c>
      <c r="AE61" s="467" t="str" cm="1">
        <f t="array" ref="AE61">IFERROR(IF(AND($AH$26="Downstate", $D$10="Electric"), "", INDEX('WALL INCENTIVE'!$H$4:$H$59,MATCH(1,($J61='WALL INCENTIVE'!$B$4:$B$59)*($K61='WALL INCENTIVE'!$C$4:$C$59)*($L61='WALL INCENTIVE'!$D$4:$D$59)*IF('WALL INCENTIVE'!$E$4:$E$59="Passive House",($L61="Yes"),($T61&gt;='WALL INCENTIVE'!$E$4:$E$59))*IF('WALL INCENTIVE'!$F$4:$F$59="Passive House",($L61="Yes"),($T61&lt;='WALL INCENTIVE'!$F$4:$F$59)),0))),"")</f>
        <v/>
      </c>
      <c r="AF61" s="468" t="str" cm="1">
        <f t="array" ref="AF61">IFERROR(IF(AND($AH$26="Downstate", $D$10="Electric"), "", INDEX('WALL INCENTIVE'!$I$4:$I$59,MATCH(1,($J61='WALL INCENTIVE'!$B$4:$B$59)*($K61='WALL INCENTIVE'!$C$4:$C$59)*($L61='WALL INCENTIVE'!$D$4:$D$59)*IF('WALL INCENTIVE'!$E$4:$E$59="Passive House",($L61="Yes"),($T61&gt;='WALL INCENTIVE'!$E$4:$E$59))*IF('WALL INCENTIVE'!$F$4:$F$59="Passive House",($L61="Yes"),($T61&lt;='WALL INCENTIVE'!$F$4:$F$59)),0))),"")</f>
        <v/>
      </c>
      <c r="AG61" s="143"/>
      <c r="AH61" s="65"/>
      <c r="AI61" s="65"/>
      <c r="AJ61" s="65"/>
    </row>
    <row r="62" spans="2:36" x14ac:dyDescent="0.25">
      <c r="B62" s="339">
        <v>35</v>
      </c>
      <c r="C62" s="712"/>
      <c r="D62" s="712"/>
      <c r="E62" s="712"/>
      <c r="F62" s="712"/>
      <c r="G62" s="713"/>
      <c r="H62" s="712"/>
      <c r="I62" s="715"/>
      <c r="J62" s="462" t="str">
        <f t="shared" si="16"/>
        <v/>
      </c>
      <c r="K62" s="339" t="str">
        <f t="shared" si="3"/>
        <v/>
      </c>
      <c r="L62" s="339" t="str">
        <f t="shared" si="4"/>
        <v/>
      </c>
      <c r="M62" s="339" t="str">
        <f t="shared" si="5"/>
        <v/>
      </c>
      <c r="N62" s="339" t="str">
        <f t="shared" si="1"/>
        <v/>
      </c>
      <c r="O62" s="339" t="str">
        <f t="shared" si="6"/>
        <v/>
      </c>
      <c r="P62" s="339" t="str">
        <f t="shared" si="7"/>
        <v/>
      </c>
      <c r="Q62" s="264"/>
      <c r="R62" s="462" t="str" cm="1">
        <f t="array" ref="R62">IFERROR(IF($M62="Retrofit",_xlfn.XLOOKUP($D$5,'TRM V13 Appendix A'!$B$13:$B$33,'TRM V13 Appendix A'!$C$13:$C$33,""),IF(OR($N62="",$F62=""),"",_xlfn.XLOOKUP($F62,'WALL CODE'!$B$4:$B$8,_xlfn.XLOOKUP($N62,'WALL CODE'!$C$3:$E$3,'WALL CODE'!$C$4:$E$8,""),""))),"")</f>
        <v/>
      </c>
      <c r="S62" s="462" t="str">
        <f t="shared" si="8"/>
        <v/>
      </c>
      <c r="T62" s="462" t="str">
        <f t="shared" si="9"/>
        <v/>
      </c>
      <c r="U62" s="463" t="str">
        <f t="shared" si="10"/>
        <v/>
      </c>
      <c r="V62" s="463" t="str">
        <f t="shared" si="11"/>
        <v/>
      </c>
      <c r="W62" s="463" t="str">
        <f t="shared" si="12"/>
        <v/>
      </c>
      <c r="X62" s="464" t="str">
        <f t="shared" si="13"/>
        <v/>
      </c>
      <c r="Y62" s="351" t="str">
        <f t="shared" si="14"/>
        <v/>
      </c>
      <c r="Z62" s="463" t="str">
        <f t="shared" si="2"/>
        <v/>
      </c>
      <c r="AA62" s="465" t="str">
        <f>IFERROR(IF(C62="", "", W62/'App Cust Info'!$F$24), "")</f>
        <v/>
      </c>
      <c r="AB62" s="465" t="str">
        <f>IFERROR(IF(C62="", "", Z62/'App Cust Info'!$F$26), "")</f>
        <v/>
      </c>
      <c r="AC62" s="466" t="str" cm="1">
        <f t="array" ref="AC62">IFERROR(IF(AND($AH$26="Downstate", $D$10="Electric"), "", INDEX('WALL INCENTIVE'!$G$4:$G$59,MATCH(1,($J62='WALL INCENTIVE'!$B$4:$B$59)*($K62='WALL INCENTIVE'!$C$4:$C$59)*($L62='WALL INCENTIVE'!$D$4:$D$59)*IF('WALL INCENTIVE'!$E$4:$E$59="Passive House",($L62="Yes"),($T62&gt;='WALL INCENTIVE'!$E$4:$E$59))*IF('WALL INCENTIVE'!$F$4:$F$59="Passive House",($L62="Yes"),($T62&lt;='WALL INCENTIVE'!$F$4:$F$59)),0))),"")</f>
        <v/>
      </c>
      <c r="AD62" s="466" t="str">
        <f t="shared" si="15"/>
        <v/>
      </c>
      <c r="AE62" s="467" t="str" cm="1">
        <f t="array" ref="AE62">IFERROR(IF(AND($AH$26="Downstate", $D$10="Electric"), "", INDEX('WALL INCENTIVE'!$H$4:$H$59,MATCH(1,($J62='WALL INCENTIVE'!$B$4:$B$59)*($K62='WALL INCENTIVE'!$C$4:$C$59)*($L62='WALL INCENTIVE'!$D$4:$D$59)*IF('WALL INCENTIVE'!$E$4:$E$59="Passive House",($L62="Yes"),($T62&gt;='WALL INCENTIVE'!$E$4:$E$59))*IF('WALL INCENTIVE'!$F$4:$F$59="Passive House",($L62="Yes"),($T62&lt;='WALL INCENTIVE'!$F$4:$F$59)),0))),"")</f>
        <v/>
      </c>
      <c r="AF62" s="468" t="str" cm="1">
        <f t="array" ref="AF62">IFERROR(IF(AND($AH$26="Downstate", $D$10="Electric"), "", INDEX('WALL INCENTIVE'!$I$4:$I$59,MATCH(1,($J62='WALL INCENTIVE'!$B$4:$B$59)*($K62='WALL INCENTIVE'!$C$4:$C$59)*($L62='WALL INCENTIVE'!$D$4:$D$59)*IF('WALL INCENTIVE'!$E$4:$E$59="Passive House",($L62="Yes"),($T62&gt;='WALL INCENTIVE'!$E$4:$E$59))*IF('WALL INCENTIVE'!$F$4:$F$59="Passive House",($L62="Yes"),($T62&lt;='WALL INCENTIVE'!$F$4:$F$59)),0))),"")</f>
        <v/>
      </c>
      <c r="AG62" s="143"/>
      <c r="AH62" s="65"/>
      <c r="AI62" s="65"/>
      <c r="AJ62" s="65"/>
    </row>
    <row r="63" spans="2:36" x14ac:dyDescent="0.25">
      <c r="B63" s="339">
        <v>36</v>
      </c>
      <c r="C63" s="712"/>
      <c r="D63" s="712"/>
      <c r="E63" s="712"/>
      <c r="F63" s="712"/>
      <c r="G63" s="713"/>
      <c r="H63" s="712"/>
      <c r="I63" s="715"/>
      <c r="J63" s="462" t="str">
        <f t="shared" si="16"/>
        <v/>
      </c>
      <c r="K63" s="339" t="str">
        <f t="shared" si="3"/>
        <v/>
      </c>
      <c r="L63" s="339" t="str">
        <f t="shared" si="4"/>
        <v/>
      </c>
      <c r="M63" s="339" t="str">
        <f t="shared" si="5"/>
        <v/>
      </c>
      <c r="N63" s="339" t="str">
        <f t="shared" si="1"/>
        <v/>
      </c>
      <c r="O63" s="339" t="str">
        <f t="shared" si="6"/>
        <v/>
      </c>
      <c r="P63" s="339" t="str">
        <f t="shared" si="7"/>
        <v/>
      </c>
      <c r="Q63" s="264"/>
      <c r="R63" s="462" t="str" cm="1">
        <f t="array" ref="R63">IFERROR(IF($M63="Retrofit",_xlfn.XLOOKUP($D$5,'TRM V13 Appendix A'!$B$13:$B$33,'TRM V13 Appendix A'!$C$13:$C$33,""),IF(OR($N63="",$F63=""),"",_xlfn.XLOOKUP($F63,'WALL CODE'!$B$4:$B$8,_xlfn.XLOOKUP($N63,'WALL CODE'!$C$3:$E$3,'WALL CODE'!$C$4:$E$8,""),""))),"")</f>
        <v/>
      </c>
      <c r="S63" s="462" t="str">
        <f t="shared" si="8"/>
        <v/>
      </c>
      <c r="T63" s="462" t="str">
        <f t="shared" si="9"/>
        <v/>
      </c>
      <c r="U63" s="463" t="str">
        <f t="shared" si="10"/>
        <v/>
      </c>
      <c r="V63" s="463" t="str">
        <f t="shared" si="11"/>
        <v/>
      </c>
      <c r="W63" s="463" t="str">
        <f t="shared" si="12"/>
        <v/>
      </c>
      <c r="X63" s="464" t="str">
        <f t="shared" si="13"/>
        <v/>
      </c>
      <c r="Y63" s="351" t="str">
        <f t="shared" si="14"/>
        <v/>
      </c>
      <c r="Z63" s="463" t="str">
        <f t="shared" si="2"/>
        <v/>
      </c>
      <c r="AA63" s="465" t="str">
        <f>IFERROR(IF(C63="", "", W63/'App Cust Info'!$F$24), "")</f>
        <v/>
      </c>
      <c r="AB63" s="465" t="str">
        <f>IFERROR(IF(C63="", "", Z63/'App Cust Info'!$F$26), "")</f>
        <v/>
      </c>
      <c r="AC63" s="466" t="str" cm="1">
        <f t="array" ref="AC63">IFERROR(IF(AND($AH$26="Downstate", $D$10="Electric"), "", INDEX('WALL INCENTIVE'!$G$4:$G$59,MATCH(1,($J63='WALL INCENTIVE'!$B$4:$B$59)*($K63='WALL INCENTIVE'!$C$4:$C$59)*($L63='WALL INCENTIVE'!$D$4:$D$59)*IF('WALL INCENTIVE'!$E$4:$E$59="Passive House",($L63="Yes"),($T63&gt;='WALL INCENTIVE'!$E$4:$E$59))*IF('WALL INCENTIVE'!$F$4:$F$59="Passive House",($L63="Yes"),($T63&lt;='WALL INCENTIVE'!$F$4:$F$59)),0))),"")</f>
        <v/>
      </c>
      <c r="AD63" s="466" t="str">
        <f t="shared" si="15"/>
        <v/>
      </c>
      <c r="AE63" s="467" t="str" cm="1">
        <f t="array" ref="AE63">IFERROR(IF(AND($AH$26="Downstate", $D$10="Electric"), "", INDEX('WALL INCENTIVE'!$H$4:$H$59,MATCH(1,($J63='WALL INCENTIVE'!$B$4:$B$59)*($K63='WALL INCENTIVE'!$C$4:$C$59)*($L63='WALL INCENTIVE'!$D$4:$D$59)*IF('WALL INCENTIVE'!$E$4:$E$59="Passive House",($L63="Yes"),($T63&gt;='WALL INCENTIVE'!$E$4:$E$59))*IF('WALL INCENTIVE'!$F$4:$F$59="Passive House",($L63="Yes"),($T63&lt;='WALL INCENTIVE'!$F$4:$F$59)),0))),"")</f>
        <v/>
      </c>
      <c r="AF63" s="468" t="str" cm="1">
        <f t="array" ref="AF63">IFERROR(IF(AND($AH$26="Downstate", $D$10="Electric"), "", INDEX('WALL INCENTIVE'!$I$4:$I$59,MATCH(1,($J63='WALL INCENTIVE'!$B$4:$B$59)*($K63='WALL INCENTIVE'!$C$4:$C$59)*($L63='WALL INCENTIVE'!$D$4:$D$59)*IF('WALL INCENTIVE'!$E$4:$E$59="Passive House",($L63="Yes"),($T63&gt;='WALL INCENTIVE'!$E$4:$E$59))*IF('WALL INCENTIVE'!$F$4:$F$59="Passive House",($L63="Yes"),($T63&lt;='WALL INCENTIVE'!$F$4:$F$59)),0))),"")</f>
        <v/>
      </c>
      <c r="AG63" s="143"/>
      <c r="AH63" s="65"/>
      <c r="AI63" s="65"/>
      <c r="AJ63" s="65"/>
    </row>
    <row r="64" spans="2:36" x14ac:dyDescent="0.25">
      <c r="B64" s="339">
        <v>37</v>
      </c>
      <c r="C64" s="712"/>
      <c r="D64" s="712"/>
      <c r="E64" s="712"/>
      <c r="F64" s="712"/>
      <c r="G64" s="713"/>
      <c r="H64" s="712"/>
      <c r="I64" s="715"/>
      <c r="J64" s="462" t="str">
        <f t="shared" si="16"/>
        <v/>
      </c>
      <c r="K64" s="339" t="str">
        <f t="shared" si="3"/>
        <v/>
      </c>
      <c r="L64" s="339" t="str">
        <f t="shared" si="4"/>
        <v/>
      </c>
      <c r="M64" s="339" t="str">
        <f t="shared" si="5"/>
        <v/>
      </c>
      <c r="N64" s="339" t="str">
        <f t="shared" si="1"/>
        <v/>
      </c>
      <c r="O64" s="339" t="str">
        <f t="shared" si="6"/>
        <v/>
      </c>
      <c r="P64" s="339" t="str">
        <f t="shared" si="7"/>
        <v/>
      </c>
      <c r="Q64" s="264"/>
      <c r="R64" s="462" t="str" cm="1">
        <f t="array" ref="R64">IFERROR(IF($M64="Retrofit",_xlfn.XLOOKUP($D$5,'TRM V13 Appendix A'!$B$13:$B$33,'TRM V13 Appendix A'!$C$13:$C$33,""),IF(OR($N64="",$F64=""),"",_xlfn.XLOOKUP($F64,'WALL CODE'!$B$4:$B$8,_xlfn.XLOOKUP($N64,'WALL CODE'!$C$3:$E$3,'WALL CODE'!$C$4:$E$8,""),""))),"")</f>
        <v/>
      </c>
      <c r="S64" s="462" t="str">
        <f t="shared" si="8"/>
        <v/>
      </c>
      <c r="T64" s="462" t="str">
        <f t="shared" si="9"/>
        <v/>
      </c>
      <c r="U64" s="463" t="str">
        <f t="shared" si="10"/>
        <v/>
      </c>
      <c r="V64" s="463" t="str">
        <f t="shared" si="11"/>
        <v/>
      </c>
      <c r="W64" s="463" t="str">
        <f t="shared" si="12"/>
        <v/>
      </c>
      <c r="X64" s="464" t="str">
        <f t="shared" si="13"/>
        <v/>
      </c>
      <c r="Y64" s="351" t="str">
        <f t="shared" si="14"/>
        <v/>
      </c>
      <c r="Z64" s="463" t="str">
        <f t="shared" si="2"/>
        <v/>
      </c>
      <c r="AA64" s="465" t="str">
        <f>IFERROR(IF(C64="", "", W64/'App Cust Info'!$F$24), "")</f>
        <v/>
      </c>
      <c r="AB64" s="465" t="str">
        <f>IFERROR(IF(C64="", "", Z64/'App Cust Info'!$F$26), "")</f>
        <v/>
      </c>
      <c r="AC64" s="466" t="str" cm="1">
        <f t="array" ref="AC64">IFERROR(IF(AND($AH$26="Downstate", $D$10="Electric"), "", INDEX('WALL INCENTIVE'!$G$4:$G$59,MATCH(1,($J64='WALL INCENTIVE'!$B$4:$B$59)*($K64='WALL INCENTIVE'!$C$4:$C$59)*($L64='WALL INCENTIVE'!$D$4:$D$59)*IF('WALL INCENTIVE'!$E$4:$E$59="Passive House",($L64="Yes"),($T64&gt;='WALL INCENTIVE'!$E$4:$E$59))*IF('WALL INCENTIVE'!$F$4:$F$59="Passive House",($L64="Yes"),($T64&lt;='WALL INCENTIVE'!$F$4:$F$59)),0))),"")</f>
        <v/>
      </c>
      <c r="AD64" s="466" t="str">
        <f t="shared" si="15"/>
        <v/>
      </c>
      <c r="AE64" s="467" t="str" cm="1">
        <f t="array" ref="AE64">IFERROR(IF(AND($AH$26="Downstate", $D$10="Electric"), "", INDEX('WALL INCENTIVE'!$H$4:$H$59,MATCH(1,($J64='WALL INCENTIVE'!$B$4:$B$59)*($K64='WALL INCENTIVE'!$C$4:$C$59)*($L64='WALL INCENTIVE'!$D$4:$D$59)*IF('WALL INCENTIVE'!$E$4:$E$59="Passive House",($L64="Yes"),($T64&gt;='WALL INCENTIVE'!$E$4:$E$59))*IF('WALL INCENTIVE'!$F$4:$F$59="Passive House",($L64="Yes"),($T64&lt;='WALL INCENTIVE'!$F$4:$F$59)),0))),"")</f>
        <v/>
      </c>
      <c r="AF64" s="468" t="str" cm="1">
        <f t="array" ref="AF64">IFERROR(IF(AND($AH$26="Downstate", $D$10="Electric"), "", INDEX('WALL INCENTIVE'!$I$4:$I$59,MATCH(1,($J64='WALL INCENTIVE'!$B$4:$B$59)*($K64='WALL INCENTIVE'!$C$4:$C$59)*($L64='WALL INCENTIVE'!$D$4:$D$59)*IF('WALL INCENTIVE'!$E$4:$E$59="Passive House",($L64="Yes"),($T64&gt;='WALL INCENTIVE'!$E$4:$E$59))*IF('WALL INCENTIVE'!$F$4:$F$59="Passive House",($L64="Yes"),($T64&lt;='WALL INCENTIVE'!$F$4:$F$59)),0))),"")</f>
        <v/>
      </c>
      <c r="AG64" s="143"/>
      <c r="AH64" s="65"/>
      <c r="AI64" s="65"/>
      <c r="AJ64" s="65"/>
    </row>
    <row r="65" spans="2:36" x14ac:dyDescent="0.25">
      <c r="B65" s="339">
        <v>38</v>
      </c>
      <c r="C65" s="712"/>
      <c r="D65" s="712"/>
      <c r="E65" s="712"/>
      <c r="F65" s="712"/>
      <c r="G65" s="713"/>
      <c r="H65" s="712"/>
      <c r="I65" s="715"/>
      <c r="J65" s="462" t="str">
        <f t="shared" si="16"/>
        <v/>
      </c>
      <c r="K65" s="339" t="str">
        <f t="shared" si="3"/>
        <v/>
      </c>
      <c r="L65" s="339" t="str">
        <f t="shared" si="4"/>
        <v/>
      </c>
      <c r="M65" s="339" t="str">
        <f t="shared" si="5"/>
        <v/>
      </c>
      <c r="N65" s="339" t="str">
        <f t="shared" si="1"/>
        <v/>
      </c>
      <c r="O65" s="339" t="str">
        <f t="shared" si="6"/>
        <v/>
      </c>
      <c r="P65" s="339" t="str">
        <f t="shared" si="7"/>
        <v/>
      </c>
      <c r="Q65" s="264"/>
      <c r="R65" s="462" t="str" cm="1">
        <f t="array" ref="R65">IFERROR(IF($M65="Retrofit",_xlfn.XLOOKUP($D$5,'TRM V13 Appendix A'!$B$13:$B$33,'TRM V13 Appendix A'!$C$13:$C$33,""),IF(OR($N65="",$F65=""),"",_xlfn.XLOOKUP($F65,'WALL CODE'!$B$4:$B$8,_xlfn.XLOOKUP($N65,'WALL CODE'!$C$3:$E$3,'WALL CODE'!$C$4:$E$8,""),""))),"")</f>
        <v/>
      </c>
      <c r="S65" s="462" t="str">
        <f t="shared" si="8"/>
        <v/>
      </c>
      <c r="T65" s="462" t="str">
        <f t="shared" si="9"/>
        <v/>
      </c>
      <c r="U65" s="463" t="str">
        <f t="shared" si="10"/>
        <v/>
      </c>
      <c r="V65" s="463" t="str">
        <f t="shared" si="11"/>
        <v/>
      </c>
      <c r="W65" s="463" t="str">
        <f t="shared" si="12"/>
        <v/>
      </c>
      <c r="X65" s="464" t="str">
        <f t="shared" si="13"/>
        <v/>
      </c>
      <c r="Y65" s="351" t="str">
        <f t="shared" si="14"/>
        <v/>
      </c>
      <c r="Z65" s="463" t="str">
        <f t="shared" si="2"/>
        <v/>
      </c>
      <c r="AA65" s="465" t="str">
        <f>IFERROR(IF(C65="", "", W65/'App Cust Info'!$F$24), "")</f>
        <v/>
      </c>
      <c r="AB65" s="465" t="str">
        <f>IFERROR(IF(C65="", "", Z65/'App Cust Info'!$F$26), "")</f>
        <v/>
      </c>
      <c r="AC65" s="466" t="str" cm="1">
        <f t="array" ref="AC65">IFERROR(IF(AND($AH$26="Downstate", $D$10="Electric"), "", INDEX('WALL INCENTIVE'!$G$4:$G$59,MATCH(1,($J65='WALL INCENTIVE'!$B$4:$B$59)*($K65='WALL INCENTIVE'!$C$4:$C$59)*($L65='WALL INCENTIVE'!$D$4:$D$59)*IF('WALL INCENTIVE'!$E$4:$E$59="Passive House",($L65="Yes"),($T65&gt;='WALL INCENTIVE'!$E$4:$E$59))*IF('WALL INCENTIVE'!$F$4:$F$59="Passive House",($L65="Yes"),($T65&lt;='WALL INCENTIVE'!$F$4:$F$59)),0))),"")</f>
        <v/>
      </c>
      <c r="AD65" s="466" t="str">
        <f t="shared" si="15"/>
        <v/>
      </c>
      <c r="AE65" s="467" t="str" cm="1">
        <f t="array" ref="AE65">IFERROR(IF(AND($AH$26="Downstate", $D$10="Electric"), "", INDEX('WALL INCENTIVE'!$H$4:$H$59,MATCH(1,($J65='WALL INCENTIVE'!$B$4:$B$59)*($K65='WALL INCENTIVE'!$C$4:$C$59)*($L65='WALL INCENTIVE'!$D$4:$D$59)*IF('WALL INCENTIVE'!$E$4:$E$59="Passive House",($L65="Yes"),($T65&gt;='WALL INCENTIVE'!$E$4:$E$59))*IF('WALL INCENTIVE'!$F$4:$F$59="Passive House",($L65="Yes"),($T65&lt;='WALL INCENTIVE'!$F$4:$F$59)),0))),"")</f>
        <v/>
      </c>
      <c r="AF65" s="468" t="str" cm="1">
        <f t="array" ref="AF65">IFERROR(IF(AND($AH$26="Downstate", $D$10="Electric"), "", INDEX('WALL INCENTIVE'!$I$4:$I$59,MATCH(1,($J65='WALL INCENTIVE'!$B$4:$B$59)*($K65='WALL INCENTIVE'!$C$4:$C$59)*($L65='WALL INCENTIVE'!$D$4:$D$59)*IF('WALL INCENTIVE'!$E$4:$E$59="Passive House",($L65="Yes"),($T65&gt;='WALL INCENTIVE'!$E$4:$E$59))*IF('WALL INCENTIVE'!$F$4:$F$59="Passive House",($L65="Yes"),($T65&lt;='WALL INCENTIVE'!$F$4:$F$59)),0))),"")</f>
        <v/>
      </c>
      <c r="AG65" s="143"/>
      <c r="AH65" s="65"/>
      <c r="AI65" s="65"/>
      <c r="AJ65" s="65"/>
    </row>
    <row r="66" spans="2:36" x14ac:dyDescent="0.25">
      <c r="B66" s="339">
        <v>39</v>
      </c>
      <c r="C66" s="712"/>
      <c r="D66" s="712"/>
      <c r="E66" s="712"/>
      <c r="F66" s="712"/>
      <c r="G66" s="713"/>
      <c r="H66" s="712"/>
      <c r="I66" s="715"/>
      <c r="J66" s="462" t="str">
        <f t="shared" si="16"/>
        <v/>
      </c>
      <c r="K66" s="339" t="str">
        <f t="shared" si="3"/>
        <v/>
      </c>
      <c r="L66" s="339" t="str">
        <f t="shared" si="4"/>
        <v/>
      </c>
      <c r="M66" s="339" t="str">
        <f t="shared" si="5"/>
        <v/>
      </c>
      <c r="N66" s="339" t="str">
        <f t="shared" si="1"/>
        <v/>
      </c>
      <c r="O66" s="339" t="str">
        <f t="shared" si="6"/>
        <v/>
      </c>
      <c r="P66" s="339" t="str">
        <f t="shared" si="7"/>
        <v/>
      </c>
      <c r="Q66" s="264"/>
      <c r="R66" s="462" t="str" cm="1">
        <f t="array" ref="R66">IFERROR(IF($M66="Retrofit",_xlfn.XLOOKUP($D$5,'TRM V13 Appendix A'!$B$13:$B$33,'TRM V13 Appendix A'!$C$13:$C$33,""),IF(OR($N66="",$F66=""),"",_xlfn.XLOOKUP($F66,'WALL CODE'!$B$4:$B$8,_xlfn.XLOOKUP($N66,'WALL CODE'!$C$3:$E$3,'WALL CODE'!$C$4:$E$8,""),""))),"")</f>
        <v/>
      </c>
      <c r="S66" s="462" t="str">
        <f t="shared" si="8"/>
        <v/>
      </c>
      <c r="T66" s="462" t="str">
        <f t="shared" si="9"/>
        <v/>
      </c>
      <c r="U66" s="463" t="str">
        <f t="shared" si="10"/>
        <v/>
      </c>
      <c r="V66" s="463" t="str">
        <f t="shared" si="11"/>
        <v/>
      </c>
      <c r="W66" s="463" t="str">
        <f t="shared" si="12"/>
        <v/>
      </c>
      <c r="X66" s="464" t="str">
        <f t="shared" si="13"/>
        <v/>
      </c>
      <c r="Y66" s="351" t="str">
        <f t="shared" si="14"/>
        <v/>
      </c>
      <c r="Z66" s="463" t="str">
        <f t="shared" si="2"/>
        <v/>
      </c>
      <c r="AA66" s="465" t="str">
        <f>IFERROR(IF(C66="", "", W66/'App Cust Info'!$F$24), "")</f>
        <v/>
      </c>
      <c r="AB66" s="465" t="str">
        <f>IFERROR(IF(C66="", "", Z66/'App Cust Info'!$F$26), "")</f>
        <v/>
      </c>
      <c r="AC66" s="466" t="str" cm="1">
        <f t="array" ref="AC66">IFERROR(IF(AND($AH$26="Downstate", $D$10="Electric"), "", INDEX('WALL INCENTIVE'!$G$4:$G$59,MATCH(1,($J66='WALL INCENTIVE'!$B$4:$B$59)*($K66='WALL INCENTIVE'!$C$4:$C$59)*($L66='WALL INCENTIVE'!$D$4:$D$59)*IF('WALL INCENTIVE'!$E$4:$E$59="Passive House",($L66="Yes"),($T66&gt;='WALL INCENTIVE'!$E$4:$E$59))*IF('WALL INCENTIVE'!$F$4:$F$59="Passive House",($L66="Yes"),($T66&lt;='WALL INCENTIVE'!$F$4:$F$59)),0))),"")</f>
        <v/>
      </c>
      <c r="AD66" s="466" t="str">
        <f t="shared" si="15"/>
        <v/>
      </c>
      <c r="AE66" s="467" t="str" cm="1">
        <f t="array" ref="AE66">IFERROR(IF(AND($AH$26="Downstate", $D$10="Electric"), "", INDEX('WALL INCENTIVE'!$H$4:$H$59,MATCH(1,($J66='WALL INCENTIVE'!$B$4:$B$59)*($K66='WALL INCENTIVE'!$C$4:$C$59)*($L66='WALL INCENTIVE'!$D$4:$D$59)*IF('WALL INCENTIVE'!$E$4:$E$59="Passive House",($L66="Yes"),($T66&gt;='WALL INCENTIVE'!$E$4:$E$59))*IF('WALL INCENTIVE'!$F$4:$F$59="Passive House",($L66="Yes"),($T66&lt;='WALL INCENTIVE'!$F$4:$F$59)),0))),"")</f>
        <v/>
      </c>
      <c r="AF66" s="468" t="str" cm="1">
        <f t="array" ref="AF66">IFERROR(IF(AND($AH$26="Downstate", $D$10="Electric"), "", INDEX('WALL INCENTIVE'!$I$4:$I$59,MATCH(1,($J66='WALL INCENTIVE'!$B$4:$B$59)*($K66='WALL INCENTIVE'!$C$4:$C$59)*($L66='WALL INCENTIVE'!$D$4:$D$59)*IF('WALL INCENTIVE'!$E$4:$E$59="Passive House",($L66="Yes"),($T66&gt;='WALL INCENTIVE'!$E$4:$E$59))*IF('WALL INCENTIVE'!$F$4:$F$59="Passive House",($L66="Yes"),($T66&lt;='WALL INCENTIVE'!$F$4:$F$59)),0))),"")</f>
        <v/>
      </c>
      <c r="AG66" s="143"/>
      <c r="AH66" s="65"/>
      <c r="AI66" s="65"/>
      <c r="AJ66" s="65"/>
    </row>
    <row r="67" spans="2:36" x14ac:dyDescent="0.25">
      <c r="B67" s="339">
        <v>40</v>
      </c>
      <c r="C67" s="712"/>
      <c r="D67" s="712"/>
      <c r="E67" s="712"/>
      <c r="F67" s="712"/>
      <c r="G67" s="713"/>
      <c r="H67" s="712"/>
      <c r="I67" s="715"/>
      <c r="J67" s="462" t="str">
        <f t="shared" si="16"/>
        <v/>
      </c>
      <c r="K67" s="339" t="str">
        <f t="shared" si="3"/>
        <v/>
      </c>
      <c r="L67" s="339" t="str">
        <f t="shared" si="4"/>
        <v/>
      </c>
      <c r="M67" s="339" t="str">
        <f t="shared" si="5"/>
        <v/>
      </c>
      <c r="N67" s="339" t="str">
        <f t="shared" si="1"/>
        <v/>
      </c>
      <c r="O67" s="339" t="str">
        <f t="shared" si="6"/>
        <v/>
      </c>
      <c r="P67" s="339" t="str">
        <f t="shared" si="7"/>
        <v/>
      </c>
      <c r="Q67" s="264"/>
      <c r="R67" s="462" t="str" cm="1">
        <f t="array" ref="R67">IFERROR(IF($M67="Retrofit",_xlfn.XLOOKUP($D$5,'TRM V13 Appendix A'!$B$13:$B$33,'TRM V13 Appendix A'!$C$13:$C$33,""),IF(OR($N67="",$F67=""),"",_xlfn.XLOOKUP($F67,'WALL CODE'!$B$4:$B$8,_xlfn.XLOOKUP($N67,'WALL CODE'!$C$3:$E$3,'WALL CODE'!$C$4:$E$8,""),""))),"")</f>
        <v/>
      </c>
      <c r="S67" s="462" t="str">
        <f t="shared" si="8"/>
        <v/>
      </c>
      <c r="T67" s="462" t="str">
        <f t="shared" si="9"/>
        <v/>
      </c>
      <c r="U67" s="463" t="str">
        <f t="shared" si="10"/>
        <v/>
      </c>
      <c r="V67" s="463" t="str">
        <f t="shared" si="11"/>
        <v/>
      </c>
      <c r="W67" s="463" t="str">
        <f t="shared" si="12"/>
        <v/>
      </c>
      <c r="X67" s="464" t="str">
        <f t="shared" si="13"/>
        <v/>
      </c>
      <c r="Y67" s="351" t="str">
        <f t="shared" si="14"/>
        <v/>
      </c>
      <c r="Z67" s="463" t="str">
        <f t="shared" si="2"/>
        <v/>
      </c>
      <c r="AA67" s="465" t="str">
        <f>IFERROR(IF(C67="", "", W67/'App Cust Info'!$F$24), "")</f>
        <v/>
      </c>
      <c r="AB67" s="465" t="str">
        <f>IFERROR(IF(C67="", "", Z67/'App Cust Info'!$F$26), "")</f>
        <v/>
      </c>
      <c r="AC67" s="466" t="str" cm="1">
        <f t="array" ref="AC67">IFERROR(IF(AND($AH$26="Downstate", $D$10="Electric"), "", INDEX('WALL INCENTIVE'!$G$4:$G$59,MATCH(1,($J67='WALL INCENTIVE'!$B$4:$B$59)*($K67='WALL INCENTIVE'!$C$4:$C$59)*($L67='WALL INCENTIVE'!$D$4:$D$59)*IF('WALL INCENTIVE'!$E$4:$E$59="Passive House",($L67="Yes"),($T67&gt;='WALL INCENTIVE'!$E$4:$E$59))*IF('WALL INCENTIVE'!$F$4:$F$59="Passive House",($L67="Yes"),($T67&lt;='WALL INCENTIVE'!$F$4:$F$59)),0))),"")</f>
        <v/>
      </c>
      <c r="AD67" s="466" t="str">
        <f t="shared" si="15"/>
        <v/>
      </c>
      <c r="AE67" s="467" t="str" cm="1">
        <f t="array" ref="AE67">IFERROR(IF(AND($AH$26="Downstate", $D$10="Electric"), "", INDEX('WALL INCENTIVE'!$H$4:$H$59,MATCH(1,($J67='WALL INCENTIVE'!$B$4:$B$59)*($K67='WALL INCENTIVE'!$C$4:$C$59)*($L67='WALL INCENTIVE'!$D$4:$D$59)*IF('WALL INCENTIVE'!$E$4:$E$59="Passive House",($L67="Yes"),($T67&gt;='WALL INCENTIVE'!$E$4:$E$59))*IF('WALL INCENTIVE'!$F$4:$F$59="Passive House",($L67="Yes"),($T67&lt;='WALL INCENTIVE'!$F$4:$F$59)),0))),"")</f>
        <v/>
      </c>
      <c r="AF67" s="468" t="str" cm="1">
        <f t="array" ref="AF67">IFERROR(IF(AND($AH$26="Downstate", $D$10="Electric"), "", INDEX('WALL INCENTIVE'!$I$4:$I$59,MATCH(1,($J67='WALL INCENTIVE'!$B$4:$B$59)*($K67='WALL INCENTIVE'!$C$4:$C$59)*($L67='WALL INCENTIVE'!$D$4:$D$59)*IF('WALL INCENTIVE'!$E$4:$E$59="Passive House",($L67="Yes"),($T67&gt;='WALL INCENTIVE'!$E$4:$E$59))*IF('WALL INCENTIVE'!$F$4:$F$59="Passive House",($L67="Yes"),($T67&lt;='WALL INCENTIVE'!$F$4:$F$59)),0))),"")</f>
        <v/>
      </c>
      <c r="AG67" s="143"/>
      <c r="AH67" s="65"/>
      <c r="AI67" s="65"/>
      <c r="AJ67" s="65"/>
    </row>
    <row r="68" spans="2:36" x14ac:dyDescent="0.25">
      <c r="B68" s="339">
        <v>41</v>
      </c>
      <c r="C68" s="712"/>
      <c r="D68" s="712"/>
      <c r="E68" s="712"/>
      <c r="F68" s="712"/>
      <c r="G68" s="713"/>
      <c r="H68" s="712"/>
      <c r="I68" s="715"/>
      <c r="J68" s="462" t="str">
        <f t="shared" si="16"/>
        <v/>
      </c>
      <c r="K68" s="339" t="str">
        <f t="shared" si="3"/>
        <v/>
      </c>
      <c r="L68" s="339" t="str">
        <f t="shared" si="4"/>
        <v/>
      </c>
      <c r="M68" s="339" t="str">
        <f t="shared" si="5"/>
        <v/>
      </c>
      <c r="N68" s="339" t="str">
        <f t="shared" si="1"/>
        <v/>
      </c>
      <c r="O68" s="339" t="str">
        <f t="shared" si="6"/>
        <v/>
      </c>
      <c r="P68" s="339" t="str">
        <f t="shared" si="7"/>
        <v/>
      </c>
      <c r="Q68" s="264"/>
      <c r="R68" s="462" t="str" cm="1">
        <f t="array" ref="R68">IFERROR(IF($M68="Retrofit",_xlfn.XLOOKUP($D$5,'TRM V13 Appendix A'!$B$13:$B$33,'TRM V13 Appendix A'!$C$13:$C$33,""),IF(OR($N68="",$F68=""),"",_xlfn.XLOOKUP($F68,'WALL CODE'!$B$4:$B$8,_xlfn.XLOOKUP($N68,'WALL CODE'!$C$3:$E$3,'WALL CODE'!$C$4:$E$8,""),""))),"")</f>
        <v/>
      </c>
      <c r="S68" s="462" t="str">
        <f t="shared" si="8"/>
        <v/>
      </c>
      <c r="T68" s="462" t="str">
        <f t="shared" si="9"/>
        <v/>
      </c>
      <c r="U68" s="463" t="str">
        <f t="shared" si="10"/>
        <v/>
      </c>
      <c r="V68" s="463" t="str">
        <f t="shared" si="11"/>
        <v/>
      </c>
      <c r="W68" s="463" t="str">
        <f t="shared" si="12"/>
        <v/>
      </c>
      <c r="X68" s="464" t="str">
        <f t="shared" si="13"/>
        <v/>
      </c>
      <c r="Y68" s="351" t="str">
        <f t="shared" si="14"/>
        <v/>
      </c>
      <c r="Z68" s="463" t="str">
        <f t="shared" si="2"/>
        <v/>
      </c>
      <c r="AA68" s="465" t="str">
        <f>IFERROR(IF(C68="", "", W68/'App Cust Info'!$F$24), "")</f>
        <v/>
      </c>
      <c r="AB68" s="465" t="str">
        <f>IFERROR(IF(C68="", "", Z68/'App Cust Info'!$F$26), "")</f>
        <v/>
      </c>
      <c r="AC68" s="466" t="str" cm="1">
        <f t="array" ref="AC68">IFERROR(IF(AND($AH$26="Downstate", $D$10="Electric"), "", INDEX('WALL INCENTIVE'!$G$4:$G$59,MATCH(1,($J68='WALL INCENTIVE'!$B$4:$B$59)*($K68='WALL INCENTIVE'!$C$4:$C$59)*($L68='WALL INCENTIVE'!$D$4:$D$59)*IF('WALL INCENTIVE'!$E$4:$E$59="Passive House",($L68="Yes"),($T68&gt;='WALL INCENTIVE'!$E$4:$E$59))*IF('WALL INCENTIVE'!$F$4:$F$59="Passive House",($L68="Yes"),($T68&lt;='WALL INCENTIVE'!$F$4:$F$59)),0))),"")</f>
        <v/>
      </c>
      <c r="AD68" s="466" t="str">
        <f t="shared" si="15"/>
        <v/>
      </c>
      <c r="AE68" s="467" t="str" cm="1">
        <f t="array" ref="AE68">IFERROR(IF(AND($AH$26="Downstate", $D$10="Electric"), "", INDEX('WALL INCENTIVE'!$H$4:$H$59,MATCH(1,($J68='WALL INCENTIVE'!$B$4:$B$59)*($K68='WALL INCENTIVE'!$C$4:$C$59)*($L68='WALL INCENTIVE'!$D$4:$D$59)*IF('WALL INCENTIVE'!$E$4:$E$59="Passive House",($L68="Yes"),($T68&gt;='WALL INCENTIVE'!$E$4:$E$59))*IF('WALL INCENTIVE'!$F$4:$F$59="Passive House",($L68="Yes"),($T68&lt;='WALL INCENTIVE'!$F$4:$F$59)),0))),"")</f>
        <v/>
      </c>
      <c r="AF68" s="468" t="str" cm="1">
        <f t="array" ref="AF68">IFERROR(IF(AND($AH$26="Downstate", $D$10="Electric"), "", INDEX('WALL INCENTIVE'!$I$4:$I$59,MATCH(1,($J68='WALL INCENTIVE'!$B$4:$B$59)*($K68='WALL INCENTIVE'!$C$4:$C$59)*($L68='WALL INCENTIVE'!$D$4:$D$59)*IF('WALL INCENTIVE'!$E$4:$E$59="Passive House",($L68="Yes"),($T68&gt;='WALL INCENTIVE'!$E$4:$E$59))*IF('WALL INCENTIVE'!$F$4:$F$59="Passive House",($L68="Yes"),($T68&lt;='WALL INCENTIVE'!$F$4:$F$59)),0))),"")</f>
        <v/>
      </c>
      <c r="AG68" s="143"/>
      <c r="AH68" s="65"/>
      <c r="AI68" s="65"/>
      <c r="AJ68" s="65"/>
    </row>
    <row r="69" spans="2:36" x14ac:dyDescent="0.25">
      <c r="B69" s="339">
        <v>42</v>
      </c>
      <c r="C69" s="712"/>
      <c r="D69" s="712"/>
      <c r="E69" s="712"/>
      <c r="F69" s="712"/>
      <c r="G69" s="713"/>
      <c r="H69" s="712"/>
      <c r="I69" s="715"/>
      <c r="J69" s="462" t="str">
        <f t="shared" si="16"/>
        <v/>
      </c>
      <c r="K69" s="339" t="str">
        <f t="shared" si="3"/>
        <v/>
      </c>
      <c r="L69" s="339" t="str">
        <f t="shared" si="4"/>
        <v/>
      </c>
      <c r="M69" s="339" t="str">
        <f t="shared" si="5"/>
        <v/>
      </c>
      <c r="N69" s="339" t="str">
        <f t="shared" si="1"/>
        <v/>
      </c>
      <c r="O69" s="339" t="str">
        <f t="shared" si="6"/>
        <v/>
      </c>
      <c r="P69" s="339" t="str">
        <f t="shared" si="7"/>
        <v/>
      </c>
      <c r="Q69" s="264"/>
      <c r="R69" s="462" t="str" cm="1">
        <f t="array" ref="R69">IFERROR(IF($M69="Retrofit",_xlfn.XLOOKUP($D$5,'TRM V13 Appendix A'!$B$13:$B$33,'TRM V13 Appendix A'!$C$13:$C$33,""),IF(OR($N69="",$F69=""),"",_xlfn.XLOOKUP($F69,'WALL CODE'!$B$4:$B$8,_xlfn.XLOOKUP($N69,'WALL CODE'!$C$3:$E$3,'WALL CODE'!$C$4:$E$8,""),""))),"")</f>
        <v/>
      </c>
      <c r="S69" s="462" t="str">
        <f t="shared" si="8"/>
        <v/>
      </c>
      <c r="T69" s="462" t="str">
        <f t="shared" si="9"/>
        <v/>
      </c>
      <c r="U69" s="463" t="str">
        <f t="shared" si="10"/>
        <v/>
      </c>
      <c r="V69" s="463" t="str">
        <f t="shared" si="11"/>
        <v/>
      </c>
      <c r="W69" s="463" t="str">
        <f t="shared" si="12"/>
        <v/>
      </c>
      <c r="X69" s="464" t="str">
        <f t="shared" si="13"/>
        <v/>
      </c>
      <c r="Y69" s="351" t="str">
        <f t="shared" si="14"/>
        <v/>
      </c>
      <c r="Z69" s="463" t="str">
        <f t="shared" si="2"/>
        <v/>
      </c>
      <c r="AA69" s="465" t="str">
        <f>IFERROR(IF(C69="", "", W69/'App Cust Info'!$F$24), "")</f>
        <v/>
      </c>
      <c r="AB69" s="465" t="str">
        <f>IFERROR(IF(C69="", "", Z69/'App Cust Info'!$F$26), "")</f>
        <v/>
      </c>
      <c r="AC69" s="466" t="str" cm="1">
        <f t="array" ref="AC69">IFERROR(IF(AND($AH$26="Downstate", $D$10="Electric"), "", INDEX('WALL INCENTIVE'!$G$4:$G$59,MATCH(1,($J69='WALL INCENTIVE'!$B$4:$B$59)*($K69='WALL INCENTIVE'!$C$4:$C$59)*($L69='WALL INCENTIVE'!$D$4:$D$59)*IF('WALL INCENTIVE'!$E$4:$E$59="Passive House",($L69="Yes"),($T69&gt;='WALL INCENTIVE'!$E$4:$E$59))*IF('WALL INCENTIVE'!$F$4:$F$59="Passive House",($L69="Yes"),($T69&lt;='WALL INCENTIVE'!$F$4:$F$59)),0))),"")</f>
        <v/>
      </c>
      <c r="AD69" s="466" t="str">
        <f t="shared" si="15"/>
        <v/>
      </c>
      <c r="AE69" s="467" t="str" cm="1">
        <f t="array" ref="AE69">IFERROR(IF(AND($AH$26="Downstate", $D$10="Electric"), "", INDEX('WALL INCENTIVE'!$H$4:$H$59,MATCH(1,($J69='WALL INCENTIVE'!$B$4:$B$59)*($K69='WALL INCENTIVE'!$C$4:$C$59)*($L69='WALL INCENTIVE'!$D$4:$D$59)*IF('WALL INCENTIVE'!$E$4:$E$59="Passive House",($L69="Yes"),($T69&gt;='WALL INCENTIVE'!$E$4:$E$59))*IF('WALL INCENTIVE'!$F$4:$F$59="Passive House",($L69="Yes"),($T69&lt;='WALL INCENTIVE'!$F$4:$F$59)),0))),"")</f>
        <v/>
      </c>
      <c r="AF69" s="468" t="str" cm="1">
        <f t="array" ref="AF69">IFERROR(IF(AND($AH$26="Downstate", $D$10="Electric"), "", INDEX('WALL INCENTIVE'!$I$4:$I$59,MATCH(1,($J69='WALL INCENTIVE'!$B$4:$B$59)*($K69='WALL INCENTIVE'!$C$4:$C$59)*($L69='WALL INCENTIVE'!$D$4:$D$59)*IF('WALL INCENTIVE'!$E$4:$E$59="Passive House",($L69="Yes"),($T69&gt;='WALL INCENTIVE'!$E$4:$E$59))*IF('WALL INCENTIVE'!$F$4:$F$59="Passive House",($L69="Yes"),($T69&lt;='WALL INCENTIVE'!$F$4:$F$59)),0))),"")</f>
        <v/>
      </c>
      <c r="AG69" s="143"/>
      <c r="AH69" s="65"/>
      <c r="AI69" s="65"/>
      <c r="AJ69" s="65"/>
    </row>
    <row r="70" spans="2:36" x14ac:dyDescent="0.25">
      <c r="B70" s="339">
        <v>43</v>
      </c>
      <c r="C70" s="712"/>
      <c r="D70" s="712"/>
      <c r="E70" s="712"/>
      <c r="F70" s="712"/>
      <c r="G70" s="713"/>
      <c r="H70" s="712"/>
      <c r="I70" s="715"/>
      <c r="J70" s="462" t="str">
        <f t="shared" si="16"/>
        <v/>
      </c>
      <c r="K70" s="339" t="str">
        <f t="shared" si="3"/>
        <v/>
      </c>
      <c r="L70" s="339" t="str">
        <f t="shared" si="4"/>
        <v/>
      </c>
      <c r="M70" s="339" t="str">
        <f t="shared" si="5"/>
        <v/>
      </c>
      <c r="N70" s="339" t="str">
        <f t="shared" si="1"/>
        <v/>
      </c>
      <c r="O70" s="339" t="str">
        <f t="shared" si="6"/>
        <v/>
      </c>
      <c r="P70" s="339" t="str">
        <f t="shared" si="7"/>
        <v/>
      </c>
      <c r="Q70" s="264"/>
      <c r="R70" s="462" t="str" cm="1">
        <f t="array" ref="R70">IFERROR(IF($M70="Retrofit",_xlfn.XLOOKUP($D$5,'TRM V13 Appendix A'!$B$13:$B$33,'TRM V13 Appendix A'!$C$13:$C$33,""),IF(OR($N70="",$F70=""),"",_xlfn.XLOOKUP($F70,'WALL CODE'!$B$4:$B$8,_xlfn.XLOOKUP($N70,'WALL CODE'!$C$3:$E$3,'WALL CODE'!$C$4:$E$8,""),""))),"")</f>
        <v/>
      </c>
      <c r="S70" s="462" t="str">
        <f t="shared" si="8"/>
        <v/>
      </c>
      <c r="T70" s="462" t="str">
        <f t="shared" si="9"/>
        <v/>
      </c>
      <c r="U70" s="463" t="str">
        <f t="shared" si="10"/>
        <v/>
      </c>
      <c r="V70" s="463" t="str">
        <f t="shared" si="11"/>
        <v/>
      </c>
      <c r="W70" s="463" t="str">
        <f t="shared" si="12"/>
        <v/>
      </c>
      <c r="X70" s="464" t="str">
        <f t="shared" si="13"/>
        <v/>
      </c>
      <c r="Y70" s="351" t="str">
        <f t="shared" si="14"/>
        <v/>
      </c>
      <c r="Z70" s="463" t="str">
        <f t="shared" si="2"/>
        <v/>
      </c>
      <c r="AA70" s="465" t="str">
        <f>IFERROR(IF(C70="", "", W70/'App Cust Info'!$F$24), "")</f>
        <v/>
      </c>
      <c r="AB70" s="465" t="str">
        <f>IFERROR(IF(C70="", "", Z70/'App Cust Info'!$F$26), "")</f>
        <v/>
      </c>
      <c r="AC70" s="466" t="str" cm="1">
        <f t="array" ref="AC70">IFERROR(IF(AND($AH$26="Downstate", $D$10="Electric"), "", INDEX('WALL INCENTIVE'!$G$4:$G$59,MATCH(1,($J70='WALL INCENTIVE'!$B$4:$B$59)*($K70='WALL INCENTIVE'!$C$4:$C$59)*($L70='WALL INCENTIVE'!$D$4:$D$59)*IF('WALL INCENTIVE'!$E$4:$E$59="Passive House",($L70="Yes"),($T70&gt;='WALL INCENTIVE'!$E$4:$E$59))*IF('WALL INCENTIVE'!$F$4:$F$59="Passive House",($L70="Yes"),($T70&lt;='WALL INCENTIVE'!$F$4:$F$59)),0))),"")</f>
        <v/>
      </c>
      <c r="AD70" s="466" t="str">
        <f t="shared" si="15"/>
        <v/>
      </c>
      <c r="AE70" s="467" t="str" cm="1">
        <f t="array" ref="AE70">IFERROR(IF(AND($AH$26="Downstate", $D$10="Electric"), "", INDEX('WALL INCENTIVE'!$H$4:$H$59,MATCH(1,($J70='WALL INCENTIVE'!$B$4:$B$59)*($K70='WALL INCENTIVE'!$C$4:$C$59)*($L70='WALL INCENTIVE'!$D$4:$D$59)*IF('WALL INCENTIVE'!$E$4:$E$59="Passive House",($L70="Yes"),($T70&gt;='WALL INCENTIVE'!$E$4:$E$59))*IF('WALL INCENTIVE'!$F$4:$F$59="Passive House",($L70="Yes"),($T70&lt;='WALL INCENTIVE'!$F$4:$F$59)),0))),"")</f>
        <v/>
      </c>
      <c r="AF70" s="468" t="str" cm="1">
        <f t="array" ref="AF70">IFERROR(IF(AND($AH$26="Downstate", $D$10="Electric"), "", INDEX('WALL INCENTIVE'!$I$4:$I$59,MATCH(1,($J70='WALL INCENTIVE'!$B$4:$B$59)*($K70='WALL INCENTIVE'!$C$4:$C$59)*($L70='WALL INCENTIVE'!$D$4:$D$59)*IF('WALL INCENTIVE'!$E$4:$E$59="Passive House",($L70="Yes"),($T70&gt;='WALL INCENTIVE'!$E$4:$E$59))*IF('WALL INCENTIVE'!$F$4:$F$59="Passive House",($L70="Yes"),($T70&lt;='WALL INCENTIVE'!$F$4:$F$59)),0))),"")</f>
        <v/>
      </c>
      <c r="AG70" s="143"/>
      <c r="AH70" s="65"/>
      <c r="AI70" s="65"/>
      <c r="AJ70" s="65"/>
    </row>
    <row r="71" spans="2:36" x14ac:dyDescent="0.25">
      <c r="B71" s="339">
        <v>44</v>
      </c>
      <c r="C71" s="712"/>
      <c r="D71" s="712"/>
      <c r="E71" s="712"/>
      <c r="F71" s="712"/>
      <c r="G71" s="713"/>
      <c r="H71" s="712"/>
      <c r="I71" s="715"/>
      <c r="J71" s="462" t="str">
        <f t="shared" si="16"/>
        <v/>
      </c>
      <c r="K71" s="339" t="str">
        <f t="shared" si="3"/>
        <v/>
      </c>
      <c r="L71" s="339" t="str">
        <f t="shared" si="4"/>
        <v/>
      </c>
      <c r="M71" s="339" t="str">
        <f t="shared" si="5"/>
        <v/>
      </c>
      <c r="N71" s="339" t="str">
        <f t="shared" si="1"/>
        <v/>
      </c>
      <c r="O71" s="339" t="str">
        <f t="shared" si="6"/>
        <v/>
      </c>
      <c r="P71" s="339" t="str">
        <f t="shared" si="7"/>
        <v/>
      </c>
      <c r="Q71" s="264"/>
      <c r="R71" s="462" t="str" cm="1">
        <f t="array" ref="R71">IFERROR(IF($M71="Retrofit",_xlfn.XLOOKUP($D$5,'TRM V13 Appendix A'!$B$13:$B$33,'TRM V13 Appendix A'!$C$13:$C$33,""),IF(OR($N71="",$F71=""),"",_xlfn.XLOOKUP($F71,'WALL CODE'!$B$4:$B$8,_xlfn.XLOOKUP($N71,'WALL CODE'!$C$3:$E$3,'WALL CODE'!$C$4:$E$8,""),""))),"")</f>
        <v/>
      </c>
      <c r="S71" s="462" t="str">
        <f t="shared" si="8"/>
        <v/>
      </c>
      <c r="T71" s="462" t="str">
        <f t="shared" si="9"/>
        <v/>
      </c>
      <c r="U71" s="463" t="str">
        <f t="shared" si="10"/>
        <v/>
      </c>
      <c r="V71" s="463" t="str">
        <f t="shared" si="11"/>
        <v/>
      </c>
      <c r="W71" s="463" t="str">
        <f t="shared" si="12"/>
        <v/>
      </c>
      <c r="X71" s="464" t="str">
        <f t="shared" si="13"/>
        <v/>
      </c>
      <c r="Y71" s="351" t="str">
        <f t="shared" si="14"/>
        <v/>
      </c>
      <c r="Z71" s="463" t="str">
        <f t="shared" si="2"/>
        <v/>
      </c>
      <c r="AA71" s="465" t="str">
        <f>IFERROR(IF(C71="", "", W71/'App Cust Info'!$F$24), "")</f>
        <v/>
      </c>
      <c r="AB71" s="465" t="str">
        <f>IFERROR(IF(C71="", "", Z71/'App Cust Info'!$F$26), "")</f>
        <v/>
      </c>
      <c r="AC71" s="466" t="str" cm="1">
        <f t="array" ref="AC71">IFERROR(IF(AND($AH$26="Downstate", $D$10="Electric"), "", INDEX('WALL INCENTIVE'!$G$4:$G$59,MATCH(1,($J71='WALL INCENTIVE'!$B$4:$B$59)*($K71='WALL INCENTIVE'!$C$4:$C$59)*($L71='WALL INCENTIVE'!$D$4:$D$59)*IF('WALL INCENTIVE'!$E$4:$E$59="Passive House",($L71="Yes"),($T71&gt;='WALL INCENTIVE'!$E$4:$E$59))*IF('WALL INCENTIVE'!$F$4:$F$59="Passive House",($L71="Yes"),($T71&lt;='WALL INCENTIVE'!$F$4:$F$59)),0))),"")</f>
        <v/>
      </c>
      <c r="AD71" s="466" t="str">
        <f t="shared" si="15"/>
        <v/>
      </c>
      <c r="AE71" s="467" t="str" cm="1">
        <f t="array" ref="AE71">IFERROR(IF(AND($AH$26="Downstate", $D$10="Electric"), "", INDEX('WALL INCENTIVE'!$H$4:$H$59,MATCH(1,($J71='WALL INCENTIVE'!$B$4:$B$59)*($K71='WALL INCENTIVE'!$C$4:$C$59)*($L71='WALL INCENTIVE'!$D$4:$D$59)*IF('WALL INCENTIVE'!$E$4:$E$59="Passive House",($L71="Yes"),($T71&gt;='WALL INCENTIVE'!$E$4:$E$59))*IF('WALL INCENTIVE'!$F$4:$F$59="Passive House",($L71="Yes"),($T71&lt;='WALL INCENTIVE'!$F$4:$F$59)),0))),"")</f>
        <v/>
      </c>
      <c r="AF71" s="468" t="str" cm="1">
        <f t="array" ref="AF71">IFERROR(IF(AND($AH$26="Downstate", $D$10="Electric"), "", INDEX('WALL INCENTIVE'!$I$4:$I$59,MATCH(1,($J71='WALL INCENTIVE'!$B$4:$B$59)*($K71='WALL INCENTIVE'!$C$4:$C$59)*($L71='WALL INCENTIVE'!$D$4:$D$59)*IF('WALL INCENTIVE'!$E$4:$E$59="Passive House",($L71="Yes"),($T71&gt;='WALL INCENTIVE'!$E$4:$E$59))*IF('WALL INCENTIVE'!$F$4:$F$59="Passive House",($L71="Yes"),($T71&lt;='WALL INCENTIVE'!$F$4:$F$59)),0))),"")</f>
        <v/>
      </c>
      <c r="AG71" s="143"/>
      <c r="AH71" s="65"/>
      <c r="AI71" s="65"/>
      <c r="AJ71" s="65"/>
    </row>
    <row r="72" spans="2:36" x14ac:dyDescent="0.25">
      <c r="B72" s="339">
        <v>45</v>
      </c>
      <c r="C72" s="712"/>
      <c r="D72" s="712"/>
      <c r="E72" s="712"/>
      <c r="F72" s="712"/>
      <c r="G72" s="713"/>
      <c r="H72" s="712"/>
      <c r="I72" s="715"/>
      <c r="J72" s="462" t="str">
        <f t="shared" si="16"/>
        <v/>
      </c>
      <c r="K72" s="339" t="str">
        <f t="shared" si="3"/>
        <v/>
      </c>
      <c r="L72" s="339" t="str">
        <f t="shared" si="4"/>
        <v/>
      </c>
      <c r="M72" s="339" t="str">
        <f t="shared" si="5"/>
        <v/>
      </c>
      <c r="N72" s="339" t="str">
        <f t="shared" si="1"/>
        <v/>
      </c>
      <c r="O72" s="339" t="str">
        <f t="shared" si="6"/>
        <v/>
      </c>
      <c r="P72" s="339" t="str">
        <f t="shared" si="7"/>
        <v/>
      </c>
      <c r="Q72" s="264"/>
      <c r="R72" s="462" t="str" cm="1">
        <f t="array" ref="R72">IFERROR(IF($M72="Retrofit",_xlfn.XLOOKUP($D$5,'TRM V13 Appendix A'!$B$13:$B$33,'TRM V13 Appendix A'!$C$13:$C$33,""),IF(OR($N72="",$F72=""),"",_xlfn.XLOOKUP($F72,'WALL CODE'!$B$4:$B$8,_xlfn.XLOOKUP($N72,'WALL CODE'!$C$3:$E$3,'WALL CODE'!$C$4:$E$8,""),""))),"")</f>
        <v/>
      </c>
      <c r="S72" s="462" t="str">
        <f t="shared" si="8"/>
        <v/>
      </c>
      <c r="T72" s="462" t="str">
        <f t="shared" si="9"/>
        <v/>
      </c>
      <c r="U72" s="463" t="str">
        <f t="shared" si="10"/>
        <v/>
      </c>
      <c r="V72" s="463" t="str">
        <f t="shared" si="11"/>
        <v/>
      </c>
      <c r="W72" s="463" t="str">
        <f t="shared" si="12"/>
        <v/>
      </c>
      <c r="X72" s="464" t="str">
        <f t="shared" si="13"/>
        <v/>
      </c>
      <c r="Y72" s="351" t="str">
        <f t="shared" si="14"/>
        <v/>
      </c>
      <c r="Z72" s="463" t="str">
        <f t="shared" si="2"/>
        <v/>
      </c>
      <c r="AA72" s="465" t="str">
        <f>IFERROR(IF(C72="", "", W72/'App Cust Info'!$F$24), "")</f>
        <v/>
      </c>
      <c r="AB72" s="465" t="str">
        <f>IFERROR(IF(C72="", "", Z72/'App Cust Info'!$F$26), "")</f>
        <v/>
      </c>
      <c r="AC72" s="466" t="str" cm="1">
        <f t="array" ref="AC72">IFERROR(IF(AND($AH$26="Downstate", $D$10="Electric"), "", INDEX('WALL INCENTIVE'!$G$4:$G$59,MATCH(1,($J72='WALL INCENTIVE'!$B$4:$B$59)*($K72='WALL INCENTIVE'!$C$4:$C$59)*($L72='WALL INCENTIVE'!$D$4:$D$59)*IF('WALL INCENTIVE'!$E$4:$E$59="Passive House",($L72="Yes"),($T72&gt;='WALL INCENTIVE'!$E$4:$E$59))*IF('WALL INCENTIVE'!$F$4:$F$59="Passive House",($L72="Yes"),($T72&lt;='WALL INCENTIVE'!$F$4:$F$59)),0))),"")</f>
        <v/>
      </c>
      <c r="AD72" s="466" t="str">
        <f t="shared" si="15"/>
        <v/>
      </c>
      <c r="AE72" s="467" t="str" cm="1">
        <f t="array" ref="AE72">IFERROR(IF(AND($AH$26="Downstate", $D$10="Electric"), "", INDEX('WALL INCENTIVE'!$H$4:$H$59,MATCH(1,($J72='WALL INCENTIVE'!$B$4:$B$59)*($K72='WALL INCENTIVE'!$C$4:$C$59)*($L72='WALL INCENTIVE'!$D$4:$D$59)*IF('WALL INCENTIVE'!$E$4:$E$59="Passive House",($L72="Yes"),($T72&gt;='WALL INCENTIVE'!$E$4:$E$59))*IF('WALL INCENTIVE'!$F$4:$F$59="Passive House",($L72="Yes"),($T72&lt;='WALL INCENTIVE'!$F$4:$F$59)),0))),"")</f>
        <v/>
      </c>
      <c r="AF72" s="468" t="str" cm="1">
        <f t="array" ref="AF72">IFERROR(IF(AND($AH$26="Downstate", $D$10="Electric"), "", INDEX('WALL INCENTIVE'!$I$4:$I$59,MATCH(1,($J72='WALL INCENTIVE'!$B$4:$B$59)*($K72='WALL INCENTIVE'!$C$4:$C$59)*($L72='WALL INCENTIVE'!$D$4:$D$59)*IF('WALL INCENTIVE'!$E$4:$E$59="Passive House",($L72="Yes"),($T72&gt;='WALL INCENTIVE'!$E$4:$E$59))*IF('WALL INCENTIVE'!$F$4:$F$59="Passive House",($L72="Yes"),($T72&lt;='WALL INCENTIVE'!$F$4:$F$59)),0))),"")</f>
        <v/>
      </c>
      <c r="AG72" s="143"/>
      <c r="AH72" s="65"/>
      <c r="AI72" s="65"/>
      <c r="AJ72" s="65"/>
    </row>
    <row r="73" spans="2:36" x14ac:dyDescent="0.25">
      <c r="B73" s="339">
        <v>46</v>
      </c>
      <c r="C73" s="712"/>
      <c r="D73" s="712"/>
      <c r="E73" s="712"/>
      <c r="F73" s="712"/>
      <c r="G73" s="713"/>
      <c r="H73" s="712"/>
      <c r="I73" s="715"/>
      <c r="J73" s="462" t="str">
        <f t="shared" si="16"/>
        <v/>
      </c>
      <c r="K73" s="339" t="str">
        <f t="shared" si="3"/>
        <v/>
      </c>
      <c r="L73" s="339" t="str">
        <f t="shared" si="4"/>
        <v/>
      </c>
      <c r="M73" s="339" t="str">
        <f t="shared" si="5"/>
        <v/>
      </c>
      <c r="N73" s="339" t="str">
        <f t="shared" si="1"/>
        <v/>
      </c>
      <c r="O73" s="339" t="str">
        <f t="shared" si="6"/>
        <v/>
      </c>
      <c r="P73" s="339" t="str">
        <f t="shared" si="7"/>
        <v/>
      </c>
      <c r="Q73" s="264"/>
      <c r="R73" s="462" t="str" cm="1">
        <f t="array" ref="R73">IFERROR(IF($M73="Retrofit",_xlfn.XLOOKUP($D$5,'TRM V13 Appendix A'!$B$13:$B$33,'TRM V13 Appendix A'!$C$13:$C$33,""),IF(OR($N73="",$F73=""),"",_xlfn.XLOOKUP($F73,'WALL CODE'!$B$4:$B$8,_xlfn.XLOOKUP($N73,'WALL CODE'!$C$3:$E$3,'WALL CODE'!$C$4:$E$8,""),""))),"")</f>
        <v/>
      </c>
      <c r="S73" s="462" t="str">
        <f t="shared" si="8"/>
        <v/>
      </c>
      <c r="T73" s="462" t="str">
        <f t="shared" si="9"/>
        <v/>
      </c>
      <c r="U73" s="463" t="str">
        <f t="shared" si="10"/>
        <v/>
      </c>
      <c r="V73" s="463" t="str">
        <f t="shared" si="11"/>
        <v/>
      </c>
      <c r="W73" s="463" t="str">
        <f t="shared" si="12"/>
        <v/>
      </c>
      <c r="X73" s="464" t="str">
        <f t="shared" si="13"/>
        <v/>
      </c>
      <c r="Y73" s="351" t="str">
        <f t="shared" si="14"/>
        <v/>
      </c>
      <c r="Z73" s="463" t="str">
        <f t="shared" si="2"/>
        <v/>
      </c>
      <c r="AA73" s="465" t="str">
        <f>IFERROR(IF(C73="", "", W73/'App Cust Info'!$F$24), "")</f>
        <v/>
      </c>
      <c r="AB73" s="465" t="str">
        <f>IFERROR(IF(C73="", "", Z73/'App Cust Info'!$F$26), "")</f>
        <v/>
      </c>
      <c r="AC73" s="466" t="str" cm="1">
        <f t="array" ref="AC73">IFERROR(IF(AND($AH$26="Downstate", $D$10="Electric"), "", INDEX('WALL INCENTIVE'!$G$4:$G$59,MATCH(1,($J73='WALL INCENTIVE'!$B$4:$B$59)*($K73='WALL INCENTIVE'!$C$4:$C$59)*($L73='WALL INCENTIVE'!$D$4:$D$59)*IF('WALL INCENTIVE'!$E$4:$E$59="Passive House",($L73="Yes"),($T73&gt;='WALL INCENTIVE'!$E$4:$E$59))*IF('WALL INCENTIVE'!$F$4:$F$59="Passive House",($L73="Yes"),($T73&lt;='WALL INCENTIVE'!$F$4:$F$59)),0))),"")</f>
        <v/>
      </c>
      <c r="AD73" s="466" t="str">
        <f t="shared" si="15"/>
        <v/>
      </c>
      <c r="AE73" s="467" t="str" cm="1">
        <f t="array" ref="AE73">IFERROR(IF(AND($AH$26="Downstate", $D$10="Electric"), "", INDEX('WALL INCENTIVE'!$H$4:$H$59,MATCH(1,($J73='WALL INCENTIVE'!$B$4:$B$59)*($K73='WALL INCENTIVE'!$C$4:$C$59)*($L73='WALL INCENTIVE'!$D$4:$D$59)*IF('WALL INCENTIVE'!$E$4:$E$59="Passive House",($L73="Yes"),($T73&gt;='WALL INCENTIVE'!$E$4:$E$59))*IF('WALL INCENTIVE'!$F$4:$F$59="Passive House",($L73="Yes"),($T73&lt;='WALL INCENTIVE'!$F$4:$F$59)),0))),"")</f>
        <v/>
      </c>
      <c r="AF73" s="468" t="str" cm="1">
        <f t="array" ref="AF73">IFERROR(IF(AND($AH$26="Downstate", $D$10="Electric"), "", INDEX('WALL INCENTIVE'!$I$4:$I$59,MATCH(1,($J73='WALL INCENTIVE'!$B$4:$B$59)*($K73='WALL INCENTIVE'!$C$4:$C$59)*($L73='WALL INCENTIVE'!$D$4:$D$59)*IF('WALL INCENTIVE'!$E$4:$E$59="Passive House",($L73="Yes"),($T73&gt;='WALL INCENTIVE'!$E$4:$E$59))*IF('WALL INCENTIVE'!$F$4:$F$59="Passive House",($L73="Yes"),($T73&lt;='WALL INCENTIVE'!$F$4:$F$59)),0))),"")</f>
        <v/>
      </c>
      <c r="AG73" s="143"/>
      <c r="AH73" s="65"/>
      <c r="AI73" s="65"/>
      <c r="AJ73" s="65"/>
    </row>
    <row r="74" spans="2:36" x14ac:dyDescent="0.25">
      <c r="B74" s="339">
        <v>47</v>
      </c>
      <c r="C74" s="712"/>
      <c r="D74" s="712"/>
      <c r="E74" s="712"/>
      <c r="F74" s="712"/>
      <c r="G74" s="713"/>
      <c r="H74" s="712"/>
      <c r="I74" s="715"/>
      <c r="J74" s="462" t="str">
        <f t="shared" si="16"/>
        <v/>
      </c>
      <c r="K74" s="339" t="str">
        <f t="shared" si="3"/>
        <v/>
      </c>
      <c r="L74" s="339" t="str">
        <f t="shared" si="4"/>
        <v/>
      </c>
      <c r="M74" s="339" t="str">
        <f t="shared" si="5"/>
        <v/>
      </c>
      <c r="N74" s="339" t="str">
        <f t="shared" si="1"/>
        <v/>
      </c>
      <c r="O74" s="339" t="str">
        <f t="shared" si="6"/>
        <v/>
      </c>
      <c r="P74" s="339" t="str">
        <f t="shared" si="7"/>
        <v/>
      </c>
      <c r="Q74" s="264"/>
      <c r="R74" s="462" t="str" cm="1">
        <f t="array" ref="R74">IFERROR(IF($M74="Retrofit",_xlfn.XLOOKUP($D$5,'TRM V13 Appendix A'!$B$13:$B$33,'TRM V13 Appendix A'!$C$13:$C$33,""),IF(OR($N74="",$F74=""),"",_xlfn.XLOOKUP($F74,'WALL CODE'!$B$4:$B$8,_xlfn.XLOOKUP($N74,'WALL CODE'!$C$3:$E$3,'WALL CODE'!$C$4:$E$8,""),""))),"")</f>
        <v/>
      </c>
      <c r="S74" s="462" t="str">
        <f t="shared" si="8"/>
        <v/>
      </c>
      <c r="T74" s="462" t="str">
        <f t="shared" si="9"/>
        <v/>
      </c>
      <c r="U74" s="463" t="str">
        <f t="shared" si="10"/>
        <v/>
      </c>
      <c r="V74" s="463" t="str">
        <f t="shared" si="11"/>
        <v/>
      </c>
      <c r="W74" s="463" t="str">
        <f t="shared" si="12"/>
        <v/>
      </c>
      <c r="X74" s="464" t="str">
        <f t="shared" si="13"/>
        <v/>
      </c>
      <c r="Y74" s="351" t="str">
        <f t="shared" si="14"/>
        <v/>
      </c>
      <c r="Z74" s="463" t="str">
        <f t="shared" si="2"/>
        <v/>
      </c>
      <c r="AA74" s="465" t="str">
        <f>IFERROR(IF(C74="", "", W74/'App Cust Info'!$F$24), "")</f>
        <v/>
      </c>
      <c r="AB74" s="465" t="str">
        <f>IFERROR(IF(C74="", "", Z74/'App Cust Info'!$F$26), "")</f>
        <v/>
      </c>
      <c r="AC74" s="466" t="str" cm="1">
        <f t="array" ref="AC74">IFERROR(IF(AND($AH$26="Downstate", $D$10="Electric"), "", INDEX('WALL INCENTIVE'!$G$4:$G$59,MATCH(1,($J74='WALL INCENTIVE'!$B$4:$B$59)*($K74='WALL INCENTIVE'!$C$4:$C$59)*($L74='WALL INCENTIVE'!$D$4:$D$59)*IF('WALL INCENTIVE'!$E$4:$E$59="Passive House",($L74="Yes"),($T74&gt;='WALL INCENTIVE'!$E$4:$E$59))*IF('WALL INCENTIVE'!$F$4:$F$59="Passive House",($L74="Yes"),($T74&lt;='WALL INCENTIVE'!$F$4:$F$59)),0))),"")</f>
        <v/>
      </c>
      <c r="AD74" s="466" t="str">
        <f t="shared" si="15"/>
        <v/>
      </c>
      <c r="AE74" s="467" t="str" cm="1">
        <f t="array" ref="AE74">IFERROR(IF(AND($AH$26="Downstate", $D$10="Electric"), "", INDEX('WALL INCENTIVE'!$H$4:$H$59,MATCH(1,($J74='WALL INCENTIVE'!$B$4:$B$59)*($K74='WALL INCENTIVE'!$C$4:$C$59)*($L74='WALL INCENTIVE'!$D$4:$D$59)*IF('WALL INCENTIVE'!$E$4:$E$59="Passive House",($L74="Yes"),($T74&gt;='WALL INCENTIVE'!$E$4:$E$59))*IF('WALL INCENTIVE'!$F$4:$F$59="Passive House",($L74="Yes"),($T74&lt;='WALL INCENTIVE'!$F$4:$F$59)),0))),"")</f>
        <v/>
      </c>
      <c r="AF74" s="468" t="str" cm="1">
        <f t="array" ref="AF74">IFERROR(IF(AND($AH$26="Downstate", $D$10="Electric"), "", INDEX('WALL INCENTIVE'!$I$4:$I$59,MATCH(1,($J74='WALL INCENTIVE'!$B$4:$B$59)*($K74='WALL INCENTIVE'!$C$4:$C$59)*($L74='WALL INCENTIVE'!$D$4:$D$59)*IF('WALL INCENTIVE'!$E$4:$E$59="Passive House",($L74="Yes"),($T74&gt;='WALL INCENTIVE'!$E$4:$E$59))*IF('WALL INCENTIVE'!$F$4:$F$59="Passive House",($L74="Yes"),($T74&lt;='WALL INCENTIVE'!$F$4:$F$59)),0))),"")</f>
        <v/>
      </c>
      <c r="AG74" s="143"/>
      <c r="AH74" s="65"/>
      <c r="AI74" s="65"/>
      <c r="AJ74" s="65"/>
    </row>
    <row r="75" spans="2:36" x14ac:dyDescent="0.25">
      <c r="B75" s="339">
        <v>48</v>
      </c>
      <c r="C75" s="712"/>
      <c r="D75" s="712"/>
      <c r="E75" s="712"/>
      <c r="F75" s="712"/>
      <c r="G75" s="713"/>
      <c r="H75" s="712"/>
      <c r="I75" s="715"/>
      <c r="J75" s="462" t="str">
        <f t="shared" si="16"/>
        <v/>
      </c>
      <c r="K75" s="339" t="str">
        <f t="shared" si="3"/>
        <v/>
      </c>
      <c r="L75" s="339" t="str">
        <f t="shared" si="4"/>
        <v/>
      </c>
      <c r="M75" s="339" t="str">
        <f t="shared" si="5"/>
        <v/>
      </c>
      <c r="N75" s="339" t="str">
        <f t="shared" si="1"/>
        <v/>
      </c>
      <c r="O75" s="339" t="str">
        <f t="shared" si="6"/>
        <v/>
      </c>
      <c r="P75" s="339" t="str">
        <f t="shared" si="7"/>
        <v/>
      </c>
      <c r="Q75" s="264"/>
      <c r="R75" s="462" t="str" cm="1">
        <f t="array" ref="R75">IFERROR(IF($M75="Retrofit",_xlfn.XLOOKUP($D$5,'TRM V13 Appendix A'!$B$13:$B$33,'TRM V13 Appendix A'!$C$13:$C$33,""),IF(OR($N75="",$F75=""),"",_xlfn.XLOOKUP($F75,'WALL CODE'!$B$4:$B$8,_xlfn.XLOOKUP($N75,'WALL CODE'!$C$3:$E$3,'WALL CODE'!$C$4:$E$8,""),""))),"")</f>
        <v/>
      </c>
      <c r="S75" s="462" t="str">
        <f t="shared" si="8"/>
        <v/>
      </c>
      <c r="T75" s="462" t="str">
        <f t="shared" si="9"/>
        <v/>
      </c>
      <c r="U75" s="463" t="str">
        <f t="shared" si="10"/>
        <v/>
      </c>
      <c r="V75" s="463" t="str">
        <f t="shared" si="11"/>
        <v/>
      </c>
      <c r="W75" s="463" t="str">
        <f t="shared" si="12"/>
        <v/>
      </c>
      <c r="X75" s="464" t="str">
        <f t="shared" si="13"/>
        <v/>
      </c>
      <c r="Y75" s="351" t="str">
        <f t="shared" si="14"/>
        <v/>
      </c>
      <c r="Z75" s="463" t="str">
        <f t="shared" si="2"/>
        <v/>
      </c>
      <c r="AA75" s="465" t="str">
        <f>IFERROR(IF(C75="", "", W75/'App Cust Info'!$F$24), "")</f>
        <v/>
      </c>
      <c r="AB75" s="465" t="str">
        <f>IFERROR(IF(C75="", "", Z75/'App Cust Info'!$F$26), "")</f>
        <v/>
      </c>
      <c r="AC75" s="466" t="str" cm="1">
        <f t="array" ref="AC75">IFERROR(IF(AND($AH$26="Downstate", $D$10="Electric"), "", INDEX('WALL INCENTIVE'!$G$4:$G$59,MATCH(1,($J75='WALL INCENTIVE'!$B$4:$B$59)*($K75='WALL INCENTIVE'!$C$4:$C$59)*($L75='WALL INCENTIVE'!$D$4:$D$59)*IF('WALL INCENTIVE'!$E$4:$E$59="Passive House",($L75="Yes"),($T75&gt;='WALL INCENTIVE'!$E$4:$E$59))*IF('WALL INCENTIVE'!$F$4:$F$59="Passive House",($L75="Yes"),($T75&lt;='WALL INCENTIVE'!$F$4:$F$59)),0))),"")</f>
        <v/>
      </c>
      <c r="AD75" s="466" t="str">
        <f t="shared" si="15"/>
        <v/>
      </c>
      <c r="AE75" s="467" t="str" cm="1">
        <f t="array" ref="AE75">IFERROR(IF(AND($AH$26="Downstate", $D$10="Electric"), "", INDEX('WALL INCENTIVE'!$H$4:$H$59,MATCH(1,($J75='WALL INCENTIVE'!$B$4:$B$59)*($K75='WALL INCENTIVE'!$C$4:$C$59)*($L75='WALL INCENTIVE'!$D$4:$D$59)*IF('WALL INCENTIVE'!$E$4:$E$59="Passive House",($L75="Yes"),($T75&gt;='WALL INCENTIVE'!$E$4:$E$59))*IF('WALL INCENTIVE'!$F$4:$F$59="Passive House",($L75="Yes"),($T75&lt;='WALL INCENTIVE'!$F$4:$F$59)),0))),"")</f>
        <v/>
      </c>
      <c r="AF75" s="468" t="str" cm="1">
        <f t="array" ref="AF75">IFERROR(IF(AND($AH$26="Downstate", $D$10="Electric"), "", INDEX('WALL INCENTIVE'!$I$4:$I$59,MATCH(1,($J75='WALL INCENTIVE'!$B$4:$B$59)*($K75='WALL INCENTIVE'!$C$4:$C$59)*($L75='WALL INCENTIVE'!$D$4:$D$59)*IF('WALL INCENTIVE'!$E$4:$E$59="Passive House",($L75="Yes"),($T75&gt;='WALL INCENTIVE'!$E$4:$E$59))*IF('WALL INCENTIVE'!$F$4:$F$59="Passive House",($L75="Yes"),($T75&lt;='WALL INCENTIVE'!$F$4:$F$59)),0))),"")</f>
        <v/>
      </c>
      <c r="AG75" s="143"/>
      <c r="AH75" s="65"/>
      <c r="AI75" s="65"/>
      <c r="AJ75" s="65"/>
    </row>
    <row r="76" spans="2:36" x14ac:dyDescent="0.25">
      <c r="B76" s="339">
        <v>49</v>
      </c>
      <c r="C76" s="712"/>
      <c r="D76" s="712"/>
      <c r="E76" s="712"/>
      <c r="F76" s="712"/>
      <c r="G76" s="713"/>
      <c r="H76" s="712"/>
      <c r="I76" s="715"/>
      <c r="J76" s="462" t="str">
        <f t="shared" si="16"/>
        <v/>
      </c>
      <c r="K76" s="339" t="str">
        <f t="shared" si="3"/>
        <v/>
      </c>
      <c r="L76" s="339" t="str">
        <f t="shared" si="4"/>
        <v/>
      </c>
      <c r="M76" s="339" t="str">
        <f t="shared" si="5"/>
        <v/>
      </c>
      <c r="N76" s="339" t="str">
        <f t="shared" si="1"/>
        <v/>
      </c>
      <c r="O76" s="339" t="str">
        <f t="shared" si="6"/>
        <v/>
      </c>
      <c r="P76" s="339" t="str">
        <f t="shared" si="7"/>
        <v/>
      </c>
      <c r="Q76" s="264"/>
      <c r="R76" s="462" t="str" cm="1">
        <f t="array" ref="R76">IFERROR(IF($M76="Retrofit",_xlfn.XLOOKUP($D$5,'TRM V13 Appendix A'!$B$13:$B$33,'TRM V13 Appendix A'!$C$13:$C$33,""),IF(OR($N76="",$F76=""),"",_xlfn.XLOOKUP($F76,'WALL CODE'!$B$4:$B$8,_xlfn.XLOOKUP($N76,'WALL CODE'!$C$3:$E$3,'WALL CODE'!$C$4:$E$8,""),""))),"")</f>
        <v/>
      </c>
      <c r="S76" s="462" t="str">
        <f t="shared" si="8"/>
        <v/>
      </c>
      <c r="T76" s="462" t="str">
        <f t="shared" si="9"/>
        <v/>
      </c>
      <c r="U76" s="463" t="str">
        <f t="shared" si="10"/>
        <v/>
      </c>
      <c r="V76" s="463" t="str">
        <f t="shared" si="11"/>
        <v/>
      </c>
      <c r="W76" s="463" t="str">
        <f t="shared" si="12"/>
        <v/>
      </c>
      <c r="X76" s="464" t="str">
        <f t="shared" si="13"/>
        <v/>
      </c>
      <c r="Y76" s="351" t="str">
        <f t="shared" si="14"/>
        <v/>
      </c>
      <c r="Z76" s="463" t="str">
        <f t="shared" si="2"/>
        <v/>
      </c>
      <c r="AA76" s="465" t="str">
        <f>IFERROR(IF(C76="", "", W76/'App Cust Info'!$F$24), "")</f>
        <v/>
      </c>
      <c r="AB76" s="465" t="str">
        <f>IFERROR(IF(C76="", "", Z76/'App Cust Info'!$F$26), "")</f>
        <v/>
      </c>
      <c r="AC76" s="466" t="str" cm="1">
        <f t="array" ref="AC76">IFERROR(IF(AND($AH$26="Downstate", $D$10="Electric"), "", INDEX('WALL INCENTIVE'!$G$4:$G$59,MATCH(1,($J76='WALL INCENTIVE'!$B$4:$B$59)*($K76='WALL INCENTIVE'!$C$4:$C$59)*($L76='WALL INCENTIVE'!$D$4:$D$59)*IF('WALL INCENTIVE'!$E$4:$E$59="Passive House",($L76="Yes"),($T76&gt;='WALL INCENTIVE'!$E$4:$E$59))*IF('WALL INCENTIVE'!$F$4:$F$59="Passive House",($L76="Yes"),($T76&lt;='WALL INCENTIVE'!$F$4:$F$59)),0))),"")</f>
        <v/>
      </c>
      <c r="AD76" s="466" t="str">
        <f t="shared" si="15"/>
        <v/>
      </c>
      <c r="AE76" s="467" t="str" cm="1">
        <f t="array" ref="AE76">IFERROR(IF(AND($AH$26="Downstate", $D$10="Electric"), "", INDEX('WALL INCENTIVE'!$H$4:$H$59,MATCH(1,($J76='WALL INCENTIVE'!$B$4:$B$59)*($K76='WALL INCENTIVE'!$C$4:$C$59)*($L76='WALL INCENTIVE'!$D$4:$D$59)*IF('WALL INCENTIVE'!$E$4:$E$59="Passive House",($L76="Yes"),($T76&gt;='WALL INCENTIVE'!$E$4:$E$59))*IF('WALL INCENTIVE'!$F$4:$F$59="Passive House",($L76="Yes"),($T76&lt;='WALL INCENTIVE'!$F$4:$F$59)),0))),"")</f>
        <v/>
      </c>
      <c r="AF76" s="468" t="str" cm="1">
        <f t="array" ref="AF76">IFERROR(IF(AND($AH$26="Downstate", $D$10="Electric"), "", INDEX('WALL INCENTIVE'!$I$4:$I$59,MATCH(1,($J76='WALL INCENTIVE'!$B$4:$B$59)*($K76='WALL INCENTIVE'!$C$4:$C$59)*($L76='WALL INCENTIVE'!$D$4:$D$59)*IF('WALL INCENTIVE'!$E$4:$E$59="Passive House",($L76="Yes"),($T76&gt;='WALL INCENTIVE'!$E$4:$E$59))*IF('WALL INCENTIVE'!$F$4:$F$59="Passive House",($L76="Yes"),($T76&lt;='WALL INCENTIVE'!$F$4:$F$59)),0))),"")</f>
        <v/>
      </c>
      <c r="AG76" s="143"/>
      <c r="AH76" s="65"/>
      <c r="AI76" s="65"/>
      <c r="AJ76" s="65"/>
    </row>
    <row r="77" spans="2:36" x14ac:dyDescent="0.25">
      <c r="B77" s="339">
        <v>50</v>
      </c>
      <c r="C77" s="712"/>
      <c r="D77" s="712"/>
      <c r="E77" s="712"/>
      <c r="F77" s="712"/>
      <c r="G77" s="713"/>
      <c r="H77" s="712"/>
      <c r="I77" s="715"/>
      <c r="J77" s="462" t="str">
        <f t="shared" si="16"/>
        <v/>
      </c>
      <c r="K77" s="339" t="str">
        <f t="shared" si="3"/>
        <v/>
      </c>
      <c r="L77" s="339" t="str">
        <f t="shared" si="4"/>
        <v/>
      </c>
      <c r="M77" s="339" t="str">
        <f t="shared" si="5"/>
        <v/>
      </c>
      <c r="N77" s="339" t="str">
        <f t="shared" si="1"/>
        <v/>
      </c>
      <c r="O77" s="339" t="str">
        <f t="shared" si="6"/>
        <v/>
      </c>
      <c r="P77" s="339" t="str">
        <f t="shared" si="7"/>
        <v/>
      </c>
      <c r="Q77" s="264"/>
      <c r="R77" s="462" t="str" cm="1">
        <f t="array" ref="R77">IFERROR(IF($M77="Retrofit",_xlfn.XLOOKUP($D$5,'TRM V13 Appendix A'!$B$13:$B$33,'TRM V13 Appendix A'!$C$13:$C$33,""),IF(OR($N77="",$F77=""),"",_xlfn.XLOOKUP($F77,'WALL CODE'!$B$4:$B$8,_xlfn.XLOOKUP($N77,'WALL CODE'!$C$3:$E$3,'WALL CODE'!$C$4:$E$8,""),""))),"")</f>
        <v/>
      </c>
      <c r="S77" s="462" t="str">
        <f t="shared" si="8"/>
        <v/>
      </c>
      <c r="T77" s="462" t="str">
        <f t="shared" si="9"/>
        <v/>
      </c>
      <c r="U77" s="463" t="str">
        <f t="shared" si="10"/>
        <v/>
      </c>
      <c r="V77" s="463" t="str">
        <f t="shared" si="11"/>
        <v/>
      </c>
      <c r="W77" s="463" t="str">
        <f t="shared" si="12"/>
        <v/>
      </c>
      <c r="X77" s="464" t="str">
        <f t="shared" si="13"/>
        <v/>
      </c>
      <c r="Y77" s="351" t="str">
        <f t="shared" si="14"/>
        <v/>
      </c>
      <c r="Z77" s="463" t="str">
        <f t="shared" si="2"/>
        <v/>
      </c>
      <c r="AA77" s="465" t="str">
        <f>IFERROR(IF(C77="", "", W77/'App Cust Info'!$F$24), "")</f>
        <v/>
      </c>
      <c r="AB77" s="465" t="str">
        <f>IFERROR(IF(C77="", "", Z77/'App Cust Info'!$F$26), "")</f>
        <v/>
      </c>
      <c r="AC77" s="466" t="str" cm="1">
        <f t="array" ref="AC77">IFERROR(IF(AND($AH$26="Downstate", $D$10="Electric"), "", INDEX('WALL INCENTIVE'!$G$4:$G$59,MATCH(1,($J77='WALL INCENTIVE'!$B$4:$B$59)*($K77='WALL INCENTIVE'!$C$4:$C$59)*($L77='WALL INCENTIVE'!$D$4:$D$59)*IF('WALL INCENTIVE'!$E$4:$E$59="Passive House",($L77="Yes"),($T77&gt;='WALL INCENTIVE'!$E$4:$E$59))*IF('WALL INCENTIVE'!$F$4:$F$59="Passive House",($L77="Yes"),($T77&lt;='WALL INCENTIVE'!$F$4:$F$59)),0))),"")</f>
        <v/>
      </c>
      <c r="AD77" s="466" t="str">
        <f t="shared" si="15"/>
        <v/>
      </c>
      <c r="AE77" s="467" t="str" cm="1">
        <f t="array" ref="AE77">IFERROR(IF(AND($AH$26="Downstate", $D$10="Electric"), "", INDEX('WALL INCENTIVE'!$H$4:$H$59,MATCH(1,($J77='WALL INCENTIVE'!$B$4:$B$59)*($K77='WALL INCENTIVE'!$C$4:$C$59)*($L77='WALL INCENTIVE'!$D$4:$D$59)*IF('WALL INCENTIVE'!$E$4:$E$59="Passive House",($L77="Yes"),($T77&gt;='WALL INCENTIVE'!$E$4:$E$59))*IF('WALL INCENTIVE'!$F$4:$F$59="Passive House",($L77="Yes"),($T77&lt;='WALL INCENTIVE'!$F$4:$F$59)),0))),"")</f>
        <v/>
      </c>
      <c r="AF77" s="468" t="str" cm="1">
        <f t="array" ref="AF77">IFERROR(IF(AND($AH$26="Downstate", $D$10="Electric"), "", INDEX('WALL INCENTIVE'!$I$4:$I$59,MATCH(1,($J77='WALL INCENTIVE'!$B$4:$B$59)*($K77='WALL INCENTIVE'!$C$4:$C$59)*($L77='WALL INCENTIVE'!$D$4:$D$59)*IF('WALL INCENTIVE'!$E$4:$E$59="Passive House",($L77="Yes"),($T77&gt;='WALL INCENTIVE'!$E$4:$E$59))*IF('WALL INCENTIVE'!$F$4:$F$59="Passive House",($L77="Yes"),($T77&lt;='WALL INCENTIVE'!$F$4:$F$59)),0))),"")</f>
        <v/>
      </c>
      <c r="AG77" s="143"/>
      <c r="AH77" s="65"/>
      <c r="AI77" s="65"/>
      <c r="AJ77" s="65"/>
    </row>
    <row r="78" spans="2:36" x14ac:dyDescent="0.25">
      <c r="B78" s="65"/>
      <c r="C78" s="65"/>
      <c r="D78" s="470"/>
      <c r="G78" s="471">
        <f>SUM(G28:G77)</f>
        <v>0</v>
      </c>
      <c r="H78" s="143"/>
      <c r="I78" s="143"/>
      <c r="J78" s="143"/>
      <c r="K78" s="143"/>
      <c r="L78" s="143"/>
      <c r="M78" s="143"/>
      <c r="N78" s="143"/>
      <c r="O78" s="143"/>
      <c r="P78" s="143"/>
      <c r="Q78" s="143"/>
      <c r="R78" s="143"/>
      <c r="S78" s="143"/>
      <c r="T78" s="143"/>
      <c r="U78" s="471">
        <f t="shared" ref="U78:V78" si="17">SUM(U28:U77)</f>
        <v>0</v>
      </c>
      <c r="V78" s="471">
        <f t="shared" si="17"/>
        <v>0</v>
      </c>
      <c r="W78" s="471">
        <f t="shared" ref="W78:AB78" si="18">SUM(W28:W77)</f>
        <v>0</v>
      </c>
      <c r="X78" s="352">
        <f t="shared" si="18"/>
        <v>0</v>
      </c>
      <c r="Y78" s="352">
        <f t="shared" si="18"/>
        <v>0</v>
      </c>
      <c r="Z78" s="471">
        <f t="shared" si="18"/>
        <v>0</v>
      </c>
      <c r="AA78" s="472">
        <f t="shared" si="18"/>
        <v>0</v>
      </c>
      <c r="AB78" s="472">
        <f t="shared" si="18"/>
        <v>0</v>
      </c>
      <c r="AC78" s="143"/>
      <c r="AD78" s="473">
        <f>SUM(AD28:AD77)</f>
        <v>0</v>
      </c>
      <c r="AE78" s="474">
        <f>MIN(AE28:AE77)</f>
        <v>0</v>
      </c>
      <c r="AF78" s="475">
        <f>MIN(AF28:AF77)</f>
        <v>0</v>
      </c>
      <c r="AG78" s="143"/>
      <c r="AH78" s="65"/>
      <c r="AI78" s="65"/>
      <c r="AJ78" s="65"/>
    </row>
    <row r="82" spans="3:4" x14ac:dyDescent="0.25">
      <c r="C82" s="96" t="s">
        <v>413</v>
      </c>
    </row>
    <row r="83" spans="3:4" hidden="1" x14ac:dyDescent="0.25"/>
    <row r="84" spans="3:4" hidden="1" x14ac:dyDescent="0.25">
      <c r="C84" s="112" t="s">
        <v>414</v>
      </c>
      <c r="D84" s="111" t="str">
        <f>IF('App Cust Info'!$F$18="", "",'App Cust Info'!$F$18)</f>
        <v/>
      </c>
    </row>
  </sheetData>
  <sheetProtection algorithmName="SHA-512" hashValue="5zav249CjBEJhnGCC/LGQrOucCMc1Tc04QO5x3PSUiQFsaNjcDbEflcVoGA66Pyl5LSsPF5Wvq7zCXJmyUjIlg==" saltValue="GP+Lc5nlQiI8haE7fu9tcw==" spinCount="100000" sheet="1" objects="1" scenarios="1"/>
  <mergeCells count="7">
    <mergeCell ref="Q23:R26"/>
    <mergeCell ref="U10:W10"/>
    <mergeCell ref="U11:W11"/>
    <mergeCell ref="U12:W12"/>
    <mergeCell ref="F2:I2"/>
    <mergeCell ref="F3:I17"/>
    <mergeCell ref="U2:V2"/>
  </mergeCells>
  <conditionalFormatting sqref="C7:D7">
    <cfRule type="expression" dxfId="128" priority="10">
      <formula>$D$7=""</formula>
    </cfRule>
  </conditionalFormatting>
  <conditionalFormatting sqref="C11:D11">
    <cfRule type="expression" dxfId="127" priority="344">
      <formula>$D$10=$AL$3</formula>
    </cfRule>
  </conditionalFormatting>
  <conditionalFormatting sqref="C12:D12">
    <cfRule type="expression" dxfId="126" priority="345">
      <formula>$D$10=$AL$4</formula>
    </cfRule>
  </conditionalFormatting>
  <conditionalFormatting sqref="C13:D13">
    <cfRule type="expression" dxfId="125" priority="12">
      <formula>$D$13="None"</formula>
    </cfRule>
    <cfRule type="expression" dxfId="124" priority="13">
      <formula>$D$10="Fossil"</formula>
    </cfRule>
  </conditionalFormatting>
  <conditionalFormatting sqref="C14:D14">
    <cfRule type="expression" dxfId="123" priority="346">
      <formula>AND($D$10=$AL$4,$D$13=$AL$7)</formula>
    </cfRule>
    <cfRule type="expression" dxfId="122" priority="347">
      <formula>AND($D$10=$AL$3,$D$13=$AL$8)</formula>
    </cfRule>
    <cfRule type="expression" dxfId="121" priority="348">
      <formula>$D$13=$AL$8</formula>
    </cfRule>
  </conditionalFormatting>
  <conditionalFormatting sqref="C15:D15">
    <cfRule type="expression" dxfId="120" priority="349">
      <formula>$D$13=$AL$8</formula>
    </cfRule>
  </conditionalFormatting>
  <conditionalFormatting sqref="C23:D23">
    <cfRule type="expression" dxfId="119" priority="1">
      <formula>$C$23&lt;&gt;""</formula>
    </cfRule>
  </conditionalFormatting>
  <conditionalFormatting sqref="C24:D24">
    <cfRule type="expression" dxfId="118" priority="7">
      <formula>$C$24&lt;&gt;""</formula>
    </cfRule>
  </conditionalFormatting>
  <conditionalFormatting sqref="C25:D25">
    <cfRule type="expression" dxfId="117" priority="11">
      <formula>$C$25&lt;&gt;""</formula>
    </cfRule>
  </conditionalFormatting>
  <conditionalFormatting sqref="D7">
    <cfRule type="expression" dxfId="116" priority="9">
      <formula>$D$7&lt;&gt;""</formula>
    </cfRule>
  </conditionalFormatting>
  <conditionalFormatting sqref="D9 C24">
    <cfRule type="expression" dxfId="115" priority="8">
      <formula>$C$24&lt;&gt;""</formula>
    </cfRule>
  </conditionalFormatting>
  <conditionalFormatting sqref="F28:F77">
    <cfRule type="expression" dxfId="114" priority="6">
      <formula>$F$27=""</formula>
    </cfRule>
  </conditionalFormatting>
  <conditionalFormatting sqref="H28:H77">
    <cfRule type="expression" dxfId="113" priority="5">
      <formula>$H$27=""</formula>
    </cfRule>
  </conditionalFormatting>
  <conditionalFormatting sqref="R28:R77">
    <cfRule type="expression" dxfId="112" priority="3">
      <formula>$Q28="Yes"</formula>
    </cfRule>
  </conditionalFormatting>
  <conditionalFormatting sqref="U28:Z77">
    <cfRule type="expression" dxfId="111" priority="2">
      <formula>$T28&lt;4</formula>
    </cfRule>
  </conditionalFormatting>
  <dataValidations count="7">
    <dataValidation type="list" allowBlank="1" showInputMessage="1" showErrorMessage="1" sqref="D4" xr:uid="{47104267-6A6A-41B6-A23A-2FAC637F8A25}">
      <formula1>$AL$19:$AL$20</formula1>
    </dataValidation>
    <dataValidation type="list" allowBlank="1" showInputMessage="1" showErrorMessage="1" sqref="D6" xr:uid="{0BF1B28C-E57C-4A29-8BB4-3B694B15D7FF}">
      <formula1>$AL$15:$AL$16</formula1>
    </dataValidation>
    <dataValidation type="list" allowBlank="1" showInputMessage="1" showErrorMessage="1" sqref="D13" xr:uid="{25135B74-D73A-4E68-AF07-01B09DF29038}">
      <formula1>$AL$7:$AL$8</formula1>
    </dataValidation>
    <dataValidation type="list" allowBlank="1" showInputMessage="1" showErrorMessage="1" sqref="C28:C77" xr:uid="{B1B088B8-AED3-4BC7-9670-F1804083F29F}">
      <formula1>$AH$18:$AH$19</formula1>
    </dataValidation>
    <dataValidation type="list" allowBlank="1" showInputMessage="1" showErrorMessage="1" sqref="D10" xr:uid="{4DED15A7-8CFC-45FA-BE48-83AE8B59B548}">
      <formula1>$AL$3:$AL$4</formula1>
    </dataValidation>
    <dataValidation type="list" allowBlank="1" showInputMessage="1" showErrorMessage="1" sqref="D9 H28:H77 Q28:Q77" xr:uid="{D1996812-E93E-4362-AB6D-CCDD4B3C20D0}">
      <formula1>"Yes, No"</formula1>
    </dataValidation>
    <dataValidation type="list" allowBlank="1" showInputMessage="1" showErrorMessage="1" sqref="F28:F77" xr:uid="{C5043A8F-F0B1-4950-9347-AA3FD94AADFF}">
      <formula1>$AI$18:$AI$22</formula1>
    </dataValidation>
  </dataValidations>
  <pageMargins left="0.7" right="0.7" top="0.75" bottom="0.75" header="0.3" footer="0.3"/>
  <pageSetup scale="43" orientation="landscape" r:id="rId1"/>
  <headerFooter>
    <oddFooter>&amp;RWALL INSULATION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0187E0B-E14D-41B3-A12C-D8963E006D5B}">
          <x14:formula1>
            <xm:f>'TRM V13 Appendix A'!$B$13:$B$33</xm:f>
          </x14:formula1>
          <xm:sqref>D5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0AF6D-F59A-487C-8812-88441CA2444D}">
  <sheetPr>
    <tabColor theme="9" tint="0.39997558519241921"/>
    <pageSetUpPr fitToPage="1"/>
  </sheetPr>
  <dimension ref="B2:AO127"/>
  <sheetViews>
    <sheetView zoomScaleNormal="100" workbookViewId="0">
      <selection activeCell="E4" sqref="E4"/>
    </sheetView>
  </sheetViews>
  <sheetFormatPr defaultColWidth="9.140625" defaultRowHeight="15" x14ac:dyDescent="0.25"/>
  <cols>
    <col min="1" max="1" width="4.140625" style="1" customWidth="1"/>
    <col min="2" max="2" width="9.28515625" style="1" customWidth="1"/>
    <col min="3" max="3" width="9.85546875" style="1" customWidth="1"/>
    <col min="4" max="4" width="31" style="1" customWidth="1"/>
    <col min="5" max="5" width="32.140625" style="1" customWidth="1"/>
    <col min="6" max="6" width="9.42578125" style="1" customWidth="1"/>
    <col min="7" max="7" width="7.5703125" style="1" customWidth="1"/>
    <col min="8" max="8" width="7.28515625" style="1" customWidth="1"/>
    <col min="9" max="9" width="7.5703125" style="1" customWidth="1"/>
    <col min="10" max="10" width="12.7109375" style="1" customWidth="1"/>
    <col min="11" max="11" width="13.5703125" style="1" customWidth="1"/>
    <col min="12" max="12" width="12.85546875" style="1" customWidth="1"/>
    <col min="13" max="13" width="11.5703125" style="1" customWidth="1"/>
    <col min="14" max="15" width="13.7109375" style="1" customWidth="1"/>
    <col min="16" max="16" width="12.140625" style="1" customWidth="1"/>
    <col min="17" max="17" width="11.5703125" style="1" hidden="1" customWidth="1"/>
    <col min="18" max="18" width="14.42578125" style="1" customWidth="1"/>
    <col min="19" max="21" width="11.5703125" style="1" customWidth="1"/>
    <col min="22" max="24" width="11.5703125" style="1" hidden="1" customWidth="1"/>
    <col min="25" max="25" width="11.140625" style="1" hidden="1" customWidth="1"/>
    <col min="26" max="26" width="6" style="1" hidden="1" customWidth="1"/>
    <col min="27" max="27" width="14.42578125" style="1" hidden="1" customWidth="1"/>
    <col min="28" max="28" width="12" style="1" hidden="1" customWidth="1"/>
    <col min="29" max="29" width="14" style="1" hidden="1" customWidth="1"/>
    <col min="30" max="30" width="7.140625" style="1" hidden="1" customWidth="1"/>
    <col min="31" max="31" width="47.7109375" style="1" hidden="1" customWidth="1"/>
    <col min="32" max="32" width="9.140625" style="1" hidden="1" customWidth="1"/>
    <col min="33" max="33" width="20.42578125" style="1" hidden="1" customWidth="1"/>
    <col min="34" max="34" width="5.5703125" style="1" hidden="1" customWidth="1"/>
    <col min="35" max="35" width="18.28515625" style="1" hidden="1" customWidth="1"/>
    <col min="36" max="38" width="24.140625" style="1" hidden="1" customWidth="1"/>
    <col min="39" max="39" width="27.85546875" style="1" hidden="1" customWidth="1"/>
    <col min="40" max="40" width="16" style="1" hidden="1" customWidth="1"/>
    <col min="41" max="41" width="15.42578125" style="1" hidden="1" customWidth="1"/>
    <col min="42" max="42" width="0" style="1" hidden="1" customWidth="1"/>
    <col min="43" max="16384" width="9.140625" style="1"/>
  </cols>
  <sheetData>
    <row r="2" spans="2:41" ht="15" customHeight="1" thickBot="1" x14ac:dyDescent="0.3">
      <c r="B2" s="998" t="s">
        <v>93</v>
      </c>
      <c r="C2" s="999"/>
      <c r="D2" s="1000"/>
      <c r="E2" s="121" t="str">
        <f>IF('App Cust Info'!K18="", "", "WINDOW")</f>
        <v/>
      </c>
      <c r="AE2" s="71" t="s">
        <v>374</v>
      </c>
      <c r="AG2" s="71" t="s">
        <v>426</v>
      </c>
      <c r="AH2" s="205"/>
      <c r="AI2" s="1004" t="s">
        <v>427</v>
      </c>
      <c r="AJ2" s="1005"/>
      <c r="AK2" s="1005"/>
      <c r="AL2" s="1005"/>
      <c r="AM2" s="1006"/>
      <c r="AN2" s="63"/>
    </row>
    <row r="3" spans="2:41" ht="15" customHeight="1" thickBot="1" x14ac:dyDescent="0.3">
      <c r="B3" s="998" t="s">
        <v>334</v>
      </c>
      <c r="C3" s="999"/>
      <c r="D3" s="1000"/>
      <c r="E3" s="207" t="str">
        <f>IF('App Cust Info'!$K$18="", "", 'App Cust Info'!$K$18)</f>
        <v/>
      </c>
      <c r="K3" s="995" t="s">
        <v>94</v>
      </c>
      <c r="L3" s="996"/>
      <c r="M3" s="996"/>
      <c r="N3" s="996"/>
      <c r="O3" s="997"/>
      <c r="R3" s="980" t="s">
        <v>329</v>
      </c>
      <c r="S3" s="981"/>
      <c r="T3" s="201" t="s">
        <v>330</v>
      </c>
      <c r="AE3" s="75" t="s">
        <v>378</v>
      </c>
      <c r="AG3" s="75" t="s">
        <v>428</v>
      </c>
      <c r="AI3" s="73" t="s">
        <v>397</v>
      </c>
      <c r="AJ3" s="73" t="s">
        <v>429</v>
      </c>
      <c r="AK3" s="73" t="s">
        <v>430</v>
      </c>
      <c r="AL3" s="73" t="s">
        <v>431</v>
      </c>
      <c r="AM3" s="73" t="s">
        <v>432</v>
      </c>
      <c r="AN3" s="67"/>
    </row>
    <row r="4" spans="2:41" ht="15" customHeight="1" x14ac:dyDescent="0.25">
      <c r="B4" s="998" t="s">
        <v>104</v>
      </c>
      <c r="C4" s="999"/>
      <c r="D4" s="1000"/>
      <c r="E4" s="716"/>
      <c r="K4" s="986"/>
      <c r="L4" s="987"/>
      <c r="M4" s="987"/>
      <c r="N4" s="987"/>
      <c r="O4" s="988"/>
      <c r="R4" s="119" t="s">
        <v>433</v>
      </c>
      <c r="S4" s="215">
        <f>IF($F$21&lt;&gt;"", "", IFERROR($R$75,""))</f>
        <v>0</v>
      </c>
      <c r="T4" s="219" t="str">
        <f>IF($S$4="", "", IFERROR($S$4/'App Cust Info'!$F$24,""))</f>
        <v/>
      </c>
      <c r="AE4" s="75" t="s">
        <v>380</v>
      </c>
      <c r="AG4" s="75" t="s">
        <v>434</v>
      </c>
      <c r="AI4" s="145">
        <v>4</v>
      </c>
      <c r="AJ4" s="145">
        <v>0.31</v>
      </c>
      <c r="AK4" s="145">
        <v>0.38</v>
      </c>
      <c r="AL4" s="145">
        <v>0.34</v>
      </c>
      <c r="AM4" s="145">
        <v>0.41</v>
      </c>
      <c r="AN4" s="63"/>
    </row>
    <row r="5" spans="2:41" ht="15" customHeight="1" x14ac:dyDescent="0.25">
      <c r="B5" s="998" t="s">
        <v>344</v>
      </c>
      <c r="C5" s="999"/>
      <c r="D5" s="1000"/>
      <c r="E5" s="207" t="s">
        <v>367</v>
      </c>
      <c r="K5" s="989"/>
      <c r="L5" s="990"/>
      <c r="M5" s="990"/>
      <c r="N5" s="990"/>
      <c r="O5" s="991"/>
      <c r="R5" s="119" t="s">
        <v>345</v>
      </c>
      <c r="S5" s="216">
        <f>IF($F$21&lt;&gt;"", "", IFERROR($S$75,""))</f>
        <v>0</v>
      </c>
      <c r="T5" s="220"/>
      <c r="AG5" s="75" t="s">
        <v>435</v>
      </c>
      <c r="AI5" s="145">
        <v>5</v>
      </c>
      <c r="AJ5" s="145">
        <v>0.31</v>
      </c>
      <c r="AK5" s="145">
        <v>0.38</v>
      </c>
      <c r="AL5" s="145">
        <v>0.34</v>
      </c>
      <c r="AM5" s="145">
        <v>0.41</v>
      </c>
      <c r="AN5" s="63"/>
    </row>
    <row r="6" spans="2:41" ht="15" customHeight="1" x14ac:dyDescent="0.25">
      <c r="B6" s="1001" t="s">
        <v>99</v>
      </c>
      <c r="C6" s="1001"/>
      <c r="D6" s="1001"/>
      <c r="E6" s="717"/>
      <c r="F6" s="408"/>
      <c r="G6" s="382"/>
      <c r="K6" s="989"/>
      <c r="L6" s="990"/>
      <c r="M6" s="990"/>
      <c r="N6" s="990"/>
      <c r="O6" s="991"/>
      <c r="R6" s="119" t="s">
        <v>349</v>
      </c>
      <c r="S6" s="217">
        <f>IF($F$21&lt;&gt;"", "", IFERROR($T$75,""))</f>
        <v>0</v>
      </c>
      <c r="T6" s="221"/>
      <c r="AE6" s="71" t="s">
        <v>364</v>
      </c>
      <c r="AG6" s="75" t="s">
        <v>436</v>
      </c>
      <c r="AI6" s="145">
        <v>6</v>
      </c>
      <c r="AJ6" s="145">
        <v>0.26</v>
      </c>
      <c r="AK6" s="145">
        <v>0.32</v>
      </c>
      <c r="AL6" s="145">
        <v>0.38</v>
      </c>
      <c r="AM6" s="145">
        <v>0.44</v>
      </c>
    </row>
    <row r="7" spans="2:41" ht="15" customHeight="1" thickBot="1" x14ac:dyDescent="0.3">
      <c r="B7" s="998" t="s">
        <v>414</v>
      </c>
      <c r="C7" s="999"/>
      <c r="D7" s="1000"/>
      <c r="E7" s="207" t="str">
        <f>IFERROR($AE$14,"")</f>
        <v/>
      </c>
      <c r="K7" s="989"/>
      <c r="L7" s="990"/>
      <c r="M7" s="990"/>
      <c r="N7" s="990"/>
      <c r="O7" s="991"/>
      <c r="R7" s="120" t="s">
        <v>351</v>
      </c>
      <c r="S7" s="218">
        <f>IF($F$21&lt;&gt;"", "", IFERROR($U$75,""))</f>
        <v>0</v>
      </c>
      <c r="T7" s="222" t="str">
        <f>IF($S$7="", "", IFERROR($S$7/'App Cust Info'!$F$26,""))</f>
        <v/>
      </c>
      <c r="AE7" s="75" t="s">
        <v>366</v>
      </c>
      <c r="AG7" s="75" t="s">
        <v>437</v>
      </c>
    </row>
    <row r="8" spans="2:41" ht="15" customHeight="1" x14ac:dyDescent="0.25">
      <c r="B8" s="998" t="s">
        <v>350</v>
      </c>
      <c r="C8" s="999"/>
      <c r="D8" s="1000"/>
      <c r="E8" s="207" t="str">
        <f>IF('App Cust Info'!$H$21="", "", 'App Cust Info'!$H$21)</f>
        <v/>
      </c>
      <c r="K8" s="989"/>
      <c r="L8" s="990"/>
      <c r="M8" s="990"/>
      <c r="N8" s="990"/>
      <c r="O8" s="991"/>
      <c r="AE8" s="75" t="s">
        <v>367</v>
      </c>
      <c r="AI8" s="73" t="s">
        <v>384</v>
      </c>
      <c r="AJ8" s="73" t="s">
        <v>438</v>
      </c>
      <c r="AK8" s="73" t="s">
        <v>439</v>
      </c>
      <c r="AL8" s="73" t="s">
        <v>388</v>
      </c>
      <c r="AM8" s="73" t="s">
        <v>387</v>
      </c>
      <c r="AN8" s="73" t="s">
        <v>395</v>
      </c>
      <c r="AO8" s="73" t="s">
        <v>440</v>
      </c>
    </row>
    <row r="9" spans="2:41" ht="15" customHeight="1" x14ac:dyDescent="0.25">
      <c r="B9" s="998" t="s">
        <v>441</v>
      </c>
      <c r="C9" s="999"/>
      <c r="D9" s="1000"/>
      <c r="E9" s="245" t="str">
        <f>IF($E$3="", "", IFERROR($AE$32,""))</f>
        <v/>
      </c>
      <c r="K9" s="989"/>
      <c r="L9" s="990"/>
      <c r="M9" s="990"/>
      <c r="N9" s="990"/>
      <c r="O9" s="991"/>
      <c r="AG9" s="71" t="s">
        <v>332</v>
      </c>
      <c r="AI9" s="76" t="str">
        <f>IFERROR($AE$14,"")</f>
        <v/>
      </c>
      <c r="AJ9" s="76" t="str">
        <f>IF($E$3="", "", IFERROR(IF($AI$9="NYC","N/A",IF($E$11="Electric","Yes","No")),""))</f>
        <v/>
      </c>
      <c r="AK9" s="76" t="str">
        <f>IF($E$3="", "", IFERROR(IF($AI$9="NYC", "Yes", IF($E$11="Fossil", "Yes", "No")),""))</f>
        <v/>
      </c>
      <c r="AL9" s="76" t="str">
        <f>IFERROR(IF(VLOOKUP($E$3,'Zip Lookup'!$B$6:$G$2214,4,FALSE)="Downstate", "KEDLI/KEDNY", "NIMO"),"")</f>
        <v/>
      </c>
      <c r="AM9" s="76" t="str">
        <f>IF($E$3="", "", IFERROR($E$6,""))</f>
        <v/>
      </c>
      <c r="AN9" s="76" t="str">
        <f>IFERROR($E$8,"")</f>
        <v/>
      </c>
      <c r="AO9" s="76" t="str">
        <f>IF($E$3="", "", IFERROR(IF(AND($AI$9&lt;&gt;"NYC", $AJ$9="Yes"),"Electric", "Gas"),""))</f>
        <v/>
      </c>
    </row>
    <row r="10" spans="2:41" ht="15" customHeight="1" x14ac:dyDescent="0.25">
      <c r="B10" s="998" t="s">
        <v>442</v>
      </c>
      <c r="C10" s="999"/>
      <c r="D10" s="1000"/>
      <c r="E10" s="716"/>
      <c r="K10" s="989"/>
      <c r="L10" s="990"/>
      <c r="M10" s="990"/>
      <c r="N10" s="990"/>
      <c r="O10" s="991"/>
      <c r="AE10" s="71" t="s">
        <v>250</v>
      </c>
      <c r="AG10" s="75" t="s">
        <v>192</v>
      </c>
    </row>
    <row r="11" spans="2:41" ht="15" customHeight="1" x14ac:dyDescent="0.25">
      <c r="B11" s="998" t="s">
        <v>354</v>
      </c>
      <c r="C11" s="999"/>
      <c r="D11" s="1000"/>
      <c r="E11" s="207" t="str">
        <f>IF($E$3="", "", IFERROR(IF(OR($E$10="AC With Electric Heat", $E$10="Air Source Heat Pump", $E$10="Electric Heat Only"), "Electric", "Fossil"),""))</f>
        <v/>
      </c>
      <c r="K11" s="989"/>
      <c r="L11" s="990"/>
      <c r="M11" s="990"/>
      <c r="N11" s="990"/>
      <c r="O11" s="991"/>
      <c r="AA11" s="251"/>
      <c r="AE11" s="75">
        <f>IFERROR($E$4,"")</f>
        <v>0</v>
      </c>
      <c r="AG11" s="75" t="s">
        <v>194</v>
      </c>
      <c r="AI11" s="72" t="s">
        <v>443</v>
      </c>
    </row>
    <row r="12" spans="2:41" ht="15" customHeight="1" x14ac:dyDescent="0.25">
      <c r="B12" s="998" t="s">
        <v>361</v>
      </c>
      <c r="C12" s="999"/>
      <c r="D12" s="1000"/>
      <c r="E12" s="207" t="str">
        <f>IF($E$3="", "", IFERROR(IF(OR($E$10="AC With Electric Heat", $E$10="AC With Fuel Heat", $E$10="Air Source Heat Pump"), "Electric", "None"),""))</f>
        <v/>
      </c>
      <c r="K12" s="989"/>
      <c r="L12" s="990"/>
      <c r="M12" s="990"/>
      <c r="N12" s="990"/>
      <c r="O12" s="991"/>
      <c r="AI12" s="264" t="str">
        <f>IF($E$3="", "", IF(AND($AL$9="KEDLI/KEDNY",$AK$9="Yes"),"KEDLI/KEDNY "&amp;$AM$9, "NIMO "&amp;$AO$9&amp;" "&amp;$AM$9))</f>
        <v/>
      </c>
    </row>
    <row r="13" spans="2:41" ht="15" customHeight="1" x14ac:dyDescent="0.25">
      <c r="B13" s="998" t="s">
        <v>444</v>
      </c>
      <c r="C13" s="999"/>
      <c r="D13" s="1000"/>
      <c r="E13" s="718"/>
      <c r="F13" s="305" t="str">
        <f>IF($E$13="", "If unknown, leave blank.","")</f>
        <v>If unknown, leave blank.</v>
      </c>
      <c r="K13" s="989"/>
      <c r="L13" s="990"/>
      <c r="M13" s="990"/>
      <c r="N13" s="990"/>
      <c r="O13" s="991"/>
      <c r="AE13" s="71" t="s">
        <v>445</v>
      </c>
      <c r="AG13" s="71" t="s">
        <v>346</v>
      </c>
    </row>
    <row r="14" spans="2:41" ht="15" customHeight="1" x14ac:dyDescent="0.25">
      <c r="B14" s="998" t="s">
        <v>446</v>
      </c>
      <c r="C14" s="999"/>
      <c r="D14" s="1000"/>
      <c r="E14" s="719"/>
      <c r="F14" s="305" t="str">
        <f>IF($E$14="", "If unknown, leave blank.","")</f>
        <v>If unknown, leave blank.</v>
      </c>
      <c r="K14" s="989"/>
      <c r="L14" s="990"/>
      <c r="M14" s="990"/>
      <c r="N14" s="990"/>
      <c r="O14" s="991"/>
      <c r="AE14" s="75" t="str">
        <f>IFERROR(VLOOKUP($E$3,'Zip Lookup'!$B$6:$G$2214, 2,FALSE),"")</f>
        <v/>
      </c>
      <c r="AG14" s="75" t="s">
        <v>192</v>
      </c>
    </row>
    <row r="15" spans="2:41" ht="15" customHeight="1" x14ac:dyDescent="0.25">
      <c r="B15" s="998" t="s">
        <v>447</v>
      </c>
      <c r="C15" s="999"/>
      <c r="D15" s="1000"/>
      <c r="E15" s="719"/>
      <c r="F15" s="305" t="str">
        <f>IF($E$15="", "If unknown, leave blank.","")</f>
        <v>If unknown, leave blank.</v>
      </c>
      <c r="K15" s="989"/>
      <c r="L15" s="990"/>
      <c r="M15" s="990"/>
      <c r="N15" s="990"/>
      <c r="O15" s="991"/>
      <c r="AG15" s="75" t="s">
        <v>352</v>
      </c>
    </row>
    <row r="16" spans="2:41" x14ac:dyDescent="0.25">
      <c r="K16" s="989"/>
      <c r="L16" s="990"/>
      <c r="M16" s="990"/>
      <c r="N16" s="990"/>
      <c r="O16" s="991"/>
      <c r="AE16" s="71" t="s">
        <v>426</v>
      </c>
    </row>
    <row r="17" spans="2:40" x14ac:dyDescent="0.25">
      <c r="B17" s="1001" t="s">
        <v>122</v>
      </c>
      <c r="C17" s="1001"/>
      <c r="D17" s="1001"/>
      <c r="E17" s="720"/>
      <c r="K17" s="989"/>
      <c r="L17" s="990"/>
      <c r="M17" s="990"/>
      <c r="N17" s="990"/>
      <c r="O17" s="991"/>
      <c r="AE17" s="75">
        <f>IFERROR($E$10,"")</f>
        <v>0</v>
      </c>
      <c r="AG17" s="71" t="s">
        <v>448</v>
      </c>
    </row>
    <row r="18" spans="2:40" x14ac:dyDescent="0.25">
      <c r="B18" s="1001" t="s">
        <v>449</v>
      </c>
      <c r="C18" s="1001"/>
      <c r="D18" s="1001"/>
      <c r="E18" s="720"/>
      <c r="K18" s="992"/>
      <c r="L18" s="993"/>
      <c r="M18" s="993"/>
      <c r="N18" s="993"/>
      <c r="O18" s="994"/>
      <c r="AG18" s="75" t="s">
        <v>450</v>
      </c>
    </row>
    <row r="19" spans="2:40" x14ac:dyDescent="0.25">
      <c r="B19" s="1001" t="s">
        <v>126</v>
      </c>
      <c r="C19" s="1001"/>
      <c r="D19" s="1001"/>
      <c r="E19" s="110" t="str">
        <f>IFERROR(IF($E$2="", "", $E$18+$E$17),"")</f>
        <v/>
      </c>
      <c r="AE19" s="71" t="s">
        <v>451</v>
      </c>
      <c r="AG19" s="75" t="s">
        <v>452</v>
      </c>
    </row>
    <row r="20" spans="2:40" x14ac:dyDescent="0.25">
      <c r="K20" s="382"/>
      <c r="L20" s="382"/>
      <c r="M20" s="382"/>
      <c r="N20" s="382"/>
      <c r="O20" s="382"/>
      <c r="AE20" s="75" t="str">
        <f>IFERROR($AE$11&amp;$AE$14&amp;$AE$17,"")</f>
        <v>00</v>
      </c>
    </row>
    <row r="21" spans="2:40" x14ac:dyDescent="0.25">
      <c r="B21" s="1003" t="s">
        <v>453</v>
      </c>
      <c r="C21" s="1003"/>
      <c r="D21" s="1003"/>
      <c r="E21" s="265" t="str" cm="1">
        <f t="array" ref="E21">IF($J$75="","", IF(AND($E$7="NYC", $E$11="Electric"),"N/A", IFERROR(MIN($X$75+$Y$75,INDEX('WINDOW INCENTIVES'!$I$3:$I$26,MATCH(1,INDEX(('WINDOW INCENTIVES'!$B$3:$B$26=$AI$12)*('WINDOW INCENTIVES'!$F$3:$F$26=$E$8),0),0))*$E$19,INDEX('WINDOW INCENTIVES'!$J$3:$J$26,MATCH(1,INDEX(('WINDOW INCENTIVES'!$B$3:$B$26=$AI$12)*('WINDOW INCENTIVES'!$F$3:$F$26=$E$8),0),0))),"")))</f>
        <v/>
      </c>
      <c r="F21" s="1" t="str">
        <f>IF(AND($E$7="NYC",$E$11="Electric"),"National Grid does not serve the electricity market in NYC/LI.","")</f>
        <v/>
      </c>
      <c r="K21" s="382"/>
      <c r="L21" s="382"/>
      <c r="M21" s="382"/>
      <c r="N21" s="382"/>
      <c r="O21" s="382"/>
      <c r="AG21" s="71" t="s">
        <v>454</v>
      </c>
      <c r="AJ21" s="63"/>
      <c r="AK21" s="63"/>
      <c r="AL21" s="63"/>
      <c r="AM21" s="63"/>
      <c r="AN21" s="63"/>
    </row>
    <row r="22" spans="2:40" x14ac:dyDescent="0.25">
      <c r="B22" s="146" t="str">
        <f>'App Cust Info'!K66</f>
        <v>V1.0 4/2/26</v>
      </c>
      <c r="V22" s="1007"/>
      <c r="W22" s="1007"/>
      <c r="AE22" s="71" t="s">
        <v>455</v>
      </c>
      <c r="AG22" s="75" t="s">
        <v>456</v>
      </c>
      <c r="AJ22" s="63"/>
      <c r="AK22" s="63"/>
      <c r="AL22" s="63"/>
      <c r="AM22" s="63"/>
      <c r="AN22" s="63"/>
    </row>
    <row r="23" spans="2:40" x14ac:dyDescent="0.25">
      <c r="K23" s="967" t="s">
        <v>457</v>
      </c>
      <c r="L23" s="970"/>
      <c r="M23" s="970"/>
      <c r="N23" s="970"/>
      <c r="O23" s="968"/>
      <c r="Q23" s="967" t="s">
        <v>132</v>
      </c>
      <c r="R23" s="970"/>
      <c r="S23" s="970"/>
      <c r="T23" s="970"/>
      <c r="U23" s="968"/>
      <c r="V23" s="967" t="s">
        <v>458</v>
      </c>
      <c r="W23" s="970"/>
      <c r="X23" s="970"/>
      <c r="Y23" s="968"/>
      <c r="AE23" s="261" t="str">
        <f>IFERROR(VLOOKUP($AE$20,'TRM V13 Appendix F'!$I$4:$L$423,2,FALSE),"")</f>
        <v/>
      </c>
      <c r="AG23" s="75" t="s">
        <v>459</v>
      </c>
    </row>
    <row r="24" spans="2:40" ht="45" x14ac:dyDescent="0.25">
      <c r="B24" s="206" t="s">
        <v>460</v>
      </c>
      <c r="C24" s="206" t="s">
        <v>461</v>
      </c>
      <c r="D24" s="206" t="s">
        <v>462</v>
      </c>
      <c r="E24" s="206" t="s">
        <v>134</v>
      </c>
      <c r="F24" s="1002" t="s">
        <v>463</v>
      </c>
      <c r="G24" s="1002"/>
      <c r="H24" s="1002" t="s">
        <v>464</v>
      </c>
      <c r="I24" s="1002"/>
      <c r="J24" s="206" t="s">
        <v>465</v>
      </c>
      <c r="K24" s="206" t="s">
        <v>466</v>
      </c>
      <c r="L24" s="206" t="s">
        <v>467</v>
      </c>
      <c r="M24" s="206" t="s">
        <v>468</v>
      </c>
      <c r="N24" s="206" t="s">
        <v>469</v>
      </c>
      <c r="O24" s="206" t="s">
        <v>470</v>
      </c>
      <c r="P24" s="206" t="s">
        <v>471</v>
      </c>
      <c r="Q24" s="206" t="s">
        <v>472</v>
      </c>
      <c r="R24" s="206" t="s">
        <v>473</v>
      </c>
      <c r="S24" s="206" t="s">
        <v>160</v>
      </c>
      <c r="T24" s="206" t="s">
        <v>474</v>
      </c>
      <c r="U24" s="206" t="s">
        <v>406</v>
      </c>
      <c r="V24" s="206" t="s">
        <v>475</v>
      </c>
      <c r="W24" s="206" t="s">
        <v>476</v>
      </c>
      <c r="X24" s="206" t="s">
        <v>477</v>
      </c>
      <c r="Y24" s="206" t="s">
        <v>478</v>
      </c>
      <c r="AE24" s="99"/>
    </row>
    <row r="25" spans="2:40" ht="18" x14ac:dyDescent="0.35">
      <c r="B25" s="209">
        <v>1</v>
      </c>
      <c r="C25" s="480"/>
      <c r="D25" s="480"/>
      <c r="E25" s="480"/>
      <c r="F25" s="482"/>
      <c r="G25" s="861"/>
      <c r="H25" s="482"/>
      <c r="I25" s="861"/>
      <c r="J25" s="208">
        <f>IF(OR(L25="", M25="", N25="", Q25="No"), 0, IF(ISBLANK(C25),"",IF(OR(G25="",I25=""),"Need Units",(F25*H25*C25)/(IF(G25="Inches",12,1)*IF(I25="Inches",12,1)))))</f>
        <v>0</v>
      </c>
      <c r="K25" s="480"/>
      <c r="L25" s="723"/>
      <c r="M25" s="723"/>
      <c r="N25" s="723"/>
      <c r="O25" s="723"/>
      <c r="P25" s="480"/>
      <c r="Q25" s="210" t="str" cm="1">
        <f t="array" ref="Q25">IF(OR($L25="",$M25="",$N25=""),"",IF(AND($L25&lt;=INDEX('WINDOW CODE'!$C$4:$D$6,MATCH($AG$32,'WINDOW CODE'!$B$4:$B$6,0),IF($K25="Fixed",1,2)),$M25&lt;=INDEX('WINDOW CODE'!$E$4:$E$6,MATCH($AG$32,'WINDOW CODE'!$B$4:$B$6,0)),$N25&gt;=INDEX('WINDOW CODE'!$F$4:$F$6,MATCH($AG$32,'WINDOW CODE'!$B$4:$B$6,0))),"Yes","No"))</f>
        <v/>
      </c>
      <c r="R25" s="256" t="str">
        <f t="shared" ref="R25:R56" si="0">IFERROR(IF($AE$17="Electric Heat Only", $AE$23*(J25/100)*1/1, $AE$23*(J25/100)*$AH$26/$AE$37),"")</f>
        <v/>
      </c>
      <c r="S25" s="259" t="str">
        <f t="shared" ref="S25:S56" si="1">IFERROR($AE$26*(J25/100)*$AH$29*$AH$25/$AE$35,"")</f>
        <v/>
      </c>
      <c r="T25" s="257" t="str">
        <f t="shared" ref="T25:T56" si="2">IFERROR((J25/100)*($AE$29/10)*($AH$27/$AE$39),"")</f>
        <v/>
      </c>
      <c r="U25" s="256" t="str">
        <f>IFERROR(T25*10,"")</f>
        <v/>
      </c>
      <c r="V25" s="243" t="str" cm="1">
        <f t="array" ref="V25">IF($AI$12="","", IF(OR($AI$12="NIMO Electric LCI", $AI$12="NIMO Electric SMB"), IFERROR(INDEX('WINDOW INCENTIVES'!$H$3:$H$26, MATCH(1,INDEX(('WINDOW INCENTIVES'!$B$3:$B$26=$AI$12)*('WINDOW INCENTIVES'!$F$3:$F$26=$E$8)*(L25&gt;='WINDOW INCENTIVES'!$D$3:$D$26)*(L25&lt;='WINDOW INCENTIVES'!$E$3:$E$26),0),0)),0),0))</f>
        <v/>
      </c>
      <c r="W25" s="243" t="str" cm="1">
        <f t="array" ref="W25">IF($AI$12="","",IF(OR($AI$12="KEDLI/KEDNY LCI",$AI$12="KEDLI/KEDNY SMB",$AI$12="NIMO GAS LCI",$AI$12="NIMO GAS SMB"),IFERROR(INDEX('WINDOW INCENTIVES'!$H$3:$H$26,MATCH(1,INDEX(('WINDOW INCENTIVES'!$B$3:$B$26=$AI$12)*('WINDOW INCENTIVES'!$F$3:$F$26=$E$8)*(L25&gt;='WINDOW INCENTIVES'!$D$3:$D$26)*(L25&lt;='WINDOW INCENTIVES'!$E$3:$E$26),0),0)),0),0))</f>
        <v/>
      </c>
      <c r="X25" s="243" t="str">
        <f>IFERROR(V25*J25,"")</f>
        <v/>
      </c>
      <c r="Y25" s="243" t="str">
        <f>IFERROR(W25*J25,"")</f>
        <v/>
      </c>
      <c r="AE25" s="250" t="s">
        <v>479</v>
      </c>
      <c r="AG25" s="260" t="s">
        <v>480</v>
      </c>
      <c r="AH25" s="341">
        <v>14.8</v>
      </c>
      <c r="AI25" s="1" t="s">
        <v>481</v>
      </c>
    </row>
    <row r="26" spans="2:40" ht="18" x14ac:dyDescent="0.35">
      <c r="B26" s="209">
        <v>2</v>
      </c>
      <c r="C26" s="480"/>
      <c r="D26" s="480"/>
      <c r="E26" s="480"/>
      <c r="F26" s="482"/>
      <c r="G26" s="861"/>
      <c r="H26" s="482"/>
      <c r="I26" s="861"/>
      <c r="J26" s="208">
        <f t="shared" ref="J26:J74" si="3">IF(OR(L26="", M26="", N26="", Q26="No"), 0, IF(ISBLANK(C26),"",IF(OR(G26="",I26=""),"Need Units",(F26*H26*C26)/(IF(G26="Inches",12,1)*IF(I26="Inches",12,1)))))</f>
        <v>0</v>
      </c>
      <c r="K26" s="480"/>
      <c r="L26" s="723"/>
      <c r="M26" s="723"/>
      <c r="N26" s="723"/>
      <c r="O26" s="723"/>
      <c r="P26" s="480"/>
      <c r="Q26" s="210" t="str" cm="1">
        <f t="array" ref="Q26">IF(OR($L26="",$M26="",$N26=""),"",IF(AND($L26&lt;=INDEX('WINDOW CODE'!$C$4:$D$6,MATCH($AG$32,'WINDOW CODE'!$B$4:$B$6,0),IF($K26="Fixed",1,2)),$M26&lt;=INDEX('WINDOW CODE'!$E$4:$E$6,MATCH($AG$32,'WINDOW CODE'!$B$4:$B$6,0)),$N26&gt;=INDEX('WINDOW CODE'!$F$4:$F$6,MATCH($AG$32,'WINDOW CODE'!$B$4:$B$6,0))),"Yes","No"))</f>
        <v/>
      </c>
      <c r="R26" s="256" t="str">
        <f t="shared" si="0"/>
        <v/>
      </c>
      <c r="S26" s="259" t="str">
        <f t="shared" si="1"/>
        <v/>
      </c>
      <c r="T26" s="257" t="str">
        <f t="shared" si="2"/>
        <v/>
      </c>
      <c r="U26" s="256" t="str">
        <f t="shared" ref="U26:U34" si="4">IFERROR(T26*10,"")</f>
        <v/>
      </c>
      <c r="V26" s="243" t="str" cm="1">
        <f t="array" ref="V26">IF($AI$12="","", IF(OR($AI$12="NIMO Electric LCI", $AI$12="NIMO Electric SMB"), IFERROR(INDEX('WINDOW INCENTIVES'!$H$3:$H$26, MATCH(1,INDEX(('WINDOW INCENTIVES'!$B$3:$B$26=$AI$12)*('WINDOW INCENTIVES'!$F$3:$F$26=$E$8)*(L26&gt;='WINDOW INCENTIVES'!$D$3:$D$26)*(L26&lt;='WINDOW INCENTIVES'!$E$3:$E$26),0),0)),0),0))</f>
        <v/>
      </c>
      <c r="W26" s="243" t="str" cm="1">
        <f t="array" ref="W26">IF($AI$12="","",IF(OR($AI$12="KEDLI/KEDNY LCI",$AI$12="KEDLI/KEDNY SMB",$AI$12="NIMO GAS LCI",$AI$12="NIMO GAS SMB"),IFERROR(INDEX('WINDOW INCENTIVES'!$H$3:$H$26,MATCH(1,INDEX(('WINDOW INCENTIVES'!$B$3:$B$26=$AI$12)*('WINDOW INCENTIVES'!$F$3:$F$26=$E$8)*(L26&gt;='WINDOW INCENTIVES'!$D$3:$D$26)*(L26&lt;='WINDOW INCENTIVES'!$E$3:$E$26),0),0)),0),0))</f>
        <v/>
      </c>
      <c r="X26" s="243" t="str">
        <f t="shared" ref="X26:X56" si="5">IFERROR(V26*J26,"")</f>
        <v/>
      </c>
      <c r="Y26" s="243" t="str">
        <f t="shared" ref="Y26:Y56" si="6">IFERROR(W26*J26,"")</f>
        <v/>
      </c>
      <c r="AE26" s="262" t="str">
        <f>IFERROR(VLOOKUP($AE$20,'TRM V13 Appendix F'!$I$4:$L$423,3,FALSE),"")</f>
        <v/>
      </c>
      <c r="AG26" s="260" t="s">
        <v>482</v>
      </c>
      <c r="AH26" s="341">
        <v>13.4</v>
      </c>
      <c r="AI26" s="1" t="s">
        <v>481</v>
      </c>
    </row>
    <row r="27" spans="2:40" ht="18" x14ac:dyDescent="0.35">
      <c r="B27" s="209">
        <v>3</v>
      </c>
      <c r="C27" s="480"/>
      <c r="D27" s="480"/>
      <c r="E27" s="480"/>
      <c r="F27" s="482"/>
      <c r="G27" s="861"/>
      <c r="H27" s="482"/>
      <c r="I27" s="861"/>
      <c r="J27" s="208">
        <f t="shared" si="3"/>
        <v>0</v>
      </c>
      <c r="K27" s="480"/>
      <c r="L27" s="723"/>
      <c r="M27" s="723"/>
      <c r="N27" s="723"/>
      <c r="O27" s="723"/>
      <c r="P27" s="480"/>
      <c r="Q27" s="210" t="str" cm="1">
        <f t="array" ref="Q27">IF(OR($L27="",$M27="",$N27=""),"",IF(AND($L27&lt;=INDEX('WINDOW CODE'!$C$4:$D$6,MATCH($AG$32,'WINDOW CODE'!$B$4:$B$6,0),IF($K27="Fixed",1,2)),$M27&lt;=INDEX('WINDOW CODE'!$E$4:$E$6,MATCH($AG$32,'WINDOW CODE'!$B$4:$B$6,0)),$N27&gt;=INDEX('WINDOW CODE'!$F$4:$F$6,MATCH($AG$32,'WINDOW CODE'!$B$4:$B$6,0))),"Yes","No"))</f>
        <v/>
      </c>
      <c r="R27" s="256" t="str">
        <f t="shared" si="0"/>
        <v/>
      </c>
      <c r="S27" s="259" t="str">
        <f t="shared" si="1"/>
        <v/>
      </c>
      <c r="T27" s="257" t="str">
        <f t="shared" si="2"/>
        <v/>
      </c>
      <c r="U27" s="256" t="str">
        <f t="shared" si="4"/>
        <v/>
      </c>
      <c r="V27" s="243" t="str" cm="1">
        <f t="array" ref="V27">IF($AI$12="","", IF(OR($AI$12="NIMO Electric LCI", $AI$12="NIMO Electric SMB"), IFERROR(INDEX('WINDOW INCENTIVES'!$H$3:$H$26, MATCH(1,INDEX(('WINDOW INCENTIVES'!$B$3:$B$26=$AI$12)*('WINDOW INCENTIVES'!$F$3:$F$26=$E$8)*(L27&gt;='WINDOW INCENTIVES'!$D$3:$D$26)*(L27&lt;='WINDOW INCENTIVES'!$E$3:$E$26),0),0)),0),0))</f>
        <v/>
      </c>
      <c r="W27" s="243" t="str" cm="1">
        <f t="array" ref="W27">IF($AI$12="","",IF(OR($AI$12="KEDLI/KEDNY LCI",$AI$12="KEDLI/KEDNY SMB",$AI$12="NIMO GAS LCI",$AI$12="NIMO GAS SMB"),IFERROR(INDEX('WINDOW INCENTIVES'!$H$3:$H$26,MATCH(1,INDEX(('WINDOW INCENTIVES'!$B$3:$B$26=$AI$12)*('WINDOW INCENTIVES'!$F$3:$F$26=$E$8)*(L27&gt;='WINDOW INCENTIVES'!$D$3:$D$26)*(L27&lt;='WINDOW INCENTIVES'!$E$3:$E$26),0),0)),0),0))</f>
        <v/>
      </c>
      <c r="X27" s="243" t="str">
        <f t="shared" si="5"/>
        <v/>
      </c>
      <c r="Y27" s="243" t="str">
        <f t="shared" si="6"/>
        <v/>
      </c>
      <c r="AE27" s="99"/>
      <c r="AG27" s="260" t="s">
        <v>483</v>
      </c>
      <c r="AH27" s="341">
        <v>0.84</v>
      </c>
      <c r="AI27" s="1" t="s">
        <v>481</v>
      </c>
    </row>
    <row r="28" spans="2:40" x14ac:dyDescent="0.25">
      <c r="B28" s="209">
        <v>4</v>
      </c>
      <c r="C28" s="480"/>
      <c r="D28" s="480"/>
      <c r="E28" s="480"/>
      <c r="F28" s="482"/>
      <c r="G28" s="861"/>
      <c r="H28" s="482"/>
      <c r="I28" s="861"/>
      <c r="J28" s="208">
        <f t="shared" si="3"/>
        <v>0</v>
      </c>
      <c r="K28" s="480"/>
      <c r="L28" s="723"/>
      <c r="M28" s="723"/>
      <c r="N28" s="723"/>
      <c r="O28" s="723"/>
      <c r="P28" s="480"/>
      <c r="Q28" s="210" t="str" cm="1">
        <f t="array" ref="Q28">IF(OR($L28="",$M28="",$N28=""),"",IF(AND($L28&lt;=INDEX('WINDOW CODE'!$C$4:$D$6,MATCH($AG$32,'WINDOW CODE'!$B$4:$B$6,0),IF($K28="Fixed",1,2)),$M28&lt;=INDEX('WINDOW CODE'!$E$4:$E$6,MATCH($AG$32,'WINDOW CODE'!$B$4:$B$6,0)),$N28&gt;=INDEX('WINDOW CODE'!$F$4:$F$6,MATCH($AG$32,'WINDOW CODE'!$B$4:$B$6,0))),"Yes","No"))</f>
        <v/>
      </c>
      <c r="R28" s="256" t="str">
        <f t="shared" si="0"/>
        <v/>
      </c>
      <c r="S28" s="259" t="str">
        <f t="shared" si="1"/>
        <v/>
      </c>
      <c r="T28" s="257" t="str">
        <f t="shared" si="2"/>
        <v/>
      </c>
      <c r="U28" s="256" t="str">
        <f t="shared" si="4"/>
        <v/>
      </c>
      <c r="V28" s="243" t="str" cm="1">
        <f t="array" ref="V28">IF($AI$12="","", IF(OR($AI$12="NIMO Electric LCI", $AI$12="NIMO Electric SMB"), IFERROR(INDEX('WINDOW INCENTIVES'!$H$3:$H$26, MATCH(1,INDEX(('WINDOW INCENTIVES'!$B$3:$B$26=$AI$12)*('WINDOW INCENTIVES'!$F$3:$F$26=$E$8)*(L28&gt;='WINDOW INCENTIVES'!$D$3:$D$26)*(L28&lt;='WINDOW INCENTIVES'!$E$3:$E$26),0),0)),0),0))</f>
        <v/>
      </c>
      <c r="W28" s="243" t="str" cm="1">
        <f t="array" ref="W28">IF($AI$12="","",IF(OR($AI$12="KEDLI/KEDNY LCI",$AI$12="KEDLI/KEDNY SMB",$AI$12="NIMO GAS LCI",$AI$12="NIMO GAS SMB"),IFERROR(INDEX('WINDOW INCENTIVES'!$H$3:$H$26,MATCH(1,INDEX(('WINDOW INCENTIVES'!$B$3:$B$26=$AI$12)*('WINDOW INCENTIVES'!$F$3:$F$26=$E$8)*(L28&gt;='WINDOW INCENTIVES'!$D$3:$D$26)*(L28&lt;='WINDOW INCENTIVES'!$E$3:$E$26),0),0)),0),0))</f>
        <v/>
      </c>
      <c r="X28" s="243" t="str">
        <f t="shared" si="5"/>
        <v/>
      </c>
      <c r="Y28" s="243" t="str">
        <f t="shared" si="6"/>
        <v/>
      </c>
      <c r="AE28" s="250" t="s">
        <v>484</v>
      </c>
      <c r="AG28" s="204"/>
      <c r="AH28" s="63"/>
    </row>
    <row r="29" spans="2:40" x14ac:dyDescent="0.25">
      <c r="B29" s="209">
        <v>5</v>
      </c>
      <c r="C29" s="480"/>
      <c r="D29" s="480"/>
      <c r="E29" s="480"/>
      <c r="F29" s="482"/>
      <c r="G29" s="861"/>
      <c r="H29" s="482"/>
      <c r="I29" s="861"/>
      <c r="J29" s="208">
        <f t="shared" si="3"/>
        <v>0</v>
      </c>
      <c r="K29" s="480"/>
      <c r="L29" s="723"/>
      <c r="M29" s="723"/>
      <c r="N29" s="723"/>
      <c r="O29" s="723"/>
      <c r="P29" s="480"/>
      <c r="Q29" s="210" t="str" cm="1">
        <f t="array" ref="Q29">IF(OR($L29="",$M29="",$N29=""),"",IF(AND($L29&lt;=INDEX('WINDOW CODE'!$C$4:$D$6,MATCH($AG$32,'WINDOW CODE'!$B$4:$B$6,0),IF($K29="Fixed",1,2)),$M29&lt;=INDEX('WINDOW CODE'!$E$4:$E$6,MATCH($AG$32,'WINDOW CODE'!$B$4:$B$6,0)),$N29&gt;=INDEX('WINDOW CODE'!$F$4:$F$6,MATCH($AG$32,'WINDOW CODE'!$B$4:$B$6,0))),"Yes","No"))</f>
        <v/>
      </c>
      <c r="R29" s="256" t="str">
        <f t="shared" si="0"/>
        <v/>
      </c>
      <c r="S29" s="259" t="str">
        <f t="shared" si="1"/>
        <v/>
      </c>
      <c r="T29" s="257" t="str">
        <f t="shared" si="2"/>
        <v/>
      </c>
      <c r="U29" s="256" t="str">
        <f>IFERROR(T29*10,"")</f>
        <v/>
      </c>
      <c r="V29" s="243" t="str" cm="1">
        <f t="array" ref="V29">IF($AI$12="","", IF(OR($AI$12="NIMO Electric LCI", $AI$12="NIMO Electric SMB"), IFERROR(INDEX('WINDOW INCENTIVES'!$H$3:$H$26, MATCH(1,INDEX(('WINDOW INCENTIVES'!$B$3:$B$26=$AI$12)*('WINDOW INCENTIVES'!$F$3:$F$26=$E$8)*(L29&gt;='WINDOW INCENTIVES'!$D$3:$D$26)*(L29&lt;='WINDOW INCENTIVES'!$E$3:$E$26),0),0)),0),0))</f>
        <v/>
      </c>
      <c r="W29" s="243" t="str" cm="1">
        <f t="array" ref="W29">IF($AI$12="","",IF(OR($AI$12="KEDLI/KEDNY LCI",$AI$12="KEDLI/KEDNY SMB",$AI$12="NIMO GAS LCI",$AI$12="NIMO GAS SMB"),IFERROR(INDEX('WINDOW INCENTIVES'!$H$3:$H$26,MATCH(1,INDEX(('WINDOW INCENTIVES'!$B$3:$B$26=$AI$12)*('WINDOW INCENTIVES'!$F$3:$F$26=$E$8)*(L29&gt;='WINDOW INCENTIVES'!$D$3:$D$26)*(L29&lt;='WINDOW INCENTIVES'!$E$3:$E$26),0),0)),0),0))</f>
        <v/>
      </c>
      <c r="X29" s="243" t="str">
        <f t="shared" si="5"/>
        <v/>
      </c>
      <c r="Y29" s="243" t="str">
        <f t="shared" si="6"/>
        <v/>
      </c>
      <c r="AE29" s="261" t="str">
        <f>IFERROR(VLOOKUP($AE$20,'TRM V13 Appendix F'!$I$4:$L$423,4,FALSE),"")</f>
        <v/>
      </c>
      <c r="AG29" s="260" t="str">
        <f>IF($AE$14="NYC", "CF ("&amp;AE14&amp;")", "CF (Non-NYC)")</f>
        <v>CF (Non-NYC)</v>
      </c>
      <c r="AH29" s="263">
        <f>IFERROR(IF($AE$14="NYC", 0.822, IF($AE$14="ZIP ERROR", "ZIP ERROR", 0.477)),"")</f>
        <v>0.47699999999999998</v>
      </c>
    </row>
    <row r="30" spans="2:40" x14ac:dyDescent="0.25">
      <c r="B30" s="209">
        <v>6</v>
      </c>
      <c r="C30" s="480"/>
      <c r="D30" s="480"/>
      <c r="E30" s="480"/>
      <c r="F30" s="482"/>
      <c r="G30" s="861"/>
      <c r="H30" s="482"/>
      <c r="I30" s="861"/>
      <c r="J30" s="208">
        <f t="shared" si="3"/>
        <v>0</v>
      </c>
      <c r="K30" s="480"/>
      <c r="L30" s="723"/>
      <c r="M30" s="723"/>
      <c r="N30" s="723"/>
      <c r="O30" s="723"/>
      <c r="P30" s="480"/>
      <c r="Q30" s="210" t="str" cm="1">
        <f t="array" ref="Q30">IF(OR($L30="",$M30="",$N30=""),"",IF(AND($L30&lt;=INDEX('WINDOW CODE'!$C$4:$D$6,MATCH($AG$32,'WINDOW CODE'!$B$4:$B$6,0),IF($K30="Fixed",1,2)),$M30&lt;=INDEX('WINDOW CODE'!$E$4:$E$6,MATCH($AG$32,'WINDOW CODE'!$B$4:$B$6,0)),$N30&gt;=INDEX('WINDOW CODE'!$F$4:$F$6,MATCH($AG$32,'WINDOW CODE'!$B$4:$B$6,0))),"Yes","No"))</f>
        <v/>
      </c>
      <c r="R30" s="256" t="str">
        <f t="shared" si="0"/>
        <v/>
      </c>
      <c r="S30" s="259" t="str">
        <f t="shared" si="1"/>
        <v/>
      </c>
      <c r="T30" s="257" t="str">
        <f t="shared" si="2"/>
        <v/>
      </c>
      <c r="U30" s="256" t="str">
        <f t="shared" si="4"/>
        <v/>
      </c>
      <c r="V30" s="243" t="str" cm="1">
        <f t="array" ref="V30">IF($AI$12="","", IF(OR($AI$12="NIMO Electric LCI", $AI$12="NIMO Electric SMB"), IFERROR(INDEX('WINDOW INCENTIVES'!$H$3:$H$26, MATCH(1,INDEX(('WINDOW INCENTIVES'!$B$3:$B$26=$AI$12)*('WINDOW INCENTIVES'!$F$3:$F$26=$E$8)*(L30&gt;='WINDOW INCENTIVES'!$D$3:$D$26)*(L30&lt;='WINDOW INCENTIVES'!$E$3:$E$26),0),0)),0),0))</f>
        <v/>
      </c>
      <c r="W30" s="243" t="str" cm="1">
        <f t="array" ref="W30">IF($AI$12="","",IF(OR($AI$12="KEDLI/KEDNY LCI",$AI$12="KEDLI/KEDNY SMB",$AI$12="NIMO GAS LCI",$AI$12="NIMO GAS SMB"),IFERROR(INDEX('WINDOW INCENTIVES'!$H$3:$H$26,MATCH(1,INDEX(('WINDOW INCENTIVES'!$B$3:$B$26=$AI$12)*('WINDOW INCENTIVES'!$F$3:$F$26=$E$8)*(L30&gt;='WINDOW INCENTIVES'!$D$3:$D$26)*(L30&lt;='WINDOW INCENTIVES'!$E$3:$E$26),0),0)),0),0))</f>
        <v/>
      </c>
      <c r="X30" s="243" t="str">
        <f t="shared" si="5"/>
        <v/>
      </c>
      <c r="Y30" s="243" t="str">
        <f t="shared" si="6"/>
        <v/>
      </c>
    </row>
    <row r="31" spans="2:40" x14ac:dyDescent="0.25">
      <c r="B31" s="209">
        <v>7</v>
      </c>
      <c r="C31" s="480"/>
      <c r="D31" s="480"/>
      <c r="E31" s="480"/>
      <c r="F31" s="482"/>
      <c r="G31" s="861"/>
      <c r="H31" s="482"/>
      <c r="I31" s="861"/>
      <c r="J31" s="208">
        <f t="shared" si="3"/>
        <v>0</v>
      </c>
      <c r="K31" s="480"/>
      <c r="L31" s="723"/>
      <c r="M31" s="723"/>
      <c r="N31" s="723"/>
      <c r="O31" s="723"/>
      <c r="P31" s="480"/>
      <c r="Q31" s="210" t="str" cm="1">
        <f t="array" ref="Q31">IF(OR($L31="",$M31="",$N31=""),"",IF(AND($L31&lt;=INDEX('WINDOW CODE'!$C$4:$D$6,MATCH($AG$32,'WINDOW CODE'!$B$4:$B$6,0),IF($K31="Fixed",1,2)),$M31&lt;=INDEX('WINDOW CODE'!$E$4:$E$6,MATCH($AG$32,'WINDOW CODE'!$B$4:$B$6,0)),$N31&gt;=INDEX('WINDOW CODE'!$F$4:$F$6,MATCH($AG$32,'WINDOW CODE'!$B$4:$B$6,0))),"Yes","No"))</f>
        <v/>
      </c>
      <c r="R31" s="256" t="str">
        <f t="shared" si="0"/>
        <v/>
      </c>
      <c r="S31" s="259" t="str">
        <f t="shared" si="1"/>
        <v/>
      </c>
      <c r="T31" s="257" t="str">
        <f t="shared" si="2"/>
        <v/>
      </c>
      <c r="U31" s="256" t="str">
        <f t="shared" si="4"/>
        <v/>
      </c>
      <c r="V31" s="243" t="str" cm="1">
        <f t="array" ref="V31">IF($AI$12="","", IF(OR($AI$12="NIMO Electric LCI", $AI$12="NIMO Electric SMB"), IFERROR(INDEX('WINDOW INCENTIVES'!$H$3:$H$26, MATCH(1,INDEX(('WINDOW INCENTIVES'!$B$3:$B$26=$AI$12)*('WINDOW INCENTIVES'!$F$3:$F$26=$E$8)*(L31&gt;='WINDOW INCENTIVES'!$D$3:$D$26)*(L31&lt;='WINDOW INCENTIVES'!$E$3:$E$26),0),0)),0),0))</f>
        <v/>
      </c>
      <c r="W31" s="243" t="str" cm="1">
        <f t="array" ref="W31">IF($AI$12="","",IF(OR($AI$12="KEDLI/KEDNY LCI",$AI$12="KEDLI/KEDNY SMB",$AI$12="NIMO GAS LCI",$AI$12="NIMO GAS SMB"),IFERROR(INDEX('WINDOW INCENTIVES'!$H$3:$H$26,MATCH(1,INDEX(('WINDOW INCENTIVES'!$B$3:$B$26=$AI$12)*('WINDOW INCENTIVES'!$F$3:$F$26=$E$8)*(L31&gt;='WINDOW INCENTIVES'!$D$3:$D$26)*(L31&lt;='WINDOW INCENTIVES'!$E$3:$E$26),0),0)),0),0))</f>
        <v/>
      </c>
      <c r="X31" s="243" t="str">
        <f t="shared" si="5"/>
        <v/>
      </c>
      <c r="Y31" s="243" t="str">
        <f t="shared" si="6"/>
        <v/>
      </c>
      <c r="AE31" s="250" t="s">
        <v>441</v>
      </c>
      <c r="AG31" s="72" t="s">
        <v>485</v>
      </c>
    </row>
    <row r="32" spans="2:40" x14ac:dyDescent="0.25">
      <c r="B32" s="209">
        <v>8</v>
      </c>
      <c r="C32" s="480"/>
      <c r="D32" s="480"/>
      <c r="E32" s="480"/>
      <c r="F32" s="482"/>
      <c r="G32" s="861"/>
      <c r="H32" s="482"/>
      <c r="I32" s="861"/>
      <c r="J32" s="208">
        <f t="shared" si="3"/>
        <v>0</v>
      </c>
      <c r="K32" s="480"/>
      <c r="L32" s="723"/>
      <c r="M32" s="723"/>
      <c r="N32" s="723"/>
      <c r="O32" s="723"/>
      <c r="P32" s="480"/>
      <c r="Q32" s="210" t="str" cm="1">
        <f t="array" ref="Q32">IF(OR($L32="",$M32="",$N32=""),"",IF(AND($L32&lt;=INDEX('WINDOW CODE'!$C$4:$D$6,MATCH($AG$32,'WINDOW CODE'!$B$4:$B$6,0),IF($K32="Fixed",1,2)),$M32&lt;=INDEX('WINDOW CODE'!$E$4:$E$6,MATCH($AG$32,'WINDOW CODE'!$B$4:$B$6,0)),$N32&gt;=INDEX('WINDOW CODE'!$F$4:$F$6,MATCH($AG$32,'WINDOW CODE'!$B$4:$B$6,0))),"Yes","No"))</f>
        <v/>
      </c>
      <c r="R32" s="256" t="str">
        <f t="shared" si="0"/>
        <v/>
      </c>
      <c r="S32" s="259" t="str">
        <f t="shared" si="1"/>
        <v/>
      </c>
      <c r="T32" s="257" t="str">
        <f t="shared" si="2"/>
        <v/>
      </c>
      <c r="U32" s="256" t="str">
        <f t="shared" si="4"/>
        <v/>
      </c>
      <c r="V32" s="243" t="str" cm="1">
        <f t="array" ref="V32">IF($AI$12="","", IF(OR($AI$12="NIMO Electric LCI", $AI$12="NIMO Electric SMB"), IFERROR(INDEX('WINDOW INCENTIVES'!$H$3:$H$26, MATCH(1,INDEX(('WINDOW INCENTIVES'!$B$3:$B$26=$AI$12)*('WINDOW INCENTIVES'!$F$3:$F$26=$E$8)*(L32&gt;='WINDOW INCENTIVES'!$D$3:$D$26)*(L32&lt;='WINDOW INCENTIVES'!$E$3:$E$26),0),0)),0),0))</f>
        <v/>
      </c>
      <c r="W32" s="243" t="str" cm="1">
        <f t="array" ref="W32">IF($AI$12="","",IF(OR($AI$12="KEDLI/KEDNY LCI",$AI$12="KEDLI/KEDNY SMB",$AI$12="NIMO GAS LCI",$AI$12="NIMO GAS SMB"),IFERROR(INDEX('WINDOW INCENTIVES'!$H$3:$H$26,MATCH(1,INDEX(('WINDOW INCENTIVES'!$B$3:$B$26=$AI$12)*('WINDOW INCENTIVES'!$F$3:$F$26=$E$8)*(L32&gt;='WINDOW INCENTIVES'!$D$3:$D$26)*(L32&lt;='WINDOW INCENTIVES'!$E$3:$E$26),0),0)),0),0))</f>
        <v/>
      </c>
      <c r="X32" s="243" t="str">
        <f t="shared" si="5"/>
        <v/>
      </c>
      <c r="Y32" s="243" t="str">
        <f t="shared" si="6"/>
        <v/>
      </c>
      <c r="AE32" s="261">
        <f>IFERROR(SUM($J$25:$J$74)/100,"")</f>
        <v>0</v>
      </c>
      <c r="AG32" s="76" t="str">
        <f>IFERROR(VLOOKUP($E$3,'Zip Lookup'!$B$6:$G$2214,6,FALSE),"")</f>
        <v/>
      </c>
    </row>
    <row r="33" spans="2:33" s="205" customFormat="1" x14ac:dyDescent="0.25">
      <c r="B33" s="209">
        <v>9</v>
      </c>
      <c r="C33" s="480"/>
      <c r="D33" s="480"/>
      <c r="E33" s="480"/>
      <c r="F33" s="482"/>
      <c r="G33" s="861"/>
      <c r="H33" s="482"/>
      <c r="I33" s="861"/>
      <c r="J33" s="208">
        <f t="shared" si="3"/>
        <v>0</v>
      </c>
      <c r="K33" s="480"/>
      <c r="L33" s="723"/>
      <c r="M33" s="723"/>
      <c r="N33" s="723"/>
      <c r="O33" s="723"/>
      <c r="P33" s="480"/>
      <c r="Q33" s="210" t="str" cm="1">
        <f t="array" ref="Q33">IF(OR($L33="",$M33="",$N33=""),"",IF(AND($L33&lt;=INDEX('WINDOW CODE'!$C$4:$D$6,MATCH($AG$32,'WINDOW CODE'!$B$4:$B$6,0),IF($K33="Fixed",1,2)),$M33&lt;=INDEX('WINDOW CODE'!$E$4:$E$6,MATCH($AG$32,'WINDOW CODE'!$B$4:$B$6,0)),$N33&gt;=INDEX('WINDOW CODE'!$F$4:$F$6,MATCH($AG$32,'WINDOW CODE'!$B$4:$B$6,0))),"Yes","No"))</f>
        <v/>
      </c>
      <c r="R33" s="256" t="str">
        <f t="shared" si="0"/>
        <v/>
      </c>
      <c r="S33" s="259" t="str">
        <f t="shared" si="1"/>
        <v/>
      </c>
      <c r="T33" s="257" t="str">
        <f t="shared" si="2"/>
        <v/>
      </c>
      <c r="U33" s="256" t="str">
        <f t="shared" si="4"/>
        <v/>
      </c>
      <c r="V33" s="243" t="str" cm="1">
        <f t="array" ref="V33">IF($AI$12="","", IF(OR($AI$12="NIMO Electric LCI", $AI$12="NIMO Electric SMB"), IFERROR(INDEX('WINDOW INCENTIVES'!$H$3:$H$26, MATCH(1,INDEX(('WINDOW INCENTIVES'!$B$3:$B$26=$AI$12)*('WINDOW INCENTIVES'!$F$3:$F$26=$E$8)*(L33&gt;='WINDOW INCENTIVES'!$D$3:$D$26)*(L33&lt;='WINDOW INCENTIVES'!$E$3:$E$26),0),0)),0),0))</f>
        <v/>
      </c>
      <c r="W33" s="243" t="str" cm="1">
        <f t="array" ref="W33">IF($AI$12="","",IF(OR($AI$12="KEDLI/KEDNY LCI",$AI$12="KEDLI/KEDNY SMB",$AI$12="NIMO GAS LCI",$AI$12="NIMO GAS SMB"),IFERROR(INDEX('WINDOW INCENTIVES'!$H$3:$H$26,MATCH(1,INDEX(('WINDOW INCENTIVES'!$B$3:$B$26=$AI$12)*('WINDOW INCENTIVES'!$F$3:$F$26=$E$8)*(L33&gt;='WINDOW INCENTIVES'!$D$3:$D$26)*(L33&lt;='WINDOW INCENTIVES'!$E$3:$E$26),0),0)),0),0))</f>
        <v/>
      </c>
      <c r="X33" s="243" t="str">
        <f t="shared" si="5"/>
        <v/>
      </c>
      <c r="Y33" s="243" t="str">
        <f t="shared" si="6"/>
        <v/>
      </c>
      <c r="Z33" s="1"/>
      <c r="AA33" s="1"/>
      <c r="AB33" s="1"/>
    </row>
    <row r="34" spans="2:33" s="63" customFormat="1" x14ac:dyDescent="0.25">
      <c r="B34" s="209">
        <v>10</v>
      </c>
      <c r="C34" s="480"/>
      <c r="D34" s="480"/>
      <c r="E34" s="480"/>
      <c r="F34" s="482"/>
      <c r="G34" s="861"/>
      <c r="H34" s="482"/>
      <c r="I34" s="861"/>
      <c r="J34" s="208">
        <f t="shared" si="3"/>
        <v>0</v>
      </c>
      <c r="K34" s="480"/>
      <c r="L34" s="723"/>
      <c r="M34" s="723"/>
      <c r="N34" s="723"/>
      <c r="O34" s="723"/>
      <c r="P34" s="480"/>
      <c r="Q34" s="210" t="str" cm="1">
        <f t="array" ref="Q34">IF(OR($L34="",$M34="",$N34=""),"",IF(AND($L34&lt;=INDEX('WINDOW CODE'!$C$4:$D$6,MATCH($AG$32,'WINDOW CODE'!$B$4:$B$6,0),IF($K34="Fixed",1,2)),$M34&lt;=INDEX('WINDOW CODE'!$E$4:$E$6,MATCH($AG$32,'WINDOW CODE'!$B$4:$B$6,0)),$N34&gt;=INDEX('WINDOW CODE'!$F$4:$F$6,MATCH($AG$32,'WINDOW CODE'!$B$4:$B$6,0))),"Yes","No"))</f>
        <v/>
      </c>
      <c r="R34" s="256" t="str">
        <f t="shared" si="0"/>
        <v/>
      </c>
      <c r="S34" s="259" t="str">
        <f t="shared" si="1"/>
        <v/>
      </c>
      <c r="T34" s="257" t="str">
        <f t="shared" si="2"/>
        <v/>
      </c>
      <c r="U34" s="256" t="str">
        <f t="shared" si="4"/>
        <v/>
      </c>
      <c r="V34" s="243" t="str" cm="1">
        <f t="array" ref="V34">IF($AI$12="","", IF(OR($AI$12="NIMO Electric LCI", $AI$12="NIMO Electric SMB"), IFERROR(INDEX('WINDOW INCENTIVES'!$H$3:$H$26, MATCH(1,INDEX(('WINDOW INCENTIVES'!$B$3:$B$26=$AI$12)*('WINDOW INCENTIVES'!$F$3:$F$26=$E$8)*(L34&gt;='WINDOW INCENTIVES'!$D$3:$D$26)*(L34&lt;='WINDOW INCENTIVES'!$E$3:$E$26),0),0)),0),0))</f>
        <v/>
      </c>
      <c r="W34" s="243" t="str" cm="1">
        <f t="array" ref="W34">IF($AI$12="","",IF(OR($AI$12="KEDLI/KEDNY LCI",$AI$12="KEDLI/KEDNY SMB",$AI$12="NIMO GAS LCI",$AI$12="NIMO GAS SMB"),IFERROR(INDEX('WINDOW INCENTIVES'!$H$3:$H$26,MATCH(1,INDEX(('WINDOW INCENTIVES'!$B$3:$B$26=$AI$12)*('WINDOW INCENTIVES'!$F$3:$F$26=$E$8)*(L34&gt;='WINDOW INCENTIVES'!$D$3:$D$26)*(L34&lt;='WINDOW INCENTIVES'!$E$3:$E$26),0),0)),0),0))</f>
        <v/>
      </c>
      <c r="X34" s="243" t="str">
        <f t="shared" si="5"/>
        <v/>
      </c>
      <c r="Y34" s="243" t="str">
        <f t="shared" si="6"/>
        <v/>
      </c>
      <c r="Z34" s="1"/>
      <c r="AA34" s="1"/>
      <c r="AB34" s="1"/>
      <c r="AE34" s="250" t="s">
        <v>486</v>
      </c>
      <c r="AG34" s="72" t="s">
        <v>487</v>
      </c>
    </row>
    <row r="35" spans="2:33" s="63" customFormat="1" x14ac:dyDescent="0.25">
      <c r="B35" s="209">
        <v>11</v>
      </c>
      <c r="C35" s="480"/>
      <c r="D35" s="480"/>
      <c r="E35" s="480"/>
      <c r="F35" s="722"/>
      <c r="G35" s="861"/>
      <c r="H35" s="722"/>
      <c r="I35" s="861"/>
      <c r="J35" s="208">
        <f t="shared" si="3"/>
        <v>0</v>
      </c>
      <c r="K35" s="480"/>
      <c r="L35" s="481"/>
      <c r="M35" s="481"/>
      <c r="N35" s="481"/>
      <c r="O35" s="723"/>
      <c r="P35" s="480"/>
      <c r="Q35" s="210" t="str" cm="1">
        <f t="array" ref="Q35">IF(OR($L35="",$M35="",$N35=""),"",IF(AND($L35&lt;=INDEX('WINDOW CODE'!$C$4:$D$6,MATCH($AG$32,'WINDOW CODE'!$B$4:$B$6,0),IF($K35="Fixed",1,2)),$M35&lt;=INDEX('WINDOW CODE'!$E$4:$E$6,MATCH($AG$32,'WINDOW CODE'!$B$4:$B$6,0)),$N35&gt;=INDEX('WINDOW CODE'!$F$4:$F$6,MATCH($AG$32,'WINDOW CODE'!$B$4:$B$6,0))),"Yes","No"))</f>
        <v/>
      </c>
      <c r="R35" s="256" t="str">
        <f t="shared" si="0"/>
        <v/>
      </c>
      <c r="S35" s="259" t="str">
        <f t="shared" si="1"/>
        <v/>
      </c>
      <c r="T35" s="257" t="str">
        <f t="shared" si="2"/>
        <v/>
      </c>
      <c r="U35" s="256" t="str">
        <f t="shared" ref="U35:U74" si="7">IFERROR(T35*10,"")</f>
        <v/>
      </c>
      <c r="V35" s="243" t="str" cm="1">
        <f t="array" ref="V35">IF($AI$12="","", IF(OR($AI$12="NIMO Electric LCI", $AI$12="NIMO Electric SMB"), IFERROR(INDEX('WINDOW INCENTIVES'!$H$3:$H$26, MATCH(1,INDEX(('WINDOW INCENTIVES'!$B$3:$B$26=$AI$12)*('WINDOW INCENTIVES'!$F$3:$F$26=$E$8)*(L35&gt;='WINDOW INCENTIVES'!$D$3:$D$26)*(L35&lt;='WINDOW INCENTIVES'!$E$3:$E$26),0),0)),0),0))</f>
        <v/>
      </c>
      <c r="W35" s="243" t="str" cm="1">
        <f t="array" ref="W35">IF($AI$12="","",IF(OR($AI$12="KEDLI/KEDNY LCI",$AI$12="KEDLI/KEDNY SMB",$AI$12="NIMO GAS LCI",$AI$12="NIMO GAS SMB"),IFERROR(INDEX('WINDOW INCENTIVES'!$H$3:$H$26,MATCH(1,INDEX(('WINDOW INCENTIVES'!$B$3:$B$26=$AI$12)*('WINDOW INCENTIVES'!$F$3:$F$26=$E$8)*(L35&gt;='WINDOW INCENTIVES'!$D$3:$D$26)*(L35&lt;='WINDOW INCENTIVES'!$E$3:$E$26),0),0)),0),0))</f>
        <v/>
      </c>
      <c r="X35" s="243" t="str">
        <f t="shared" si="5"/>
        <v/>
      </c>
      <c r="Y35" s="243" t="str">
        <f t="shared" si="6"/>
        <v/>
      </c>
      <c r="Z35" s="1"/>
      <c r="AA35" s="1"/>
      <c r="AB35" s="1"/>
      <c r="AE35" s="261">
        <f>IFERROR(IF($E$15="", $AH$25, $E$15),"")</f>
        <v>14.8</v>
      </c>
      <c r="AG35" s="76" t="s">
        <v>488</v>
      </c>
    </row>
    <row r="36" spans="2:33" s="63" customFormat="1" x14ac:dyDescent="0.25">
      <c r="B36" s="209">
        <v>12</v>
      </c>
      <c r="C36" s="480"/>
      <c r="D36" s="480"/>
      <c r="E36" s="480"/>
      <c r="F36" s="722"/>
      <c r="G36" s="861"/>
      <c r="H36" s="722"/>
      <c r="I36" s="861"/>
      <c r="J36" s="208">
        <f t="shared" si="3"/>
        <v>0</v>
      </c>
      <c r="K36" s="480"/>
      <c r="L36" s="481"/>
      <c r="M36" s="481"/>
      <c r="N36" s="481"/>
      <c r="O36" s="723"/>
      <c r="P36" s="480"/>
      <c r="Q36" s="210" t="str" cm="1">
        <f t="array" ref="Q36">IF(OR($L36="",$M36="",$N36=""),"",IF(AND($L36&lt;=INDEX('WINDOW CODE'!$C$4:$D$6,MATCH($AG$32,'WINDOW CODE'!$B$4:$B$6,0),IF($K36="Fixed",1,2)),$M36&lt;=INDEX('WINDOW CODE'!$E$4:$E$6,MATCH($AG$32,'WINDOW CODE'!$B$4:$B$6,0)),$N36&gt;=INDEX('WINDOW CODE'!$F$4:$F$6,MATCH($AG$32,'WINDOW CODE'!$B$4:$B$6,0))),"Yes","No"))</f>
        <v/>
      </c>
      <c r="R36" s="256" t="str">
        <f t="shared" si="0"/>
        <v/>
      </c>
      <c r="S36" s="259" t="str">
        <f t="shared" si="1"/>
        <v/>
      </c>
      <c r="T36" s="257" t="str">
        <f t="shared" si="2"/>
        <v/>
      </c>
      <c r="U36" s="256" t="str">
        <f t="shared" si="7"/>
        <v/>
      </c>
      <c r="V36" s="243" t="str" cm="1">
        <f t="array" ref="V36">IF($AI$12="","", IF(OR($AI$12="NIMO Electric LCI", $AI$12="NIMO Electric SMB"), IFERROR(INDEX('WINDOW INCENTIVES'!$H$3:$H$26, MATCH(1,INDEX(('WINDOW INCENTIVES'!$B$3:$B$26=$AI$12)*('WINDOW INCENTIVES'!$F$3:$F$26=$E$8)*(L36&gt;='WINDOW INCENTIVES'!$D$3:$D$26)*(L36&lt;='WINDOW INCENTIVES'!$E$3:$E$26),0),0)),0),0))</f>
        <v/>
      </c>
      <c r="W36" s="243" t="str" cm="1">
        <f t="array" ref="W36">IF($AI$12="","",IF(OR($AI$12="KEDLI/KEDNY LCI",$AI$12="KEDLI/KEDNY SMB",$AI$12="NIMO GAS LCI",$AI$12="NIMO GAS SMB"),IFERROR(INDEX('WINDOW INCENTIVES'!$H$3:$H$26,MATCH(1,INDEX(('WINDOW INCENTIVES'!$B$3:$B$26=$AI$12)*('WINDOW INCENTIVES'!$F$3:$F$26=$E$8)*(L36&gt;='WINDOW INCENTIVES'!$D$3:$D$26)*(L36&lt;='WINDOW INCENTIVES'!$E$3:$E$26),0),0)),0),0))</f>
        <v/>
      </c>
      <c r="X36" s="243" t="str">
        <f t="shared" si="5"/>
        <v/>
      </c>
      <c r="Y36" s="243" t="str">
        <f t="shared" si="6"/>
        <v/>
      </c>
      <c r="Z36" s="1"/>
      <c r="AA36" s="1"/>
      <c r="AB36" s="1"/>
      <c r="AE36" s="250" t="s">
        <v>489</v>
      </c>
      <c r="AG36" s="76" t="s">
        <v>490</v>
      </c>
    </row>
    <row r="37" spans="2:33" s="63" customFormat="1" x14ac:dyDescent="0.25">
      <c r="B37" s="209">
        <v>13</v>
      </c>
      <c r="C37" s="480"/>
      <c r="D37" s="480"/>
      <c r="E37" s="480"/>
      <c r="F37" s="722"/>
      <c r="G37" s="861"/>
      <c r="H37" s="722"/>
      <c r="I37" s="861"/>
      <c r="J37" s="208">
        <f t="shared" si="3"/>
        <v>0</v>
      </c>
      <c r="K37" s="480"/>
      <c r="L37" s="481"/>
      <c r="M37" s="481"/>
      <c r="N37" s="481"/>
      <c r="O37" s="723"/>
      <c r="P37" s="480"/>
      <c r="Q37" s="210" t="str" cm="1">
        <f t="array" ref="Q37">IF(OR($L37="",$M37="",$N37=""),"",IF(AND($L37&lt;=INDEX('WINDOW CODE'!$C$4:$D$6,MATCH($AG$32,'WINDOW CODE'!$B$4:$B$6,0),IF($K37="Fixed",1,2)),$M37&lt;=INDEX('WINDOW CODE'!$E$4:$E$6,MATCH($AG$32,'WINDOW CODE'!$B$4:$B$6,0)),$N37&gt;=INDEX('WINDOW CODE'!$F$4:$F$6,MATCH($AG$32,'WINDOW CODE'!$B$4:$B$6,0))),"Yes","No"))</f>
        <v/>
      </c>
      <c r="R37" s="256" t="str">
        <f t="shared" si="0"/>
        <v/>
      </c>
      <c r="S37" s="259" t="str">
        <f t="shared" si="1"/>
        <v/>
      </c>
      <c r="T37" s="257" t="str">
        <f t="shared" si="2"/>
        <v/>
      </c>
      <c r="U37" s="256" t="str">
        <f t="shared" si="7"/>
        <v/>
      </c>
      <c r="V37" s="243" t="str" cm="1">
        <f t="array" ref="V37">IF($AI$12="","", IF(OR($AI$12="NIMO Electric LCI", $AI$12="NIMO Electric SMB"), IFERROR(INDEX('WINDOW INCENTIVES'!$H$3:$H$26, MATCH(1,INDEX(('WINDOW INCENTIVES'!$B$3:$B$26=$AI$12)*('WINDOW INCENTIVES'!$F$3:$F$26=$E$8)*(L37&gt;='WINDOW INCENTIVES'!$D$3:$D$26)*(L37&lt;='WINDOW INCENTIVES'!$E$3:$E$26),0),0)),0),0))</f>
        <v/>
      </c>
      <c r="W37" s="243" t="str" cm="1">
        <f t="array" ref="W37">IF($AI$12="","",IF(OR($AI$12="KEDLI/KEDNY LCI",$AI$12="KEDLI/KEDNY SMB",$AI$12="NIMO GAS LCI",$AI$12="NIMO GAS SMB"),IFERROR(INDEX('WINDOW INCENTIVES'!$H$3:$H$26,MATCH(1,INDEX(('WINDOW INCENTIVES'!$B$3:$B$26=$AI$12)*('WINDOW INCENTIVES'!$F$3:$F$26=$E$8)*(L37&gt;='WINDOW INCENTIVES'!$D$3:$D$26)*(L37&lt;='WINDOW INCENTIVES'!$E$3:$E$26),0),0)),0),0))</f>
        <v/>
      </c>
      <c r="X37" s="243" t="str">
        <f t="shared" si="5"/>
        <v/>
      </c>
      <c r="Y37" s="243" t="str">
        <f t="shared" si="6"/>
        <v/>
      </c>
      <c r="Z37" s="1"/>
      <c r="AA37" s="1"/>
      <c r="AB37" s="1"/>
      <c r="AE37" s="261">
        <f>IFERROR(IF($E$14="", $AH$26, $E$14),"")</f>
        <v>13.4</v>
      </c>
    </row>
    <row r="38" spans="2:33" s="63" customFormat="1" x14ac:dyDescent="0.25">
      <c r="B38" s="209">
        <v>14</v>
      </c>
      <c r="C38" s="480"/>
      <c r="D38" s="480"/>
      <c r="E38" s="480"/>
      <c r="F38" s="722"/>
      <c r="G38" s="861"/>
      <c r="H38" s="722"/>
      <c r="I38" s="861"/>
      <c r="J38" s="208">
        <f t="shared" si="3"/>
        <v>0</v>
      </c>
      <c r="K38" s="480"/>
      <c r="L38" s="481"/>
      <c r="M38" s="481"/>
      <c r="N38" s="481"/>
      <c r="O38" s="723"/>
      <c r="P38" s="480"/>
      <c r="Q38" s="210" t="str" cm="1">
        <f t="array" ref="Q38">IF(OR($L38="",$M38="",$N38=""),"",IF(AND($L38&lt;=INDEX('WINDOW CODE'!$C$4:$D$6,MATCH($AG$32,'WINDOW CODE'!$B$4:$B$6,0),IF($K38="Fixed",1,2)),$M38&lt;=INDEX('WINDOW CODE'!$E$4:$E$6,MATCH($AG$32,'WINDOW CODE'!$B$4:$B$6,0)),$N38&gt;=INDEX('WINDOW CODE'!$F$4:$F$6,MATCH($AG$32,'WINDOW CODE'!$B$4:$B$6,0))),"Yes","No"))</f>
        <v/>
      </c>
      <c r="R38" s="256" t="str">
        <f t="shared" si="0"/>
        <v/>
      </c>
      <c r="S38" s="259" t="str">
        <f t="shared" si="1"/>
        <v/>
      </c>
      <c r="T38" s="257" t="str">
        <f t="shared" si="2"/>
        <v/>
      </c>
      <c r="U38" s="256" t="str">
        <f t="shared" si="7"/>
        <v/>
      </c>
      <c r="V38" s="243" t="str" cm="1">
        <f t="array" ref="V38">IF($AI$12="","", IF(OR($AI$12="NIMO Electric LCI", $AI$12="NIMO Electric SMB"), IFERROR(INDEX('WINDOW INCENTIVES'!$H$3:$H$26, MATCH(1,INDEX(('WINDOW INCENTIVES'!$B$3:$B$26=$AI$12)*('WINDOW INCENTIVES'!$F$3:$F$26=$E$8)*(L38&gt;='WINDOW INCENTIVES'!$D$3:$D$26)*(L38&lt;='WINDOW INCENTIVES'!$E$3:$E$26),0),0)),0),0))</f>
        <v/>
      </c>
      <c r="W38" s="243" t="str" cm="1">
        <f t="array" ref="W38">IF($AI$12="","",IF(OR($AI$12="KEDLI/KEDNY LCI",$AI$12="KEDLI/KEDNY SMB",$AI$12="NIMO GAS LCI",$AI$12="NIMO GAS SMB"),IFERROR(INDEX('WINDOW INCENTIVES'!$H$3:$H$26,MATCH(1,INDEX(('WINDOW INCENTIVES'!$B$3:$B$26=$AI$12)*('WINDOW INCENTIVES'!$F$3:$F$26=$E$8)*(L38&gt;='WINDOW INCENTIVES'!$D$3:$D$26)*(L38&lt;='WINDOW INCENTIVES'!$E$3:$E$26),0),0)),0),0))</f>
        <v/>
      </c>
      <c r="X38" s="243" t="str">
        <f t="shared" si="5"/>
        <v/>
      </c>
      <c r="Y38" s="243" t="str">
        <f t="shared" si="6"/>
        <v/>
      </c>
      <c r="Z38" s="1"/>
      <c r="AA38" s="1"/>
      <c r="AB38" s="1"/>
      <c r="AE38" s="250" t="s">
        <v>491</v>
      </c>
    </row>
    <row r="39" spans="2:33" s="63" customFormat="1" x14ac:dyDescent="0.25">
      <c r="B39" s="209">
        <v>15</v>
      </c>
      <c r="C39" s="480"/>
      <c r="D39" s="480"/>
      <c r="E39" s="480"/>
      <c r="F39" s="722"/>
      <c r="G39" s="861"/>
      <c r="H39" s="722"/>
      <c r="I39" s="861"/>
      <c r="J39" s="208">
        <f t="shared" si="3"/>
        <v>0</v>
      </c>
      <c r="K39" s="480"/>
      <c r="L39" s="481"/>
      <c r="M39" s="481"/>
      <c r="N39" s="481"/>
      <c r="O39" s="723"/>
      <c r="P39" s="480"/>
      <c r="Q39" s="210" t="str" cm="1">
        <f t="array" ref="Q39">IF(OR($L39="",$M39="",$N39=""),"",IF(AND($L39&lt;=INDEX('WINDOW CODE'!$C$4:$D$6,MATCH($AG$32,'WINDOW CODE'!$B$4:$B$6,0),IF($K39="Fixed",1,2)),$M39&lt;=INDEX('WINDOW CODE'!$E$4:$E$6,MATCH($AG$32,'WINDOW CODE'!$B$4:$B$6,0)),$N39&gt;=INDEX('WINDOW CODE'!$F$4:$F$6,MATCH($AG$32,'WINDOW CODE'!$B$4:$B$6,0))),"Yes","No"))</f>
        <v/>
      </c>
      <c r="R39" s="256" t="str">
        <f t="shared" si="0"/>
        <v/>
      </c>
      <c r="S39" s="259" t="str">
        <f t="shared" si="1"/>
        <v/>
      </c>
      <c r="T39" s="257" t="str">
        <f t="shared" si="2"/>
        <v/>
      </c>
      <c r="U39" s="256" t="str">
        <f t="shared" si="7"/>
        <v/>
      </c>
      <c r="V39" s="243" t="str" cm="1">
        <f t="array" ref="V39">IF($AI$12="","", IF(OR($AI$12="NIMO Electric LCI", $AI$12="NIMO Electric SMB"), IFERROR(INDEX('WINDOW INCENTIVES'!$H$3:$H$26, MATCH(1,INDEX(('WINDOW INCENTIVES'!$B$3:$B$26=$AI$12)*('WINDOW INCENTIVES'!$F$3:$F$26=$E$8)*(L39&gt;='WINDOW INCENTIVES'!$D$3:$D$26)*(L39&lt;='WINDOW INCENTIVES'!$E$3:$E$26),0),0)),0),0))</f>
        <v/>
      </c>
      <c r="W39" s="243" t="str" cm="1">
        <f t="array" ref="W39">IF($AI$12="","",IF(OR($AI$12="KEDLI/KEDNY LCI",$AI$12="KEDLI/KEDNY SMB",$AI$12="NIMO GAS LCI",$AI$12="NIMO GAS SMB"),IFERROR(INDEX('WINDOW INCENTIVES'!$H$3:$H$26,MATCH(1,INDEX(('WINDOW INCENTIVES'!$B$3:$B$26=$AI$12)*('WINDOW INCENTIVES'!$F$3:$F$26=$E$8)*(L39&gt;='WINDOW INCENTIVES'!$D$3:$D$26)*(L39&lt;='WINDOW INCENTIVES'!$E$3:$E$26),0),0)),0),0))</f>
        <v/>
      </c>
      <c r="X39" s="243" t="str">
        <f t="shared" si="5"/>
        <v/>
      </c>
      <c r="Y39" s="243" t="str">
        <f t="shared" si="6"/>
        <v/>
      </c>
      <c r="Z39" s="1"/>
      <c r="AA39" s="1"/>
      <c r="AB39" s="1"/>
      <c r="AE39" s="261">
        <f>IFERROR(IF($E$13="", $AH$27,$E$13),"")</f>
        <v>0.84</v>
      </c>
    </row>
    <row r="40" spans="2:33" s="63" customFormat="1" x14ac:dyDescent="0.25">
      <c r="B40" s="209">
        <v>16</v>
      </c>
      <c r="C40" s="480"/>
      <c r="D40" s="480"/>
      <c r="E40" s="480"/>
      <c r="F40" s="722"/>
      <c r="G40" s="861"/>
      <c r="H40" s="722"/>
      <c r="I40" s="861"/>
      <c r="J40" s="208">
        <f t="shared" si="3"/>
        <v>0</v>
      </c>
      <c r="K40" s="480"/>
      <c r="L40" s="481"/>
      <c r="M40" s="481"/>
      <c r="N40" s="481"/>
      <c r="O40" s="723"/>
      <c r="P40" s="480"/>
      <c r="Q40" s="210" t="str" cm="1">
        <f t="array" ref="Q40">IF(OR($L40="",$M40="",$N40=""),"",IF(AND($L40&lt;=INDEX('WINDOW CODE'!$C$4:$D$6,MATCH($AG$32,'WINDOW CODE'!$B$4:$B$6,0),IF($K40="Fixed",1,2)),$M40&lt;=INDEX('WINDOW CODE'!$E$4:$E$6,MATCH($AG$32,'WINDOW CODE'!$B$4:$B$6,0)),$N40&gt;=INDEX('WINDOW CODE'!$F$4:$F$6,MATCH($AG$32,'WINDOW CODE'!$B$4:$B$6,0))),"Yes","No"))</f>
        <v/>
      </c>
      <c r="R40" s="256" t="str">
        <f t="shared" si="0"/>
        <v/>
      </c>
      <c r="S40" s="259" t="str">
        <f t="shared" si="1"/>
        <v/>
      </c>
      <c r="T40" s="257" t="str">
        <f t="shared" si="2"/>
        <v/>
      </c>
      <c r="U40" s="256" t="str">
        <f t="shared" si="7"/>
        <v/>
      </c>
      <c r="V40" s="243" t="str" cm="1">
        <f t="array" ref="V40">IF($AI$12="","", IF(OR($AI$12="NIMO Electric LCI", $AI$12="NIMO Electric SMB"), IFERROR(INDEX('WINDOW INCENTIVES'!$H$3:$H$26, MATCH(1,INDEX(('WINDOW INCENTIVES'!$B$3:$B$26=$AI$12)*('WINDOW INCENTIVES'!$F$3:$F$26=$E$8)*(L40&gt;='WINDOW INCENTIVES'!$D$3:$D$26)*(L40&lt;='WINDOW INCENTIVES'!$E$3:$E$26),0),0)),0),0))</f>
        <v/>
      </c>
      <c r="W40" s="243" t="str" cm="1">
        <f t="array" ref="W40">IF($AI$12="","",IF(OR($AI$12="KEDLI/KEDNY LCI",$AI$12="KEDLI/KEDNY SMB",$AI$12="NIMO GAS LCI",$AI$12="NIMO GAS SMB"),IFERROR(INDEX('WINDOW INCENTIVES'!$H$3:$H$26,MATCH(1,INDEX(('WINDOW INCENTIVES'!$B$3:$B$26=$AI$12)*('WINDOW INCENTIVES'!$F$3:$F$26=$E$8)*(L40&gt;='WINDOW INCENTIVES'!$D$3:$D$26)*(L40&lt;='WINDOW INCENTIVES'!$E$3:$E$26),0),0)),0),0))</f>
        <v/>
      </c>
      <c r="X40" s="243" t="str">
        <f t="shared" si="5"/>
        <v/>
      </c>
      <c r="Y40" s="243" t="str">
        <f t="shared" si="6"/>
        <v/>
      </c>
      <c r="Z40" s="1"/>
      <c r="AA40" s="1"/>
      <c r="AB40" s="1"/>
    </row>
    <row r="41" spans="2:33" s="63" customFormat="1" ht="15" customHeight="1" x14ac:dyDescent="0.25">
      <c r="B41" s="209">
        <v>17</v>
      </c>
      <c r="C41" s="480"/>
      <c r="D41" s="480"/>
      <c r="E41" s="480"/>
      <c r="F41" s="722"/>
      <c r="G41" s="861"/>
      <c r="H41" s="722"/>
      <c r="I41" s="861"/>
      <c r="J41" s="208">
        <f t="shared" si="3"/>
        <v>0</v>
      </c>
      <c r="K41" s="480"/>
      <c r="L41" s="481"/>
      <c r="M41" s="481"/>
      <c r="N41" s="481"/>
      <c r="O41" s="723"/>
      <c r="P41" s="480"/>
      <c r="Q41" s="210" t="str" cm="1">
        <f t="array" ref="Q41">IF(OR($L41="",$M41="",$N41=""),"",IF(AND($L41&lt;=INDEX('WINDOW CODE'!$C$4:$D$6,MATCH($AG$32,'WINDOW CODE'!$B$4:$B$6,0),IF($K41="Fixed",1,2)),$M41&lt;=INDEX('WINDOW CODE'!$E$4:$E$6,MATCH($AG$32,'WINDOW CODE'!$B$4:$B$6,0)),$N41&gt;=INDEX('WINDOW CODE'!$F$4:$F$6,MATCH($AG$32,'WINDOW CODE'!$B$4:$B$6,0))),"Yes","No"))</f>
        <v/>
      </c>
      <c r="R41" s="256" t="str">
        <f t="shared" si="0"/>
        <v/>
      </c>
      <c r="S41" s="259" t="str">
        <f t="shared" si="1"/>
        <v/>
      </c>
      <c r="T41" s="257" t="str">
        <f t="shared" si="2"/>
        <v/>
      </c>
      <c r="U41" s="256" t="str">
        <f t="shared" si="7"/>
        <v/>
      </c>
      <c r="V41" s="243" t="str" cm="1">
        <f t="array" ref="V41">IF($AI$12="","", IF(OR($AI$12="NIMO Electric LCI", $AI$12="NIMO Electric SMB"), IFERROR(INDEX('WINDOW INCENTIVES'!$H$3:$H$26, MATCH(1,INDEX(('WINDOW INCENTIVES'!$B$3:$B$26=$AI$12)*('WINDOW INCENTIVES'!$F$3:$F$26=$E$8)*(L41&gt;='WINDOW INCENTIVES'!$D$3:$D$26)*(L41&lt;='WINDOW INCENTIVES'!$E$3:$E$26),0),0)),0),0))</f>
        <v/>
      </c>
      <c r="W41" s="243" t="str" cm="1">
        <f t="array" ref="W41">IF($AI$12="","",IF(OR($AI$12="KEDLI/KEDNY LCI",$AI$12="KEDLI/KEDNY SMB",$AI$12="NIMO GAS LCI",$AI$12="NIMO GAS SMB"),IFERROR(INDEX('WINDOW INCENTIVES'!$H$3:$H$26,MATCH(1,INDEX(('WINDOW INCENTIVES'!$B$3:$B$26=$AI$12)*('WINDOW INCENTIVES'!$F$3:$F$26=$E$8)*(L41&gt;='WINDOW INCENTIVES'!$D$3:$D$26)*(L41&lt;='WINDOW INCENTIVES'!$E$3:$E$26),0),0)),0),0))</f>
        <v/>
      </c>
      <c r="X41" s="243" t="str">
        <f t="shared" si="5"/>
        <v/>
      </c>
      <c r="Y41" s="243" t="str">
        <f t="shared" si="6"/>
        <v/>
      </c>
      <c r="Z41" s="1"/>
    </row>
    <row r="42" spans="2:33" s="63" customFormat="1" x14ac:dyDescent="0.25">
      <c r="B42" s="209">
        <v>18</v>
      </c>
      <c r="C42" s="480"/>
      <c r="D42" s="480"/>
      <c r="E42" s="480"/>
      <c r="F42" s="722"/>
      <c r="G42" s="861"/>
      <c r="H42" s="722"/>
      <c r="I42" s="861"/>
      <c r="J42" s="208">
        <f t="shared" si="3"/>
        <v>0</v>
      </c>
      <c r="K42" s="480"/>
      <c r="L42" s="481"/>
      <c r="M42" s="481"/>
      <c r="N42" s="481"/>
      <c r="O42" s="723"/>
      <c r="P42" s="480"/>
      <c r="Q42" s="210" t="str" cm="1">
        <f t="array" ref="Q42">IF(OR($L42="",$M42="",$N42=""),"",IF(AND($L42&lt;=INDEX('WINDOW CODE'!$C$4:$D$6,MATCH($AG$32,'WINDOW CODE'!$B$4:$B$6,0),IF($K42="Fixed",1,2)),$M42&lt;=INDEX('WINDOW CODE'!$E$4:$E$6,MATCH($AG$32,'WINDOW CODE'!$B$4:$B$6,0)),$N42&gt;=INDEX('WINDOW CODE'!$F$4:$F$6,MATCH($AG$32,'WINDOW CODE'!$B$4:$B$6,0))),"Yes","No"))</f>
        <v/>
      </c>
      <c r="R42" s="256" t="str">
        <f t="shared" si="0"/>
        <v/>
      </c>
      <c r="S42" s="259" t="str">
        <f t="shared" si="1"/>
        <v/>
      </c>
      <c r="T42" s="257" t="str">
        <f t="shared" si="2"/>
        <v/>
      </c>
      <c r="U42" s="256" t="str">
        <f t="shared" si="7"/>
        <v/>
      </c>
      <c r="V42" s="243" t="str" cm="1">
        <f t="array" ref="V42">IF($AI$12="","", IF(OR($AI$12="NIMO Electric LCI", $AI$12="NIMO Electric SMB"), IFERROR(INDEX('WINDOW INCENTIVES'!$H$3:$H$26, MATCH(1,INDEX(('WINDOW INCENTIVES'!$B$3:$B$26=$AI$12)*('WINDOW INCENTIVES'!$F$3:$F$26=$E$8)*(L42&gt;='WINDOW INCENTIVES'!$D$3:$D$26)*(L42&lt;='WINDOW INCENTIVES'!$E$3:$E$26),0),0)),0),0))</f>
        <v/>
      </c>
      <c r="W42" s="243" t="str" cm="1">
        <f t="array" ref="W42">IF($AI$12="","",IF(OR($AI$12="KEDLI/KEDNY LCI",$AI$12="KEDLI/KEDNY SMB",$AI$12="NIMO GAS LCI",$AI$12="NIMO GAS SMB"),IFERROR(INDEX('WINDOW INCENTIVES'!$H$3:$H$26,MATCH(1,INDEX(('WINDOW INCENTIVES'!$B$3:$B$26=$AI$12)*('WINDOW INCENTIVES'!$F$3:$F$26=$E$8)*(L42&gt;='WINDOW INCENTIVES'!$D$3:$D$26)*(L42&lt;='WINDOW INCENTIVES'!$E$3:$E$26),0),0)),0),0))</f>
        <v/>
      </c>
      <c r="X42" s="243" t="str">
        <f t="shared" si="5"/>
        <v/>
      </c>
      <c r="Y42" s="243" t="str">
        <f t="shared" si="6"/>
        <v/>
      </c>
      <c r="Z42" s="1"/>
      <c r="AA42" s="63" t="s">
        <v>492</v>
      </c>
    </row>
    <row r="43" spans="2:33" x14ac:dyDescent="0.25">
      <c r="B43" s="209">
        <v>19</v>
      </c>
      <c r="C43" s="480"/>
      <c r="D43" s="480"/>
      <c r="E43" s="480"/>
      <c r="F43" s="722"/>
      <c r="G43" s="861"/>
      <c r="H43" s="722"/>
      <c r="I43" s="861"/>
      <c r="J43" s="208">
        <f t="shared" si="3"/>
        <v>0</v>
      </c>
      <c r="K43" s="480"/>
      <c r="L43" s="481"/>
      <c r="M43" s="481"/>
      <c r="N43" s="481"/>
      <c r="O43" s="723"/>
      <c r="P43" s="480"/>
      <c r="Q43" s="210" t="str" cm="1">
        <f t="array" ref="Q43">IF(OR($L43="",$M43="",$N43=""),"",IF(AND($L43&lt;=INDEX('WINDOW CODE'!$C$4:$D$6,MATCH($AG$32,'WINDOW CODE'!$B$4:$B$6,0),IF($K43="Fixed",1,2)),$M43&lt;=INDEX('WINDOW CODE'!$E$4:$E$6,MATCH($AG$32,'WINDOW CODE'!$B$4:$B$6,0)),$N43&gt;=INDEX('WINDOW CODE'!$F$4:$F$6,MATCH($AG$32,'WINDOW CODE'!$B$4:$B$6,0))),"Yes","No"))</f>
        <v/>
      </c>
      <c r="R43" s="256" t="str">
        <f t="shared" si="0"/>
        <v/>
      </c>
      <c r="S43" s="259" t="str">
        <f t="shared" si="1"/>
        <v/>
      </c>
      <c r="T43" s="257" t="str">
        <f t="shared" si="2"/>
        <v/>
      </c>
      <c r="U43" s="256" t="str">
        <f t="shared" si="7"/>
        <v/>
      </c>
      <c r="V43" s="243" t="str" cm="1">
        <f t="array" ref="V43">IF($AI$12="","", IF(OR($AI$12="NIMO Electric LCI", $AI$12="NIMO Electric SMB"), IFERROR(INDEX('WINDOW INCENTIVES'!$H$3:$H$26, MATCH(1,INDEX(('WINDOW INCENTIVES'!$B$3:$B$26=$AI$12)*('WINDOW INCENTIVES'!$F$3:$F$26=$E$8)*(L43&gt;='WINDOW INCENTIVES'!$D$3:$D$26)*(L43&lt;='WINDOW INCENTIVES'!$E$3:$E$26),0),0)),0),0))</f>
        <v/>
      </c>
      <c r="W43" s="243" t="str" cm="1">
        <f t="array" ref="W43">IF($AI$12="","",IF(OR($AI$12="KEDLI/KEDNY LCI",$AI$12="KEDLI/KEDNY SMB",$AI$12="NIMO GAS LCI",$AI$12="NIMO GAS SMB"),IFERROR(INDEX('WINDOW INCENTIVES'!$H$3:$H$26,MATCH(1,INDEX(('WINDOW INCENTIVES'!$B$3:$B$26=$AI$12)*('WINDOW INCENTIVES'!$F$3:$F$26=$E$8)*(L43&gt;='WINDOW INCENTIVES'!$D$3:$D$26)*(L43&lt;='WINDOW INCENTIVES'!$E$3:$E$26),0),0)),0),0))</f>
        <v/>
      </c>
      <c r="X43" s="243" t="str">
        <f t="shared" si="5"/>
        <v/>
      </c>
      <c r="Y43" s="243" t="str">
        <f t="shared" si="6"/>
        <v/>
      </c>
    </row>
    <row r="44" spans="2:33" x14ac:dyDescent="0.25">
      <c r="B44" s="209">
        <v>20</v>
      </c>
      <c r="C44" s="480"/>
      <c r="D44" s="480"/>
      <c r="E44" s="480"/>
      <c r="F44" s="722"/>
      <c r="G44" s="861"/>
      <c r="H44" s="722"/>
      <c r="I44" s="861"/>
      <c r="J44" s="208">
        <f t="shared" si="3"/>
        <v>0</v>
      </c>
      <c r="K44" s="480"/>
      <c r="L44" s="481"/>
      <c r="M44" s="481"/>
      <c r="N44" s="481"/>
      <c r="O44" s="723"/>
      <c r="P44" s="480"/>
      <c r="Q44" s="210" t="str" cm="1">
        <f t="array" ref="Q44">IF(OR($L44="",$M44="",$N44=""),"",IF(AND($L44&lt;=INDEX('WINDOW CODE'!$C$4:$D$6,MATCH($AG$32,'WINDOW CODE'!$B$4:$B$6,0),IF($K44="Fixed",1,2)),$M44&lt;=INDEX('WINDOW CODE'!$E$4:$E$6,MATCH($AG$32,'WINDOW CODE'!$B$4:$B$6,0)),$N44&gt;=INDEX('WINDOW CODE'!$F$4:$F$6,MATCH($AG$32,'WINDOW CODE'!$B$4:$B$6,0))),"Yes","No"))</f>
        <v/>
      </c>
      <c r="R44" s="256" t="str">
        <f t="shared" si="0"/>
        <v/>
      </c>
      <c r="S44" s="259" t="str">
        <f t="shared" si="1"/>
        <v/>
      </c>
      <c r="T44" s="257" t="str">
        <f t="shared" si="2"/>
        <v/>
      </c>
      <c r="U44" s="256" t="str">
        <f t="shared" si="7"/>
        <v/>
      </c>
      <c r="V44" s="243" t="str" cm="1">
        <f t="array" ref="V44">IF($AI$12="","", IF(OR($AI$12="NIMO Electric LCI", $AI$12="NIMO Electric SMB"), IFERROR(INDEX('WINDOW INCENTIVES'!$H$3:$H$26, MATCH(1,INDEX(('WINDOW INCENTIVES'!$B$3:$B$26=$AI$12)*('WINDOW INCENTIVES'!$F$3:$F$26=$E$8)*(L44&gt;='WINDOW INCENTIVES'!$D$3:$D$26)*(L44&lt;='WINDOW INCENTIVES'!$E$3:$E$26),0),0)),0),0))</f>
        <v/>
      </c>
      <c r="W44" s="243" t="str" cm="1">
        <f t="array" ref="W44">IF($AI$12="","",IF(OR($AI$12="KEDLI/KEDNY LCI",$AI$12="KEDLI/KEDNY SMB",$AI$12="NIMO GAS LCI",$AI$12="NIMO GAS SMB"),IFERROR(INDEX('WINDOW INCENTIVES'!$H$3:$H$26,MATCH(1,INDEX(('WINDOW INCENTIVES'!$B$3:$B$26=$AI$12)*('WINDOW INCENTIVES'!$F$3:$F$26=$E$8)*(L44&gt;='WINDOW INCENTIVES'!$D$3:$D$26)*(L44&lt;='WINDOW INCENTIVES'!$E$3:$E$26),0),0)),0),0))</f>
        <v/>
      </c>
      <c r="X44" s="243" t="str">
        <f t="shared" si="5"/>
        <v/>
      </c>
      <c r="Y44" s="243" t="str">
        <f t="shared" si="6"/>
        <v/>
      </c>
    </row>
    <row r="45" spans="2:33" x14ac:dyDescent="0.25">
      <c r="B45" s="209">
        <v>21</v>
      </c>
      <c r="C45" s="480"/>
      <c r="D45" s="480"/>
      <c r="E45" s="480"/>
      <c r="F45" s="722"/>
      <c r="G45" s="861"/>
      <c r="H45" s="722"/>
      <c r="I45" s="861"/>
      <c r="J45" s="208">
        <f t="shared" si="3"/>
        <v>0</v>
      </c>
      <c r="K45" s="480"/>
      <c r="L45" s="481"/>
      <c r="M45" s="481"/>
      <c r="N45" s="481"/>
      <c r="O45" s="723"/>
      <c r="P45" s="480"/>
      <c r="Q45" s="210" t="str" cm="1">
        <f t="array" ref="Q45">IF(OR($L45="",$M45="",$N45=""),"",IF(AND($L45&lt;=INDEX('WINDOW CODE'!$C$4:$D$6,MATCH($AG$32,'WINDOW CODE'!$B$4:$B$6,0),IF($K45="Fixed",1,2)),$M45&lt;=INDEX('WINDOW CODE'!$E$4:$E$6,MATCH($AG$32,'WINDOW CODE'!$B$4:$B$6,0)),$N45&gt;=INDEX('WINDOW CODE'!$F$4:$F$6,MATCH($AG$32,'WINDOW CODE'!$B$4:$B$6,0))),"Yes","No"))</f>
        <v/>
      </c>
      <c r="R45" s="256" t="str">
        <f t="shared" si="0"/>
        <v/>
      </c>
      <c r="S45" s="259" t="str">
        <f t="shared" si="1"/>
        <v/>
      </c>
      <c r="T45" s="257" t="str">
        <f t="shared" si="2"/>
        <v/>
      </c>
      <c r="U45" s="256" t="str">
        <f t="shared" si="7"/>
        <v/>
      </c>
      <c r="V45" s="243" t="str" cm="1">
        <f t="array" ref="V45">IF($AI$12="","", IF(OR($AI$12="NIMO Electric LCI", $AI$12="NIMO Electric SMB"), IFERROR(INDEX('WINDOW INCENTIVES'!$H$3:$H$26, MATCH(1,INDEX(('WINDOW INCENTIVES'!$B$3:$B$26=$AI$12)*('WINDOW INCENTIVES'!$F$3:$F$26=$E$8)*(L45&gt;='WINDOW INCENTIVES'!$D$3:$D$26)*(L45&lt;='WINDOW INCENTIVES'!$E$3:$E$26),0),0)),0),0))</f>
        <v/>
      </c>
      <c r="W45" s="243" t="str" cm="1">
        <f t="array" ref="W45">IF($AI$12="","",IF(OR($AI$12="KEDLI/KEDNY LCI",$AI$12="KEDLI/KEDNY SMB",$AI$12="NIMO GAS LCI",$AI$12="NIMO GAS SMB"),IFERROR(INDEX('WINDOW INCENTIVES'!$H$3:$H$26,MATCH(1,INDEX(('WINDOW INCENTIVES'!$B$3:$B$26=$AI$12)*('WINDOW INCENTIVES'!$F$3:$F$26=$E$8)*(L45&gt;='WINDOW INCENTIVES'!$D$3:$D$26)*(L45&lt;='WINDOW INCENTIVES'!$E$3:$E$26),0),0)),0),0))</f>
        <v/>
      </c>
      <c r="X45" s="243" t="str">
        <f t="shared" si="5"/>
        <v/>
      </c>
      <c r="Y45" s="243" t="str">
        <f t="shared" si="6"/>
        <v/>
      </c>
    </row>
    <row r="46" spans="2:33" x14ac:dyDescent="0.25">
      <c r="B46" s="209">
        <v>22</v>
      </c>
      <c r="C46" s="480"/>
      <c r="D46" s="480"/>
      <c r="E46" s="480"/>
      <c r="F46" s="722"/>
      <c r="G46" s="861"/>
      <c r="H46" s="722"/>
      <c r="I46" s="861"/>
      <c r="J46" s="208">
        <f t="shared" si="3"/>
        <v>0</v>
      </c>
      <c r="K46" s="480"/>
      <c r="L46" s="481"/>
      <c r="M46" s="481"/>
      <c r="N46" s="481"/>
      <c r="O46" s="723"/>
      <c r="P46" s="480"/>
      <c r="Q46" s="210" t="str" cm="1">
        <f t="array" ref="Q46">IF(OR($L46="",$M46="",$N46=""),"",IF(AND($L46&lt;=INDEX('WINDOW CODE'!$C$4:$D$6,MATCH($AG$32,'WINDOW CODE'!$B$4:$B$6,0),IF($K46="Fixed",1,2)),$M46&lt;=INDEX('WINDOW CODE'!$E$4:$E$6,MATCH($AG$32,'WINDOW CODE'!$B$4:$B$6,0)),$N46&gt;=INDEX('WINDOW CODE'!$F$4:$F$6,MATCH($AG$32,'WINDOW CODE'!$B$4:$B$6,0))),"Yes","No"))</f>
        <v/>
      </c>
      <c r="R46" s="256" t="str">
        <f t="shared" si="0"/>
        <v/>
      </c>
      <c r="S46" s="259" t="str">
        <f t="shared" si="1"/>
        <v/>
      </c>
      <c r="T46" s="257" t="str">
        <f t="shared" si="2"/>
        <v/>
      </c>
      <c r="U46" s="256" t="str">
        <f t="shared" si="7"/>
        <v/>
      </c>
      <c r="V46" s="243" t="str" cm="1">
        <f t="array" ref="V46">IF($AI$12="","", IF(OR($AI$12="NIMO Electric LCI", $AI$12="NIMO Electric SMB"), IFERROR(INDEX('WINDOW INCENTIVES'!$H$3:$H$26, MATCH(1,INDEX(('WINDOW INCENTIVES'!$B$3:$B$26=$AI$12)*('WINDOW INCENTIVES'!$F$3:$F$26=$E$8)*(L46&gt;='WINDOW INCENTIVES'!$D$3:$D$26)*(L46&lt;='WINDOW INCENTIVES'!$E$3:$E$26),0),0)),0),0))</f>
        <v/>
      </c>
      <c r="W46" s="243" t="str" cm="1">
        <f t="array" ref="W46">IF($AI$12="","",IF(OR($AI$12="KEDLI/KEDNY LCI",$AI$12="KEDLI/KEDNY SMB",$AI$12="NIMO GAS LCI",$AI$12="NIMO GAS SMB"),IFERROR(INDEX('WINDOW INCENTIVES'!$H$3:$H$26,MATCH(1,INDEX(('WINDOW INCENTIVES'!$B$3:$B$26=$AI$12)*('WINDOW INCENTIVES'!$F$3:$F$26=$E$8)*(L46&gt;='WINDOW INCENTIVES'!$D$3:$D$26)*(L46&lt;='WINDOW INCENTIVES'!$E$3:$E$26),0),0)),0),0))</f>
        <v/>
      </c>
      <c r="X46" s="243" t="str">
        <f t="shared" si="5"/>
        <v/>
      </c>
      <c r="Y46" s="243" t="str">
        <f t="shared" si="6"/>
        <v/>
      </c>
    </row>
    <row r="47" spans="2:33" x14ac:dyDescent="0.25">
      <c r="B47" s="209">
        <v>23</v>
      </c>
      <c r="C47" s="480"/>
      <c r="D47" s="480"/>
      <c r="E47" s="480"/>
      <c r="F47" s="722"/>
      <c r="G47" s="861"/>
      <c r="H47" s="722"/>
      <c r="I47" s="861"/>
      <c r="J47" s="208">
        <f t="shared" si="3"/>
        <v>0</v>
      </c>
      <c r="K47" s="480"/>
      <c r="L47" s="481"/>
      <c r="M47" s="481"/>
      <c r="N47" s="481"/>
      <c r="O47" s="723"/>
      <c r="P47" s="480"/>
      <c r="Q47" s="210" t="str" cm="1">
        <f t="array" ref="Q47">IF(OR($L47="",$M47="",$N47=""),"",IF(AND($L47&lt;=INDEX('WINDOW CODE'!$C$4:$D$6,MATCH($AG$32,'WINDOW CODE'!$B$4:$B$6,0),IF($K47="Fixed",1,2)),$M47&lt;=INDEX('WINDOW CODE'!$E$4:$E$6,MATCH($AG$32,'WINDOW CODE'!$B$4:$B$6,0)),$N47&gt;=INDEX('WINDOW CODE'!$F$4:$F$6,MATCH($AG$32,'WINDOW CODE'!$B$4:$B$6,0))),"Yes","No"))</f>
        <v/>
      </c>
      <c r="R47" s="256" t="str">
        <f t="shared" si="0"/>
        <v/>
      </c>
      <c r="S47" s="259" t="str">
        <f t="shared" si="1"/>
        <v/>
      </c>
      <c r="T47" s="257" t="str">
        <f t="shared" si="2"/>
        <v/>
      </c>
      <c r="U47" s="256" t="str">
        <f t="shared" si="7"/>
        <v/>
      </c>
      <c r="V47" s="243" t="str" cm="1">
        <f t="array" ref="V47">IF($AI$12="","", IF(OR($AI$12="NIMO Electric LCI", $AI$12="NIMO Electric SMB"), IFERROR(INDEX('WINDOW INCENTIVES'!$H$3:$H$26, MATCH(1,INDEX(('WINDOW INCENTIVES'!$B$3:$B$26=$AI$12)*('WINDOW INCENTIVES'!$F$3:$F$26=$E$8)*(L47&gt;='WINDOW INCENTIVES'!$D$3:$D$26)*(L47&lt;='WINDOW INCENTIVES'!$E$3:$E$26),0),0)),0),0))</f>
        <v/>
      </c>
      <c r="W47" s="243" t="str" cm="1">
        <f t="array" ref="W47">IF($AI$12="","",IF(OR($AI$12="KEDLI/KEDNY LCI",$AI$12="KEDLI/KEDNY SMB",$AI$12="NIMO GAS LCI",$AI$12="NIMO GAS SMB"),IFERROR(INDEX('WINDOW INCENTIVES'!$H$3:$H$26,MATCH(1,INDEX(('WINDOW INCENTIVES'!$B$3:$B$26=$AI$12)*('WINDOW INCENTIVES'!$F$3:$F$26=$E$8)*(L47&gt;='WINDOW INCENTIVES'!$D$3:$D$26)*(L47&lt;='WINDOW INCENTIVES'!$E$3:$E$26),0),0)),0),0))</f>
        <v/>
      </c>
      <c r="X47" s="243" t="str">
        <f t="shared" si="5"/>
        <v/>
      </c>
      <c r="Y47" s="243" t="str">
        <f t="shared" si="6"/>
        <v/>
      </c>
    </row>
    <row r="48" spans="2:33" x14ac:dyDescent="0.25">
      <c r="B48" s="209">
        <v>24</v>
      </c>
      <c r="C48" s="480"/>
      <c r="D48" s="480"/>
      <c r="E48" s="480"/>
      <c r="F48" s="722"/>
      <c r="G48" s="861"/>
      <c r="H48" s="722"/>
      <c r="I48" s="861"/>
      <c r="J48" s="208">
        <f t="shared" si="3"/>
        <v>0</v>
      </c>
      <c r="K48" s="480"/>
      <c r="L48" s="481"/>
      <c r="M48" s="481"/>
      <c r="N48" s="481"/>
      <c r="O48" s="723"/>
      <c r="P48" s="480"/>
      <c r="Q48" s="210" t="str" cm="1">
        <f t="array" ref="Q48">IF(OR($L48="",$M48="",$N48=""),"",IF(AND($L48&lt;=INDEX('WINDOW CODE'!$C$4:$D$6,MATCH($AG$32,'WINDOW CODE'!$B$4:$B$6,0),IF($K48="Fixed",1,2)),$M48&lt;=INDEX('WINDOW CODE'!$E$4:$E$6,MATCH($AG$32,'WINDOW CODE'!$B$4:$B$6,0)),$N48&gt;=INDEX('WINDOW CODE'!$F$4:$F$6,MATCH($AG$32,'WINDOW CODE'!$B$4:$B$6,0))),"Yes","No"))</f>
        <v/>
      </c>
      <c r="R48" s="256" t="str">
        <f t="shared" si="0"/>
        <v/>
      </c>
      <c r="S48" s="259" t="str">
        <f t="shared" si="1"/>
        <v/>
      </c>
      <c r="T48" s="257" t="str">
        <f t="shared" si="2"/>
        <v/>
      </c>
      <c r="U48" s="256" t="str">
        <f t="shared" si="7"/>
        <v/>
      </c>
      <c r="V48" s="243" t="str" cm="1">
        <f t="array" ref="V48">IF($AI$12="","", IF(OR($AI$12="NIMO Electric LCI", $AI$12="NIMO Electric SMB"), IFERROR(INDEX('WINDOW INCENTIVES'!$H$3:$H$26, MATCH(1,INDEX(('WINDOW INCENTIVES'!$B$3:$B$26=$AI$12)*('WINDOW INCENTIVES'!$F$3:$F$26=$E$8)*(L48&gt;='WINDOW INCENTIVES'!$D$3:$D$26)*(L48&lt;='WINDOW INCENTIVES'!$E$3:$E$26),0),0)),0),0))</f>
        <v/>
      </c>
      <c r="W48" s="243" t="str" cm="1">
        <f t="array" ref="W48">IF($AI$12="","",IF(OR($AI$12="KEDLI/KEDNY LCI",$AI$12="KEDLI/KEDNY SMB",$AI$12="NIMO GAS LCI",$AI$12="NIMO GAS SMB"),IFERROR(INDEX('WINDOW INCENTIVES'!$H$3:$H$26,MATCH(1,INDEX(('WINDOW INCENTIVES'!$B$3:$B$26=$AI$12)*('WINDOW INCENTIVES'!$F$3:$F$26=$E$8)*(L48&gt;='WINDOW INCENTIVES'!$D$3:$D$26)*(L48&lt;='WINDOW INCENTIVES'!$E$3:$E$26),0),0)),0),0))</f>
        <v/>
      </c>
      <c r="X48" s="243" t="str">
        <f t="shared" si="5"/>
        <v/>
      </c>
      <c r="Y48" s="243" t="str">
        <f t="shared" si="6"/>
        <v/>
      </c>
    </row>
    <row r="49" spans="2:25" x14ac:dyDescent="0.25">
      <c r="B49" s="209">
        <v>25</v>
      </c>
      <c r="C49" s="480"/>
      <c r="D49" s="480"/>
      <c r="E49" s="480"/>
      <c r="F49" s="722"/>
      <c r="G49" s="861"/>
      <c r="H49" s="722"/>
      <c r="I49" s="861"/>
      <c r="J49" s="208">
        <f t="shared" si="3"/>
        <v>0</v>
      </c>
      <c r="K49" s="480"/>
      <c r="L49" s="481"/>
      <c r="M49" s="481"/>
      <c r="N49" s="481"/>
      <c r="O49" s="723"/>
      <c r="P49" s="480"/>
      <c r="Q49" s="210" t="str" cm="1">
        <f t="array" ref="Q49">IF(OR($L49="",$M49="",$N49=""),"",IF(AND($L49&lt;=INDEX('WINDOW CODE'!$C$4:$D$6,MATCH($AG$32,'WINDOW CODE'!$B$4:$B$6,0),IF($K49="Fixed",1,2)),$M49&lt;=INDEX('WINDOW CODE'!$E$4:$E$6,MATCH($AG$32,'WINDOW CODE'!$B$4:$B$6,0)),$N49&gt;=INDEX('WINDOW CODE'!$F$4:$F$6,MATCH($AG$32,'WINDOW CODE'!$B$4:$B$6,0))),"Yes","No"))</f>
        <v/>
      </c>
      <c r="R49" s="256" t="str">
        <f t="shared" si="0"/>
        <v/>
      </c>
      <c r="S49" s="259" t="str">
        <f t="shared" si="1"/>
        <v/>
      </c>
      <c r="T49" s="257" t="str">
        <f t="shared" si="2"/>
        <v/>
      </c>
      <c r="U49" s="256" t="str">
        <f t="shared" si="7"/>
        <v/>
      </c>
      <c r="V49" s="243" t="str" cm="1">
        <f t="array" ref="V49">IF($AI$12="","", IF(OR($AI$12="NIMO Electric LCI", $AI$12="NIMO Electric SMB"), IFERROR(INDEX('WINDOW INCENTIVES'!$H$3:$H$26, MATCH(1,INDEX(('WINDOW INCENTIVES'!$B$3:$B$26=$AI$12)*('WINDOW INCENTIVES'!$F$3:$F$26=$E$8)*(L49&gt;='WINDOW INCENTIVES'!$D$3:$D$26)*(L49&lt;='WINDOW INCENTIVES'!$E$3:$E$26),0),0)),0),0))</f>
        <v/>
      </c>
      <c r="W49" s="243" t="str" cm="1">
        <f t="array" ref="W49">IF($AI$12="","",IF(OR($AI$12="KEDLI/KEDNY LCI",$AI$12="KEDLI/KEDNY SMB",$AI$12="NIMO GAS LCI",$AI$12="NIMO GAS SMB"),IFERROR(INDEX('WINDOW INCENTIVES'!$H$3:$H$26,MATCH(1,INDEX(('WINDOW INCENTIVES'!$B$3:$B$26=$AI$12)*('WINDOW INCENTIVES'!$F$3:$F$26=$E$8)*(L49&gt;='WINDOW INCENTIVES'!$D$3:$D$26)*(L49&lt;='WINDOW INCENTIVES'!$E$3:$E$26),0),0)),0),0))</f>
        <v/>
      </c>
      <c r="X49" s="243" t="str">
        <f t="shared" si="5"/>
        <v/>
      </c>
      <c r="Y49" s="243" t="str">
        <f t="shared" si="6"/>
        <v/>
      </c>
    </row>
    <row r="50" spans="2:25" x14ac:dyDescent="0.25">
      <c r="B50" s="209">
        <v>26</v>
      </c>
      <c r="C50" s="480"/>
      <c r="D50" s="480"/>
      <c r="E50" s="480"/>
      <c r="F50" s="722"/>
      <c r="G50" s="861"/>
      <c r="H50" s="722"/>
      <c r="I50" s="861"/>
      <c r="J50" s="208">
        <f t="shared" si="3"/>
        <v>0</v>
      </c>
      <c r="K50" s="480"/>
      <c r="L50" s="481"/>
      <c r="M50" s="481"/>
      <c r="N50" s="481"/>
      <c r="O50" s="723"/>
      <c r="P50" s="480"/>
      <c r="Q50" s="210" t="str" cm="1">
        <f t="array" ref="Q50">IF(OR($L50="",$M50="",$N50=""),"",IF(AND($L50&lt;=INDEX('WINDOW CODE'!$C$4:$D$6,MATCH($AG$32,'WINDOW CODE'!$B$4:$B$6,0),IF($K50="Fixed",1,2)),$M50&lt;=INDEX('WINDOW CODE'!$E$4:$E$6,MATCH($AG$32,'WINDOW CODE'!$B$4:$B$6,0)),$N50&gt;=INDEX('WINDOW CODE'!$F$4:$F$6,MATCH($AG$32,'WINDOW CODE'!$B$4:$B$6,0))),"Yes","No"))</f>
        <v/>
      </c>
      <c r="R50" s="256" t="str">
        <f t="shared" si="0"/>
        <v/>
      </c>
      <c r="S50" s="259" t="str">
        <f t="shared" si="1"/>
        <v/>
      </c>
      <c r="T50" s="257" t="str">
        <f t="shared" si="2"/>
        <v/>
      </c>
      <c r="U50" s="256" t="str">
        <f t="shared" si="7"/>
        <v/>
      </c>
      <c r="V50" s="243" t="str" cm="1">
        <f t="array" ref="V50">IF($AI$12="","", IF(OR($AI$12="NIMO Electric LCI", $AI$12="NIMO Electric SMB"), IFERROR(INDEX('WINDOW INCENTIVES'!$H$3:$H$26, MATCH(1,INDEX(('WINDOW INCENTIVES'!$B$3:$B$26=$AI$12)*('WINDOW INCENTIVES'!$F$3:$F$26=$E$8)*(L50&gt;='WINDOW INCENTIVES'!$D$3:$D$26)*(L50&lt;='WINDOW INCENTIVES'!$E$3:$E$26),0),0)),0),0))</f>
        <v/>
      </c>
      <c r="W50" s="243" t="str" cm="1">
        <f t="array" ref="W50">IF($AI$12="","",IF(OR($AI$12="KEDLI/KEDNY LCI",$AI$12="KEDLI/KEDNY SMB",$AI$12="NIMO GAS LCI",$AI$12="NIMO GAS SMB"),IFERROR(INDEX('WINDOW INCENTIVES'!$H$3:$H$26,MATCH(1,INDEX(('WINDOW INCENTIVES'!$B$3:$B$26=$AI$12)*('WINDOW INCENTIVES'!$F$3:$F$26=$E$8)*(L50&gt;='WINDOW INCENTIVES'!$D$3:$D$26)*(L50&lt;='WINDOW INCENTIVES'!$E$3:$E$26),0),0)),0),0))</f>
        <v/>
      </c>
      <c r="X50" s="243" t="str">
        <f t="shared" si="5"/>
        <v/>
      </c>
      <c r="Y50" s="243" t="str">
        <f t="shared" si="6"/>
        <v/>
      </c>
    </row>
    <row r="51" spans="2:25" x14ac:dyDescent="0.25">
      <c r="B51" s="209">
        <v>27</v>
      </c>
      <c r="C51" s="480"/>
      <c r="D51" s="480"/>
      <c r="E51" s="480"/>
      <c r="F51" s="722"/>
      <c r="G51" s="861"/>
      <c r="H51" s="722"/>
      <c r="I51" s="861"/>
      <c r="J51" s="208">
        <f t="shared" si="3"/>
        <v>0</v>
      </c>
      <c r="K51" s="480"/>
      <c r="L51" s="481"/>
      <c r="M51" s="481"/>
      <c r="N51" s="481"/>
      <c r="O51" s="723"/>
      <c r="P51" s="480"/>
      <c r="Q51" s="210" t="str" cm="1">
        <f t="array" ref="Q51">IF(OR($L51="",$M51="",$N51=""),"",IF(AND($L51&lt;=INDEX('WINDOW CODE'!$C$4:$D$6,MATCH($AG$32,'WINDOW CODE'!$B$4:$B$6,0),IF($K51="Fixed",1,2)),$M51&lt;=INDEX('WINDOW CODE'!$E$4:$E$6,MATCH($AG$32,'WINDOW CODE'!$B$4:$B$6,0)),$N51&gt;=INDEX('WINDOW CODE'!$F$4:$F$6,MATCH($AG$32,'WINDOW CODE'!$B$4:$B$6,0))),"Yes","No"))</f>
        <v/>
      </c>
      <c r="R51" s="256" t="str">
        <f t="shared" si="0"/>
        <v/>
      </c>
      <c r="S51" s="259" t="str">
        <f t="shared" si="1"/>
        <v/>
      </c>
      <c r="T51" s="257" t="str">
        <f t="shared" si="2"/>
        <v/>
      </c>
      <c r="U51" s="256" t="str">
        <f t="shared" si="7"/>
        <v/>
      </c>
      <c r="V51" s="243" t="str" cm="1">
        <f t="array" ref="V51">IF($AI$12="","", IF(OR($AI$12="NIMO Electric LCI", $AI$12="NIMO Electric SMB"), IFERROR(INDEX('WINDOW INCENTIVES'!$H$3:$H$26, MATCH(1,INDEX(('WINDOW INCENTIVES'!$B$3:$B$26=$AI$12)*('WINDOW INCENTIVES'!$F$3:$F$26=$E$8)*(L51&gt;='WINDOW INCENTIVES'!$D$3:$D$26)*(L51&lt;='WINDOW INCENTIVES'!$E$3:$E$26),0),0)),0),0))</f>
        <v/>
      </c>
      <c r="W51" s="243" t="str" cm="1">
        <f t="array" ref="W51">IF($AI$12="","",IF(OR($AI$12="KEDLI/KEDNY LCI",$AI$12="KEDLI/KEDNY SMB",$AI$12="NIMO GAS LCI",$AI$12="NIMO GAS SMB"),IFERROR(INDEX('WINDOW INCENTIVES'!$H$3:$H$26,MATCH(1,INDEX(('WINDOW INCENTIVES'!$B$3:$B$26=$AI$12)*('WINDOW INCENTIVES'!$F$3:$F$26=$E$8)*(L51&gt;='WINDOW INCENTIVES'!$D$3:$D$26)*(L51&lt;='WINDOW INCENTIVES'!$E$3:$E$26),0),0)),0),0))</f>
        <v/>
      </c>
      <c r="X51" s="243" t="str">
        <f t="shared" si="5"/>
        <v/>
      </c>
      <c r="Y51" s="243" t="str">
        <f t="shared" si="6"/>
        <v/>
      </c>
    </row>
    <row r="52" spans="2:25" x14ac:dyDescent="0.25">
      <c r="B52" s="209">
        <v>28</v>
      </c>
      <c r="C52" s="480"/>
      <c r="D52" s="480"/>
      <c r="E52" s="480"/>
      <c r="F52" s="722"/>
      <c r="G52" s="861"/>
      <c r="H52" s="722"/>
      <c r="I52" s="861"/>
      <c r="J52" s="208">
        <f t="shared" si="3"/>
        <v>0</v>
      </c>
      <c r="K52" s="480"/>
      <c r="L52" s="481"/>
      <c r="M52" s="481"/>
      <c r="N52" s="481"/>
      <c r="O52" s="723"/>
      <c r="P52" s="480"/>
      <c r="Q52" s="210" t="str" cm="1">
        <f t="array" ref="Q52">IF(OR($L52="",$M52="",$N52=""),"",IF(AND($L52&lt;=INDEX('WINDOW CODE'!$C$4:$D$6,MATCH($AG$32,'WINDOW CODE'!$B$4:$B$6,0),IF($K52="Fixed",1,2)),$M52&lt;=INDEX('WINDOW CODE'!$E$4:$E$6,MATCH($AG$32,'WINDOW CODE'!$B$4:$B$6,0)),$N52&gt;=INDEX('WINDOW CODE'!$F$4:$F$6,MATCH($AG$32,'WINDOW CODE'!$B$4:$B$6,0))),"Yes","No"))</f>
        <v/>
      </c>
      <c r="R52" s="256" t="str">
        <f t="shared" si="0"/>
        <v/>
      </c>
      <c r="S52" s="259" t="str">
        <f t="shared" si="1"/>
        <v/>
      </c>
      <c r="T52" s="257" t="str">
        <f t="shared" si="2"/>
        <v/>
      </c>
      <c r="U52" s="256" t="str">
        <f t="shared" si="7"/>
        <v/>
      </c>
      <c r="V52" s="243" t="str" cm="1">
        <f t="array" ref="V52">IF($AI$12="","", IF(OR($AI$12="NIMO Electric LCI", $AI$12="NIMO Electric SMB"), IFERROR(INDEX('WINDOW INCENTIVES'!$H$3:$H$26, MATCH(1,INDEX(('WINDOW INCENTIVES'!$B$3:$B$26=$AI$12)*('WINDOW INCENTIVES'!$F$3:$F$26=$E$8)*(L52&gt;='WINDOW INCENTIVES'!$D$3:$D$26)*(L52&lt;='WINDOW INCENTIVES'!$E$3:$E$26),0),0)),0),0))</f>
        <v/>
      </c>
      <c r="W52" s="243" t="str" cm="1">
        <f t="array" ref="W52">IF($AI$12="","",IF(OR($AI$12="KEDLI/KEDNY LCI",$AI$12="KEDLI/KEDNY SMB",$AI$12="NIMO GAS LCI",$AI$12="NIMO GAS SMB"),IFERROR(INDEX('WINDOW INCENTIVES'!$H$3:$H$26,MATCH(1,INDEX(('WINDOW INCENTIVES'!$B$3:$B$26=$AI$12)*('WINDOW INCENTIVES'!$F$3:$F$26=$E$8)*(L52&gt;='WINDOW INCENTIVES'!$D$3:$D$26)*(L52&lt;='WINDOW INCENTIVES'!$E$3:$E$26),0),0)),0),0))</f>
        <v/>
      </c>
      <c r="X52" s="243" t="str">
        <f t="shared" si="5"/>
        <v/>
      </c>
      <c r="Y52" s="243" t="str">
        <f t="shared" si="6"/>
        <v/>
      </c>
    </row>
    <row r="53" spans="2:25" x14ac:dyDescent="0.25">
      <c r="B53" s="209">
        <v>29</v>
      </c>
      <c r="C53" s="480"/>
      <c r="D53" s="480"/>
      <c r="E53" s="480"/>
      <c r="F53" s="722"/>
      <c r="G53" s="861"/>
      <c r="H53" s="722"/>
      <c r="I53" s="861"/>
      <c r="J53" s="208">
        <f t="shared" si="3"/>
        <v>0</v>
      </c>
      <c r="K53" s="480"/>
      <c r="L53" s="481"/>
      <c r="M53" s="481"/>
      <c r="N53" s="481"/>
      <c r="O53" s="723"/>
      <c r="P53" s="480"/>
      <c r="Q53" s="210" t="str" cm="1">
        <f t="array" ref="Q53">IF(OR($L53="",$M53="",$N53=""),"",IF(AND($L53&lt;=INDEX('WINDOW CODE'!$C$4:$D$6,MATCH($AG$32,'WINDOW CODE'!$B$4:$B$6,0),IF($K53="Fixed",1,2)),$M53&lt;=INDEX('WINDOW CODE'!$E$4:$E$6,MATCH($AG$32,'WINDOW CODE'!$B$4:$B$6,0)),$N53&gt;=INDEX('WINDOW CODE'!$F$4:$F$6,MATCH($AG$32,'WINDOW CODE'!$B$4:$B$6,0))),"Yes","No"))</f>
        <v/>
      </c>
      <c r="R53" s="256" t="str">
        <f t="shared" si="0"/>
        <v/>
      </c>
      <c r="S53" s="259" t="str">
        <f t="shared" si="1"/>
        <v/>
      </c>
      <c r="T53" s="257" t="str">
        <f t="shared" si="2"/>
        <v/>
      </c>
      <c r="U53" s="256" t="str">
        <f t="shared" si="7"/>
        <v/>
      </c>
      <c r="V53" s="243" t="str" cm="1">
        <f t="array" ref="V53">IF($AI$12="","", IF(OR($AI$12="NIMO Electric LCI", $AI$12="NIMO Electric SMB"), IFERROR(INDEX('WINDOW INCENTIVES'!$H$3:$H$26, MATCH(1,INDEX(('WINDOW INCENTIVES'!$B$3:$B$26=$AI$12)*('WINDOW INCENTIVES'!$F$3:$F$26=$E$8)*(L53&gt;='WINDOW INCENTIVES'!$D$3:$D$26)*(L53&lt;='WINDOW INCENTIVES'!$E$3:$E$26),0),0)),0),0))</f>
        <v/>
      </c>
      <c r="W53" s="243" t="str" cm="1">
        <f t="array" ref="W53">IF($AI$12="","",IF(OR($AI$12="KEDLI/KEDNY LCI",$AI$12="KEDLI/KEDNY SMB",$AI$12="NIMO GAS LCI",$AI$12="NIMO GAS SMB"),IFERROR(INDEX('WINDOW INCENTIVES'!$H$3:$H$26,MATCH(1,INDEX(('WINDOW INCENTIVES'!$B$3:$B$26=$AI$12)*('WINDOW INCENTIVES'!$F$3:$F$26=$E$8)*(L53&gt;='WINDOW INCENTIVES'!$D$3:$D$26)*(L53&lt;='WINDOW INCENTIVES'!$E$3:$E$26),0),0)),0),0))</f>
        <v/>
      </c>
      <c r="X53" s="243" t="str">
        <f t="shared" si="5"/>
        <v/>
      </c>
      <c r="Y53" s="243" t="str">
        <f t="shared" si="6"/>
        <v/>
      </c>
    </row>
    <row r="54" spans="2:25" x14ac:dyDescent="0.25">
      <c r="B54" s="209">
        <v>30</v>
      </c>
      <c r="C54" s="480"/>
      <c r="D54" s="480"/>
      <c r="E54" s="480"/>
      <c r="F54" s="722"/>
      <c r="G54" s="861"/>
      <c r="H54" s="722"/>
      <c r="I54" s="861"/>
      <c r="J54" s="208">
        <f t="shared" si="3"/>
        <v>0</v>
      </c>
      <c r="K54" s="480"/>
      <c r="L54" s="481"/>
      <c r="M54" s="481"/>
      <c r="N54" s="481"/>
      <c r="O54" s="723"/>
      <c r="P54" s="480"/>
      <c r="Q54" s="210" t="str" cm="1">
        <f t="array" ref="Q54">IF(OR($L54="",$M54="",$N54=""),"",IF(AND($L54&lt;=INDEX('WINDOW CODE'!$C$4:$D$6,MATCH($AG$32,'WINDOW CODE'!$B$4:$B$6,0),IF($K54="Fixed",1,2)),$M54&lt;=INDEX('WINDOW CODE'!$E$4:$E$6,MATCH($AG$32,'WINDOW CODE'!$B$4:$B$6,0)),$N54&gt;=INDEX('WINDOW CODE'!$F$4:$F$6,MATCH($AG$32,'WINDOW CODE'!$B$4:$B$6,0))),"Yes","No"))</f>
        <v/>
      </c>
      <c r="R54" s="256" t="str">
        <f t="shared" si="0"/>
        <v/>
      </c>
      <c r="S54" s="259" t="str">
        <f t="shared" si="1"/>
        <v/>
      </c>
      <c r="T54" s="257" t="str">
        <f t="shared" si="2"/>
        <v/>
      </c>
      <c r="U54" s="256" t="str">
        <f t="shared" si="7"/>
        <v/>
      </c>
      <c r="V54" s="243" t="str" cm="1">
        <f t="array" ref="V54">IF($AI$12="","", IF(OR($AI$12="NIMO Electric LCI", $AI$12="NIMO Electric SMB"), IFERROR(INDEX('WINDOW INCENTIVES'!$H$3:$H$26, MATCH(1,INDEX(('WINDOW INCENTIVES'!$B$3:$B$26=$AI$12)*('WINDOW INCENTIVES'!$F$3:$F$26=$E$8)*(L54&gt;='WINDOW INCENTIVES'!$D$3:$D$26)*(L54&lt;='WINDOW INCENTIVES'!$E$3:$E$26),0),0)),0),0))</f>
        <v/>
      </c>
      <c r="W54" s="243" t="str" cm="1">
        <f t="array" ref="W54">IF($AI$12="","",IF(OR($AI$12="KEDLI/KEDNY LCI",$AI$12="KEDLI/KEDNY SMB",$AI$12="NIMO GAS LCI",$AI$12="NIMO GAS SMB"),IFERROR(INDEX('WINDOW INCENTIVES'!$H$3:$H$26,MATCH(1,INDEX(('WINDOW INCENTIVES'!$B$3:$B$26=$AI$12)*('WINDOW INCENTIVES'!$F$3:$F$26=$E$8)*(L54&gt;='WINDOW INCENTIVES'!$D$3:$D$26)*(L54&lt;='WINDOW INCENTIVES'!$E$3:$E$26),0),0)),0),0))</f>
        <v/>
      </c>
      <c r="X54" s="243" t="str">
        <f t="shared" si="5"/>
        <v/>
      </c>
      <c r="Y54" s="243" t="str">
        <f t="shared" si="6"/>
        <v/>
      </c>
    </row>
    <row r="55" spans="2:25" x14ac:dyDescent="0.25">
      <c r="B55" s="209">
        <v>31</v>
      </c>
      <c r="C55" s="480"/>
      <c r="D55" s="480"/>
      <c r="E55" s="480"/>
      <c r="F55" s="722"/>
      <c r="G55" s="861"/>
      <c r="H55" s="722"/>
      <c r="I55" s="861"/>
      <c r="J55" s="208">
        <f t="shared" si="3"/>
        <v>0</v>
      </c>
      <c r="K55" s="480"/>
      <c r="L55" s="481"/>
      <c r="M55" s="481"/>
      <c r="N55" s="481"/>
      <c r="O55" s="723"/>
      <c r="P55" s="480"/>
      <c r="Q55" s="210" t="str" cm="1">
        <f t="array" ref="Q55">IF(OR($L55="",$M55="",$N55=""),"",IF(AND($L55&lt;=INDEX('WINDOW CODE'!$C$4:$D$6,MATCH($AG$32,'WINDOW CODE'!$B$4:$B$6,0),IF($K55="Fixed",1,2)),$M55&lt;=INDEX('WINDOW CODE'!$E$4:$E$6,MATCH($AG$32,'WINDOW CODE'!$B$4:$B$6,0)),$N55&gt;=INDEX('WINDOW CODE'!$F$4:$F$6,MATCH($AG$32,'WINDOW CODE'!$B$4:$B$6,0))),"Yes","No"))</f>
        <v/>
      </c>
      <c r="R55" s="256" t="str">
        <f t="shared" si="0"/>
        <v/>
      </c>
      <c r="S55" s="259" t="str">
        <f t="shared" si="1"/>
        <v/>
      </c>
      <c r="T55" s="257" t="str">
        <f t="shared" si="2"/>
        <v/>
      </c>
      <c r="U55" s="256" t="str">
        <f t="shared" si="7"/>
        <v/>
      </c>
      <c r="V55" s="243" t="str" cm="1">
        <f t="array" ref="V55">IF($AI$12="","", IF(OR($AI$12="NIMO Electric LCI", $AI$12="NIMO Electric SMB"), IFERROR(INDEX('WINDOW INCENTIVES'!$H$3:$H$26, MATCH(1,INDEX(('WINDOW INCENTIVES'!$B$3:$B$26=$AI$12)*('WINDOW INCENTIVES'!$F$3:$F$26=$E$8)*(L55&gt;='WINDOW INCENTIVES'!$D$3:$D$26)*(L55&lt;='WINDOW INCENTIVES'!$E$3:$E$26),0),0)),0),0))</f>
        <v/>
      </c>
      <c r="W55" s="243" t="str" cm="1">
        <f t="array" ref="W55">IF($AI$12="","",IF(OR($AI$12="KEDLI/KEDNY LCI",$AI$12="KEDLI/KEDNY SMB",$AI$12="NIMO GAS LCI",$AI$12="NIMO GAS SMB"),IFERROR(INDEX('WINDOW INCENTIVES'!$H$3:$H$26,MATCH(1,INDEX(('WINDOW INCENTIVES'!$B$3:$B$26=$AI$12)*('WINDOW INCENTIVES'!$F$3:$F$26=$E$8)*(L55&gt;='WINDOW INCENTIVES'!$D$3:$D$26)*(L55&lt;='WINDOW INCENTIVES'!$E$3:$E$26),0),0)),0),0))</f>
        <v/>
      </c>
      <c r="X55" s="243" t="str">
        <f t="shared" si="5"/>
        <v/>
      </c>
      <c r="Y55" s="243" t="str">
        <f t="shared" si="6"/>
        <v/>
      </c>
    </row>
    <row r="56" spans="2:25" x14ac:dyDescent="0.25">
      <c r="B56" s="209">
        <v>32</v>
      </c>
      <c r="C56" s="480"/>
      <c r="D56" s="480"/>
      <c r="E56" s="480"/>
      <c r="F56" s="722"/>
      <c r="G56" s="861"/>
      <c r="H56" s="722"/>
      <c r="I56" s="861"/>
      <c r="J56" s="208">
        <f t="shared" si="3"/>
        <v>0</v>
      </c>
      <c r="K56" s="480"/>
      <c r="L56" s="481"/>
      <c r="M56" s="481"/>
      <c r="N56" s="481"/>
      <c r="O56" s="723"/>
      <c r="P56" s="480"/>
      <c r="Q56" s="210" t="str" cm="1">
        <f t="array" ref="Q56">IF(OR($L56="",$M56="",$N56=""),"",IF(AND($L56&lt;=INDEX('WINDOW CODE'!$C$4:$D$6,MATCH($AG$32,'WINDOW CODE'!$B$4:$B$6,0),IF($K56="Fixed",1,2)),$M56&lt;=INDEX('WINDOW CODE'!$E$4:$E$6,MATCH($AG$32,'WINDOW CODE'!$B$4:$B$6,0)),$N56&gt;=INDEX('WINDOW CODE'!$F$4:$F$6,MATCH($AG$32,'WINDOW CODE'!$B$4:$B$6,0))),"Yes","No"))</f>
        <v/>
      </c>
      <c r="R56" s="256" t="str">
        <f t="shared" si="0"/>
        <v/>
      </c>
      <c r="S56" s="259" t="str">
        <f t="shared" si="1"/>
        <v/>
      </c>
      <c r="T56" s="257" t="str">
        <f t="shared" si="2"/>
        <v/>
      </c>
      <c r="U56" s="256" t="str">
        <f t="shared" si="7"/>
        <v/>
      </c>
      <c r="V56" s="243" t="str" cm="1">
        <f t="array" ref="V56">IF($AI$12="","", IF(OR($AI$12="NIMO Electric LCI", $AI$12="NIMO Electric SMB"), IFERROR(INDEX('WINDOW INCENTIVES'!$H$3:$H$26, MATCH(1,INDEX(('WINDOW INCENTIVES'!$B$3:$B$26=$AI$12)*('WINDOW INCENTIVES'!$F$3:$F$26=$E$8)*(L56&gt;='WINDOW INCENTIVES'!$D$3:$D$26)*(L56&lt;='WINDOW INCENTIVES'!$E$3:$E$26),0),0)),0),0))</f>
        <v/>
      </c>
      <c r="W56" s="243" t="str" cm="1">
        <f t="array" ref="W56">IF($AI$12="","",IF(OR($AI$12="KEDLI/KEDNY LCI",$AI$12="KEDLI/KEDNY SMB",$AI$12="NIMO GAS LCI",$AI$12="NIMO GAS SMB"),IFERROR(INDEX('WINDOW INCENTIVES'!$H$3:$H$26,MATCH(1,INDEX(('WINDOW INCENTIVES'!$B$3:$B$26=$AI$12)*('WINDOW INCENTIVES'!$F$3:$F$26=$E$8)*(L56&gt;='WINDOW INCENTIVES'!$D$3:$D$26)*(L56&lt;='WINDOW INCENTIVES'!$E$3:$E$26),0),0)),0),0))</f>
        <v/>
      </c>
      <c r="X56" s="243" t="str">
        <f t="shared" si="5"/>
        <v/>
      </c>
      <c r="Y56" s="243" t="str">
        <f t="shared" si="6"/>
        <v/>
      </c>
    </row>
    <row r="57" spans="2:25" x14ac:dyDescent="0.25">
      <c r="B57" s="209">
        <v>33</v>
      </c>
      <c r="C57" s="480"/>
      <c r="D57" s="480"/>
      <c r="E57" s="480"/>
      <c r="F57" s="722"/>
      <c r="G57" s="861"/>
      <c r="H57" s="722"/>
      <c r="I57" s="861"/>
      <c r="J57" s="208">
        <f t="shared" si="3"/>
        <v>0</v>
      </c>
      <c r="K57" s="480"/>
      <c r="L57" s="481"/>
      <c r="M57" s="481"/>
      <c r="N57" s="481"/>
      <c r="O57" s="723"/>
      <c r="P57" s="480"/>
      <c r="Q57" s="210" t="str" cm="1">
        <f t="array" ref="Q57">IF(OR($L57="",$M57="",$N57=""),"",IF(AND($L57&lt;=INDEX('WINDOW CODE'!$C$4:$D$6,MATCH($AG$32,'WINDOW CODE'!$B$4:$B$6,0),IF($K57="Fixed",1,2)),$M57&lt;=INDEX('WINDOW CODE'!$E$4:$E$6,MATCH($AG$32,'WINDOW CODE'!$B$4:$B$6,0)),$N57&gt;=INDEX('WINDOW CODE'!$F$4:$F$6,MATCH($AG$32,'WINDOW CODE'!$B$4:$B$6,0))),"Yes","No"))</f>
        <v/>
      </c>
      <c r="R57" s="256" t="str">
        <f t="shared" ref="R57:R74" si="8">IFERROR(IF($AE$17="Electric Heat Only", $AE$23*(J57/100)*1/1, $AE$23*(J57/100)*$AH$26/$AE$37),"")</f>
        <v/>
      </c>
      <c r="S57" s="259" t="str">
        <f t="shared" ref="S57:S74" si="9">IFERROR($AE$26*(J57/100)*$AH$29*$AH$25/$AE$35,"")</f>
        <v/>
      </c>
      <c r="T57" s="257" t="str">
        <f t="shared" ref="T57:T74" si="10">IFERROR((J57/100)*($AE$29/10)*($AH$27/$AE$39),"")</f>
        <v/>
      </c>
      <c r="U57" s="256" t="str">
        <f t="shared" si="7"/>
        <v/>
      </c>
      <c r="V57" s="243" t="str" cm="1">
        <f t="array" ref="V57">IF($AI$12="","", IF(OR($AI$12="NIMO Electric LCI", $AI$12="NIMO Electric SMB"), IFERROR(INDEX('WINDOW INCENTIVES'!$H$3:$H$26, MATCH(1,INDEX(('WINDOW INCENTIVES'!$B$3:$B$26=$AI$12)*('WINDOW INCENTIVES'!$F$3:$F$26=$E$8)*(L57&gt;='WINDOW INCENTIVES'!$D$3:$D$26)*(L57&lt;='WINDOW INCENTIVES'!$E$3:$E$26),0),0)),0),0))</f>
        <v/>
      </c>
      <c r="W57" s="243" t="str" cm="1">
        <f t="array" ref="W57">IF($AI$12="","",IF(OR($AI$12="KEDLI/KEDNY LCI",$AI$12="KEDLI/KEDNY SMB",$AI$12="NIMO GAS LCI",$AI$12="NIMO GAS SMB"),IFERROR(INDEX('WINDOW INCENTIVES'!$H$3:$H$26,MATCH(1,INDEX(('WINDOW INCENTIVES'!$B$3:$B$26=$AI$12)*('WINDOW INCENTIVES'!$F$3:$F$26=$E$8)*(L57&gt;='WINDOW INCENTIVES'!$D$3:$D$26)*(L57&lt;='WINDOW INCENTIVES'!$E$3:$E$26),0),0)),0),0))</f>
        <v/>
      </c>
      <c r="X57" s="243" t="str">
        <f t="shared" ref="X57:X74" si="11">IFERROR(V57*J57,"")</f>
        <v/>
      </c>
      <c r="Y57" s="243" t="str">
        <f t="shared" ref="Y57:Y74" si="12">IFERROR(W57*J57,"")</f>
        <v/>
      </c>
    </row>
    <row r="58" spans="2:25" x14ac:dyDescent="0.25">
      <c r="B58" s="209">
        <v>34</v>
      </c>
      <c r="C58" s="480"/>
      <c r="D58" s="480"/>
      <c r="E58" s="480"/>
      <c r="F58" s="722"/>
      <c r="G58" s="861"/>
      <c r="H58" s="722"/>
      <c r="I58" s="861"/>
      <c r="J58" s="208">
        <f t="shared" si="3"/>
        <v>0</v>
      </c>
      <c r="K58" s="480"/>
      <c r="L58" s="481"/>
      <c r="M58" s="481"/>
      <c r="N58" s="481"/>
      <c r="O58" s="723"/>
      <c r="P58" s="480"/>
      <c r="Q58" s="210" t="str" cm="1">
        <f t="array" ref="Q58">IF(OR($L58="",$M58="",$N58=""),"",IF(AND($L58&lt;=INDEX('WINDOW CODE'!$C$4:$D$6,MATCH($AG$32,'WINDOW CODE'!$B$4:$B$6,0),IF($K58="Fixed",1,2)),$M58&lt;=INDEX('WINDOW CODE'!$E$4:$E$6,MATCH($AG$32,'WINDOW CODE'!$B$4:$B$6,0)),$N58&gt;=INDEX('WINDOW CODE'!$F$4:$F$6,MATCH($AG$32,'WINDOW CODE'!$B$4:$B$6,0))),"Yes","No"))</f>
        <v/>
      </c>
      <c r="R58" s="256" t="str">
        <f t="shared" si="8"/>
        <v/>
      </c>
      <c r="S58" s="259" t="str">
        <f t="shared" si="9"/>
        <v/>
      </c>
      <c r="T58" s="257" t="str">
        <f t="shared" si="10"/>
        <v/>
      </c>
      <c r="U58" s="256" t="str">
        <f t="shared" si="7"/>
        <v/>
      </c>
      <c r="V58" s="243" t="str" cm="1">
        <f t="array" ref="V58">IF($AI$12="","", IF(OR($AI$12="NIMO Electric LCI", $AI$12="NIMO Electric SMB"), IFERROR(INDEX('WINDOW INCENTIVES'!$H$3:$H$26, MATCH(1,INDEX(('WINDOW INCENTIVES'!$B$3:$B$26=$AI$12)*('WINDOW INCENTIVES'!$F$3:$F$26=$E$8)*(L58&gt;='WINDOW INCENTIVES'!$D$3:$D$26)*(L58&lt;='WINDOW INCENTIVES'!$E$3:$E$26),0),0)),0),0))</f>
        <v/>
      </c>
      <c r="W58" s="243" t="str" cm="1">
        <f t="array" ref="W58">IF($AI$12="","",IF(OR($AI$12="KEDLI/KEDNY LCI",$AI$12="KEDLI/KEDNY SMB",$AI$12="NIMO GAS LCI",$AI$12="NIMO GAS SMB"),IFERROR(INDEX('WINDOW INCENTIVES'!$H$3:$H$26,MATCH(1,INDEX(('WINDOW INCENTIVES'!$B$3:$B$26=$AI$12)*('WINDOW INCENTIVES'!$F$3:$F$26=$E$8)*(L58&gt;='WINDOW INCENTIVES'!$D$3:$D$26)*(L58&lt;='WINDOW INCENTIVES'!$E$3:$E$26),0),0)),0),0))</f>
        <v/>
      </c>
      <c r="X58" s="243" t="str">
        <f t="shared" si="11"/>
        <v/>
      </c>
      <c r="Y58" s="243" t="str">
        <f t="shared" si="12"/>
        <v/>
      </c>
    </row>
    <row r="59" spans="2:25" x14ac:dyDescent="0.25">
      <c r="B59" s="209">
        <v>35</v>
      </c>
      <c r="C59" s="480"/>
      <c r="D59" s="480"/>
      <c r="E59" s="480"/>
      <c r="F59" s="722"/>
      <c r="G59" s="861"/>
      <c r="H59" s="722"/>
      <c r="I59" s="861"/>
      <c r="J59" s="208">
        <f t="shared" si="3"/>
        <v>0</v>
      </c>
      <c r="K59" s="480"/>
      <c r="L59" s="481"/>
      <c r="M59" s="481"/>
      <c r="N59" s="481"/>
      <c r="O59" s="723"/>
      <c r="P59" s="480"/>
      <c r="Q59" s="210" t="str" cm="1">
        <f t="array" ref="Q59">IF(OR($L59="",$M59="",$N59=""),"",IF(AND($L59&lt;=INDEX('WINDOW CODE'!$C$4:$D$6,MATCH($AG$32,'WINDOW CODE'!$B$4:$B$6,0),IF($K59="Fixed",1,2)),$M59&lt;=INDEX('WINDOW CODE'!$E$4:$E$6,MATCH($AG$32,'WINDOW CODE'!$B$4:$B$6,0)),$N59&gt;=INDEX('WINDOW CODE'!$F$4:$F$6,MATCH($AG$32,'WINDOW CODE'!$B$4:$B$6,0))),"Yes","No"))</f>
        <v/>
      </c>
      <c r="R59" s="256" t="str">
        <f t="shared" si="8"/>
        <v/>
      </c>
      <c r="S59" s="259" t="str">
        <f t="shared" si="9"/>
        <v/>
      </c>
      <c r="T59" s="257" t="str">
        <f t="shared" si="10"/>
        <v/>
      </c>
      <c r="U59" s="256" t="str">
        <f t="shared" si="7"/>
        <v/>
      </c>
      <c r="V59" s="243" t="str" cm="1">
        <f t="array" ref="V59">IF($AI$12="","", IF(OR($AI$12="NIMO Electric LCI", $AI$12="NIMO Electric SMB"), IFERROR(INDEX('WINDOW INCENTIVES'!$H$3:$H$26, MATCH(1,INDEX(('WINDOW INCENTIVES'!$B$3:$B$26=$AI$12)*('WINDOW INCENTIVES'!$F$3:$F$26=$E$8)*(L59&gt;='WINDOW INCENTIVES'!$D$3:$D$26)*(L59&lt;='WINDOW INCENTIVES'!$E$3:$E$26),0),0)),0),0))</f>
        <v/>
      </c>
      <c r="W59" s="243" t="str" cm="1">
        <f t="array" ref="W59">IF($AI$12="","",IF(OR($AI$12="KEDLI/KEDNY LCI",$AI$12="KEDLI/KEDNY SMB",$AI$12="NIMO GAS LCI",$AI$12="NIMO GAS SMB"),IFERROR(INDEX('WINDOW INCENTIVES'!$H$3:$H$26,MATCH(1,INDEX(('WINDOW INCENTIVES'!$B$3:$B$26=$AI$12)*('WINDOW INCENTIVES'!$F$3:$F$26=$E$8)*(L59&gt;='WINDOW INCENTIVES'!$D$3:$D$26)*(L59&lt;='WINDOW INCENTIVES'!$E$3:$E$26),0),0)),0),0))</f>
        <v/>
      </c>
      <c r="X59" s="243" t="str">
        <f t="shared" si="11"/>
        <v/>
      </c>
      <c r="Y59" s="243" t="str">
        <f t="shared" si="12"/>
        <v/>
      </c>
    </row>
    <row r="60" spans="2:25" x14ac:dyDescent="0.25">
      <c r="B60" s="209">
        <v>36</v>
      </c>
      <c r="C60" s="480"/>
      <c r="D60" s="480"/>
      <c r="E60" s="480"/>
      <c r="F60" s="722"/>
      <c r="G60" s="861"/>
      <c r="H60" s="722"/>
      <c r="I60" s="861"/>
      <c r="J60" s="208">
        <f t="shared" si="3"/>
        <v>0</v>
      </c>
      <c r="K60" s="480"/>
      <c r="L60" s="481"/>
      <c r="M60" s="481"/>
      <c r="N60" s="481"/>
      <c r="O60" s="723"/>
      <c r="P60" s="480"/>
      <c r="Q60" s="210" t="str" cm="1">
        <f t="array" ref="Q60">IF(OR($L60="",$M60="",$N60=""),"",IF(AND($L60&lt;=INDEX('WINDOW CODE'!$C$4:$D$6,MATCH($AG$32,'WINDOW CODE'!$B$4:$B$6,0),IF($K60="Fixed",1,2)),$M60&lt;=INDEX('WINDOW CODE'!$E$4:$E$6,MATCH($AG$32,'WINDOW CODE'!$B$4:$B$6,0)),$N60&gt;=INDEX('WINDOW CODE'!$F$4:$F$6,MATCH($AG$32,'WINDOW CODE'!$B$4:$B$6,0))),"Yes","No"))</f>
        <v/>
      </c>
      <c r="R60" s="256" t="str">
        <f t="shared" si="8"/>
        <v/>
      </c>
      <c r="S60" s="259" t="str">
        <f t="shared" si="9"/>
        <v/>
      </c>
      <c r="T60" s="257" t="str">
        <f t="shared" si="10"/>
        <v/>
      </c>
      <c r="U60" s="256" t="str">
        <f t="shared" si="7"/>
        <v/>
      </c>
      <c r="V60" s="243" t="str" cm="1">
        <f t="array" ref="V60">IF($AI$12="","", IF(OR($AI$12="NIMO Electric LCI", $AI$12="NIMO Electric SMB"), IFERROR(INDEX('WINDOW INCENTIVES'!$H$3:$H$26, MATCH(1,INDEX(('WINDOW INCENTIVES'!$B$3:$B$26=$AI$12)*('WINDOW INCENTIVES'!$F$3:$F$26=$E$8)*(L60&gt;='WINDOW INCENTIVES'!$D$3:$D$26)*(L60&lt;='WINDOW INCENTIVES'!$E$3:$E$26),0),0)),0),0))</f>
        <v/>
      </c>
      <c r="W60" s="243" t="str" cm="1">
        <f t="array" ref="W60">IF($AI$12="","",IF(OR($AI$12="KEDLI/KEDNY LCI",$AI$12="KEDLI/KEDNY SMB",$AI$12="NIMO GAS LCI",$AI$12="NIMO GAS SMB"),IFERROR(INDEX('WINDOW INCENTIVES'!$H$3:$H$26,MATCH(1,INDEX(('WINDOW INCENTIVES'!$B$3:$B$26=$AI$12)*('WINDOW INCENTIVES'!$F$3:$F$26=$E$8)*(L60&gt;='WINDOW INCENTIVES'!$D$3:$D$26)*(L60&lt;='WINDOW INCENTIVES'!$E$3:$E$26),0),0)),0),0))</f>
        <v/>
      </c>
      <c r="X60" s="243" t="str">
        <f t="shared" si="11"/>
        <v/>
      </c>
      <c r="Y60" s="243" t="str">
        <f t="shared" si="12"/>
        <v/>
      </c>
    </row>
    <row r="61" spans="2:25" x14ac:dyDescent="0.25">
      <c r="B61" s="209">
        <v>37</v>
      </c>
      <c r="C61" s="480"/>
      <c r="D61" s="480"/>
      <c r="E61" s="480"/>
      <c r="F61" s="722"/>
      <c r="G61" s="861"/>
      <c r="H61" s="722"/>
      <c r="I61" s="861"/>
      <c r="J61" s="208">
        <f t="shared" si="3"/>
        <v>0</v>
      </c>
      <c r="K61" s="480"/>
      <c r="L61" s="481"/>
      <c r="M61" s="481"/>
      <c r="N61" s="481"/>
      <c r="O61" s="723"/>
      <c r="P61" s="480"/>
      <c r="Q61" s="210" t="str" cm="1">
        <f t="array" ref="Q61">IF(OR($L61="",$M61="",$N61=""),"",IF(AND($L61&lt;=INDEX('WINDOW CODE'!$C$4:$D$6,MATCH($AG$32,'WINDOW CODE'!$B$4:$B$6,0),IF($K61="Fixed",1,2)),$M61&lt;=INDEX('WINDOW CODE'!$E$4:$E$6,MATCH($AG$32,'WINDOW CODE'!$B$4:$B$6,0)),$N61&gt;=INDEX('WINDOW CODE'!$F$4:$F$6,MATCH($AG$32,'WINDOW CODE'!$B$4:$B$6,0))),"Yes","No"))</f>
        <v/>
      </c>
      <c r="R61" s="256" t="str">
        <f t="shared" si="8"/>
        <v/>
      </c>
      <c r="S61" s="259" t="str">
        <f t="shared" si="9"/>
        <v/>
      </c>
      <c r="T61" s="257" t="str">
        <f t="shared" si="10"/>
        <v/>
      </c>
      <c r="U61" s="256" t="str">
        <f t="shared" si="7"/>
        <v/>
      </c>
      <c r="V61" s="243" t="str" cm="1">
        <f t="array" ref="V61">IF($AI$12="","", IF(OR($AI$12="NIMO Electric LCI", $AI$12="NIMO Electric SMB"), IFERROR(INDEX('WINDOW INCENTIVES'!$H$3:$H$26, MATCH(1,INDEX(('WINDOW INCENTIVES'!$B$3:$B$26=$AI$12)*('WINDOW INCENTIVES'!$F$3:$F$26=$E$8)*(L61&gt;='WINDOW INCENTIVES'!$D$3:$D$26)*(L61&lt;='WINDOW INCENTIVES'!$E$3:$E$26),0),0)),0),0))</f>
        <v/>
      </c>
      <c r="W61" s="243" t="str" cm="1">
        <f t="array" ref="W61">IF($AI$12="","",IF(OR($AI$12="KEDLI/KEDNY LCI",$AI$12="KEDLI/KEDNY SMB",$AI$12="NIMO GAS LCI",$AI$12="NIMO GAS SMB"),IFERROR(INDEX('WINDOW INCENTIVES'!$H$3:$H$26,MATCH(1,INDEX(('WINDOW INCENTIVES'!$B$3:$B$26=$AI$12)*('WINDOW INCENTIVES'!$F$3:$F$26=$E$8)*(L61&gt;='WINDOW INCENTIVES'!$D$3:$D$26)*(L61&lt;='WINDOW INCENTIVES'!$E$3:$E$26),0),0)),0),0))</f>
        <v/>
      </c>
      <c r="X61" s="243" t="str">
        <f t="shared" si="11"/>
        <v/>
      </c>
      <c r="Y61" s="243" t="str">
        <f t="shared" si="12"/>
        <v/>
      </c>
    </row>
    <row r="62" spans="2:25" x14ac:dyDescent="0.25">
      <c r="B62" s="209">
        <v>38</v>
      </c>
      <c r="C62" s="480"/>
      <c r="D62" s="480"/>
      <c r="E62" s="480"/>
      <c r="F62" s="722"/>
      <c r="G62" s="861"/>
      <c r="H62" s="722"/>
      <c r="I62" s="861"/>
      <c r="J62" s="208">
        <f t="shared" si="3"/>
        <v>0</v>
      </c>
      <c r="K62" s="480"/>
      <c r="L62" s="481"/>
      <c r="M62" s="481"/>
      <c r="N62" s="481"/>
      <c r="O62" s="723"/>
      <c r="P62" s="480"/>
      <c r="Q62" s="210" t="str" cm="1">
        <f t="array" ref="Q62">IF(OR($L62="",$M62="",$N62=""),"",IF(AND($L62&lt;=INDEX('WINDOW CODE'!$C$4:$D$6,MATCH($AG$32,'WINDOW CODE'!$B$4:$B$6,0),IF($K62="Fixed",1,2)),$M62&lt;=INDEX('WINDOW CODE'!$E$4:$E$6,MATCH($AG$32,'WINDOW CODE'!$B$4:$B$6,0)),$N62&gt;=INDEX('WINDOW CODE'!$F$4:$F$6,MATCH($AG$32,'WINDOW CODE'!$B$4:$B$6,0))),"Yes","No"))</f>
        <v/>
      </c>
      <c r="R62" s="256" t="str">
        <f t="shared" si="8"/>
        <v/>
      </c>
      <c r="S62" s="259" t="str">
        <f t="shared" si="9"/>
        <v/>
      </c>
      <c r="T62" s="257" t="str">
        <f t="shared" si="10"/>
        <v/>
      </c>
      <c r="U62" s="256" t="str">
        <f t="shared" si="7"/>
        <v/>
      </c>
      <c r="V62" s="243" t="str" cm="1">
        <f t="array" ref="V62">IF($AI$12="","", IF(OR($AI$12="NIMO Electric LCI", $AI$12="NIMO Electric SMB"), IFERROR(INDEX('WINDOW INCENTIVES'!$H$3:$H$26, MATCH(1,INDEX(('WINDOW INCENTIVES'!$B$3:$B$26=$AI$12)*('WINDOW INCENTIVES'!$F$3:$F$26=$E$8)*(L62&gt;='WINDOW INCENTIVES'!$D$3:$D$26)*(L62&lt;='WINDOW INCENTIVES'!$E$3:$E$26),0),0)),0),0))</f>
        <v/>
      </c>
      <c r="W62" s="243" t="str" cm="1">
        <f t="array" ref="W62">IF($AI$12="","",IF(OR($AI$12="KEDLI/KEDNY LCI",$AI$12="KEDLI/KEDNY SMB",$AI$12="NIMO GAS LCI",$AI$12="NIMO GAS SMB"),IFERROR(INDEX('WINDOW INCENTIVES'!$H$3:$H$26,MATCH(1,INDEX(('WINDOW INCENTIVES'!$B$3:$B$26=$AI$12)*('WINDOW INCENTIVES'!$F$3:$F$26=$E$8)*(L62&gt;='WINDOW INCENTIVES'!$D$3:$D$26)*(L62&lt;='WINDOW INCENTIVES'!$E$3:$E$26),0),0)),0),0))</f>
        <v/>
      </c>
      <c r="X62" s="243" t="str">
        <f t="shared" si="11"/>
        <v/>
      </c>
      <c r="Y62" s="243" t="str">
        <f t="shared" si="12"/>
        <v/>
      </c>
    </row>
    <row r="63" spans="2:25" x14ac:dyDescent="0.25">
      <c r="B63" s="209">
        <v>39</v>
      </c>
      <c r="C63" s="480"/>
      <c r="D63" s="480"/>
      <c r="E63" s="480"/>
      <c r="F63" s="722"/>
      <c r="G63" s="861"/>
      <c r="H63" s="722"/>
      <c r="I63" s="861"/>
      <c r="J63" s="208">
        <f t="shared" si="3"/>
        <v>0</v>
      </c>
      <c r="K63" s="480"/>
      <c r="L63" s="481"/>
      <c r="M63" s="481"/>
      <c r="N63" s="481"/>
      <c r="O63" s="723"/>
      <c r="P63" s="480"/>
      <c r="Q63" s="210" t="str" cm="1">
        <f t="array" ref="Q63">IF(OR($L63="",$M63="",$N63=""),"",IF(AND($L63&lt;=INDEX('WINDOW CODE'!$C$4:$D$6,MATCH($AG$32,'WINDOW CODE'!$B$4:$B$6,0),IF($K63="Fixed",1,2)),$M63&lt;=INDEX('WINDOW CODE'!$E$4:$E$6,MATCH($AG$32,'WINDOW CODE'!$B$4:$B$6,0)),$N63&gt;=INDEX('WINDOW CODE'!$F$4:$F$6,MATCH($AG$32,'WINDOW CODE'!$B$4:$B$6,0))),"Yes","No"))</f>
        <v/>
      </c>
      <c r="R63" s="256" t="str">
        <f t="shared" si="8"/>
        <v/>
      </c>
      <c r="S63" s="259" t="str">
        <f t="shared" si="9"/>
        <v/>
      </c>
      <c r="T63" s="257" t="str">
        <f t="shared" si="10"/>
        <v/>
      </c>
      <c r="U63" s="256" t="str">
        <f t="shared" si="7"/>
        <v/>
      </c>
      <c r="V63" s="243" t="str" cm="1">
        <f t="array" ref="V63">IF($AI$12="","", IF(OR($AI$12="NIMO Electric LCI", $AI$12="NIMO Electric SMB"), IFERROR(INDEX('WINDOW INCENTIVES'!$H$3:$H$26, MATCH(1,INDEX(('WINDOW INCENTIVES'!$B$3:$B$26=$AI$12)*('WINDOW INCENTIVES'!$F$3:$F$26=$E$8)*(L63&gt;='WINDOW INCENTIVES'!$D$3:$D$26)*(L63&lt;='WINDOW INCENTIVES'!$E$3:$E$26),0),0)),0),0))</f>
        <v/>
      </c>
      <c r="W63" s="243" t="str" cm="1">
        <f t="array" ref="W63">IF($AI$12="","",IF(OR($AI$12="KEDLI/KEDNY LCI",$AI$12="KEDLI/KEDNY SMB",$AI$12="NIMO GAS LCI",$AI$12="NIMO GAS SMB"),IFERROR(INDEX('WINDOW INCENTIVES'!$H$3:$H$26,MATCH(1,INDEX(('WINDOW INCENTIVES'!$B$3:$B$26=$AI$12)*('WINDOW INCENTIVES'!$F$3:$F$26=$E$8)*(L63&gt;='WINDOW INCENTIVES'!$D$3:$D$26)*(L63&lt;='WINDOW INCENTIVES'!$E$3:$E$26),0),0)),0),0))</f>
        <v/>
      </c>
      <c r="X63" s="243" t="str">
        <f t="shared" si="11"/>
        <v/>
      </c>
      <c r="Y63" s="243" t="str">
        <f t="shared" si="12"/>
        <v/>
      </c>
    </row>
    <row r="64" spans="2:25" x14ac:dyDescent="0.25">
      <c r="B64" s="209">
        <v>40</v>
      </c>
      <c r="C64" s="480"/>
      <c r="D64" s="480"/>
      <c r="E64" s="480"/>
      <c r="F64" s="722"/>
      <c r="G64" s="861"/>
      <c r="H64" s="722"/>
      <c r="I64" s="861"/>
      <c r="J64" s="208">
        <f t="shared" si="3"/>
        <v>0</v>
      </c>
      <c r="K64" s="480"/>
      <c r="L64" s="481"/>
      <c r="M64" s="481"/>
      <c r="N64" s="481"/>
      <c r="O64" s="723"/>
      <c r="P64" s="480"/>
      <c r="Q64" s="210" t="str" cm="1">
        <f t="array" ref="Q64">IF(OR($L64="",$M64="",$N64=""),"",IF(AND($L64&lt;=INDEX('WINDOW CODE'!$C$4:$D$6,MATCH($AG$32,'WINDOW CODE'!$B$4:$B$6,0),IF($K64="Fixed",1,2)),$M64&lt;=INDEX('WINDOW CODE'!$E$4:$E$6,MATCH($AG$32,'WINDOW CODE'!$B$4:$B$6,0)),$N64&gt;=INDEX('WINDOW CODE'!$F$4:$F$6,MATCH($AG$32,'WINDOW CODE'!$B$4:$B$6,0))),"Yes","No"))</f>
        <v/>
      </c>
      <c r="R64" s="256" t="str">
        <f t="shared" si="8"/>
        <v/>
      </c>
      <c r="S64" s="259" t="str">
        <f t="shared" si="9"/>
        <v/>
      </c>
      <c r="T64" s="257" t="str">
        <f t="shared" si="10"/>
        <v/>
      </c>
      <c r="U64" s="256" t="str">
        <f t="shared" si="7"/>
        <v/>
      </c>
      <c r="V64" s="243" t="str" cm="1">
        <f t="array" ref="V64">IF($AI$12="","", IF(OR($AI$12="NIMO Electric LCI", $AI$12="NIMO Electric SMB"), IFERROR(INDEX('WINDOW INCENTIVES'!$H$3:$H$26, MATCH(1,INDEX(('WINDOW INCENTIVES'!$B$3:$B$26=$AI$12)*('WINDOW INCENTIVES'!$F$3:$F$26=$E$8)*(L64&gt;='WINDOW INCENTIVES'!$D$3:$D$26)*(L64&lt;='WINDOW INCENTIVES'!$E$3:$E$26),0),0)),0),0))</f>
        <v/>
      </c>
      <c r="W64" s="243" t="str" cm="1">
        <f t="array" ref="W64">IF($AI$12="","",IF(OR($AI$12="KEDLI/KEDNY LCI",$AI$12="KEDLI/KEDNY SMB",$AI$12="NIMO GAS LCI",$AI$12="NIMO GAS SMB"),IFERROR(INDEX('WINDOW INCENTIVES'!$H$3:$H$26,MATCH(1,INDEX(('WINDOW INCENTIVES'!$B$3:$B$26=$AI$12)*('WINDOW INCENTIVES'!$F$3:$F$26=$E$8)*(L64&gt;='WINDOW INCENTIVES'!$D$3:$D$26)*(L64&lt;='WINDOW INCENTIVES'!$E$3:$E$26),0),0)),0),0))</f>
        <v/>
      </c>
      <c r="X64" s="243" t="str">
        <f t="shared" si="11"/>
        <v/>
      </c>
      <c r="Y64" s="243" t="str">
        <f t="shared" si="12"/>
        <v/>
      </c>
    </row>
    <row r="65" spans="2:25" x14ac:dyDescent="0.25">
      <c r="B65" s="209">
        <v>41</v>
      </c>
      <c r="C65" s="480"/>
      <c r="D65" s="480"/>
      <c r="E65" s="480"/>
      <c r="F65" s="722"/>
      <c r="G65" s="861"/>
      <c r="H65" s="722"/>
      <c r="I65" s="861"/>
      <c r="J65" s="208">
        <f t="shared" si="3"/>
        <v>0</v>
      </c>
      <c r="K65" s="480"/>
      <c r="L65" s="481"/>
      <c r="M65" s="481"/>
      <c r="N65" s="481"/>
      <c r="O65" s="723"/>
      <c r="P65" s="480"/>
      <c r="Q65" s="210" t="str" cm="1">
        <f t="array" ref="Q65">IF(OR($L65="",$M65="",$N65=""),"",IF(AND($L65&lt;=INDEX('WINDOW CODE'!$C$4:$D$6,MATCH($AG$32,'WINDOW CODE'!$B$4:$B$6,0),IF($K65="Fixed",1,2)),$M65&lt;=INDEX('WINDOW CODE'!$E$4:$E$6,MATCH($AG$32,'WINDOW CODE'!$B$4:$B$6,0)),$N65&gt;=INDEX('WINDOW CODE'!$F$4:$F$6,MATCH($AG$32,'WINDOW CODE'!$B$4:$B$6,0))),"Yes","No"))</f>
        <v/>
      </c>
      <c r="R65" s="256" t="str">
        <f t="shared" si="8"/>
        <v/>
      </c>
      <c r="S65" s="259" t="str">
        <f t="shared" si="9"/>
        <v/>
      </c>
      <c r="T65" s="257" t="str">
        <f t="shared" si="10"/>
        <v/>
      </c>
      <c r="U65" s="256" t="str">
        <f t="shared" si="7"/>
        <v/>
      </c>
      <c r="V65" s="243" t="str" cm="1">
        <f t="array" ref="V65">IF($AI$12="","", IF(OR($AI$12="NIMO Electric LCI", $AI$12="NIMO Electric SMB"), IFERROR(INDEX('WINDOW INCENTIVES'!$H$3:$H$26, MATCH(1,INDEX(('WINDOW INCENTIVES'!$B$3:$B$26=$AI$12)*('WINDOW INCENTIVES'!$F$3:$F$26=$E$8)*(L65&gt;='WINDOW INCENTIVES'!$D$3:$D$26)*(L65&lt;='WINDOW INCENTIVES'!$E$3:$E$26),0),0)),0),0))</f>
        <v/>
      </c>
      <c r="W65" s="243" t="str" cm="1">
        <f t="array" ref="W65">IF($AI$12="","",IF(OR($AI$12="KEDLI/KEDNY LCI",$AI$12="KEDLI/KEDNY SMB",$AI$12="NIMO GAS LCI",$AI$12="NIMO GAS SMB"),IFERROR(INDEX('WINDOW INCENTIVES'!$H$3:$H$26,MATCH(1,INDEX(('WINDOW INCENTIVES'!$B$3:$B$26=$AI$12)*('WINDOW INCENTIVES'!$F$3:$F$26=$E$8)*(L65&gt;='WINDOW INCENTIVES'!$D$3:$D$26)*(L65&lt;='WINDOW INCENTIVES'!$E$3:$E$26),0),0)),0),0))</f>
        <v/>
      </c>
      <c r="X65" s="243" t="str">
        <f t="shared" si="11"/>
        <v/>
      </c>
      <c r="Y65" s="243" t="str">
        <f t="shared" si="12"/>
        <v/>
      </c>
    </row>
    <row r="66" spans="2:25" x14ac:dyDescent="0.25">
      <c r="B66" s="209">
        <v>42</v>
      </c>
      <c r="C66" s="480"/>
      <c r="D66" s="480"/>
      <c r="E66" s="480"/>
      <c r="F66" s="722"/>
      <c r="G66" s="861"/>
      <c r="H66" s="722"/>
      <c r="I66" s="861"/>
      <c r="J66" s="208">
        <f t="shared" si="3"/>
        <v>0</v>
      </c>
      <c r="K66" s="480"/>
      <c r="L66" s="481"/>
      <c r="M66" s="481"/>
      <c r="N66" s="481"/>
      <c r="O66" s="723"/>
      <c r="P66" s="480"/>
      <c r="Q66" s="210" t="str" cm="1">
        <f t="array" ref="Q66">IF(OR($L66="",$M66="",$N66=""),"",IF(AND($L66&lt;=INDEX('WINDOW CODE'!$C$4:$D$6,MATCH($AG$32,'WINDOW CODE'!$B$4:$B$6,0),IF($K66="Fixed",1,2)),$M66&lt;=INDEX('WINDOW CODE'!$E$4:$E$6,MATCH($AG$32,'WINDOW CODE'!$B$4:$B$6,0)),$N66&gt;=INDEX('WINDOW CODE'!$F$4:$F$6,MATCH($AG$32,'WINDOW CODE'!$B$4:$B$6,0))),"Yes","No"))</f>
        <v/>
      </c>
      <c r="R66" s="256" t="str">
        <f t="shared" si="8"/>
        <v/>
      </c>
      <c r="S66" s="259" t="str">
        <f t="shared" si="9"/>
        <v/>
      </c>
      <c r="T66" s="257" t="str">
        <f t="shared" si="10"/>
        <v/>
      </c>
      <c r="U66" s="256" t="str">
        <f t="shared" si="7"/>
        <v/>
      </c>
      <c r="V66" s="243" t="str" cm="1">
        <f t="array" ref="V66">IF($AI$12="","", IF(OR($AI$12="NIMO Electric LCI", $AI$12="NIMO Electric SMB"), IFERROR(INDEX('WINDOW INCENTIVES'!$H$3:$H$26, MATCH(1,INDEX(('WINDOW INCENTIVES'!$B$3:$B$26=$AI$12)*('WINDOW INCENTIVES'!$F$3:$F$26=$E$8)*(L66&gt;='WINDOW INCENTIVES'!$D$3:$D$26)*(L66&lt;='WINDOW INCENTIVES'!$E$3:$E$26),0),0)),0),0))</f>
        <v/>
      </c>
      <c r="W66" s="243" t="str" cm="1">
        <f t="array" ref="W66">IF($AI$12="","",IF(OR($AI$12="KEDLI/KEDNY LCI",$AI$12="KEDLI/KEDNY SMB",$AI$12="NIMO GAS LCI",$AI$12="NIMO GAS SMB"),IFERROR(INDEX('WINDOW INCENTIVES'!$H$3:$H$26,MATCH(1,INDEX(('WINDOW INCENTIVES'!$B$3:$B$26=$AI$12)*('WINDOW INCENTIVES'!$F$3:$F$26=$E$8)*(L66&gt;='WINDOW INCENTIVES'!$D$3:$D$26)*(L66&lt;='WINDOW INCENTIVES'!$E$3:$E$26),0),0)),0),0))</f>
        <v/>
      </c>
      <c r="X66" s="243" t="str">
        <f t="shared" si="11"/>
        <v/>
      </c>
      <c r="Y66" s="243" t="str">
        <f t="shared" si="12"/>
        <v/>
      </c>
    </row>
    <row r="67" spans="2:25" x14ac:dyDescent="0.25">
      <c r="B67" s="209">
        <v>43</v>
      </c>
      <c r="C67" s="480"/>
      <c r="D67" s="480"/>
      <c r="E67" s="480"/>
      <c r="F67" s="722"/>
      <c r="G67" s="861"/>
      <c r="H67" s="722"/>
      <c r="I67" s="861"/>
      <c r="J67" s="208">
        <f t="shared" si="3"/>
        <v>0</v>
      </c>
      <c r="K67" s="480"/>
      <c r="L67" s="481"/>
      <c r="M67" s="481"/>
      <c r="N67" s="481"/>
      <c r="O67" s="723"/>
      <c r="P67" s="480"/>
      <c r="Q67" s="210" t="str" cm="1">
        <f t="array" ref="Q67">IF(OR($L67="",$M67="",$N67=""),"",IF(AND($L67&lt;=INDEX('WINDOW CODE'!$C$4:$D$6,MATCH($AG$32,'WINDOW CODE'!$B$4:$B$6,0),IF($K67="Fixed",1,2)),$M67&lt;=INDEX('WINDOW CODE'!$E$4:$E$6,MATCH($AG$32,'WINDOW CODE'!$B$4:$B$6,0)),$N67&gt;=INDEX('WINDOW CODE'!$F$4:$F$6,MATCH($AG$32,'WINDOW CODE'!$B$4:$B$6,0))),"Yes","No"))</f>
        <v/>
      </c>
      <c r="R67" s="256" t="str">
        <f t="shared" si="8"/>
        <v/>
      </c>
      <c r="S67" s="259" t="str">
        <f t="shared" si="9"/>
        <v/>
      </c>
      <c r="T67" s="257" t="str">
        <f t="shared" si="10"/>
        <v/>
      </c>
      <c r="U67" s="256" t="str">
        <f t="shared" si="7"/>
        <v/>
      </c>
      <c r="V67" s="243" t="str" cm="1">
        <f t="array" ref="V67">IF($AI$12="","", IF(OR($AI$12="NIMO Electric LCI", $AI$12="NIMO Electric SMB"), IFERROR(INDEX('WINDOW INCENTIVES'!$H$3:$H$26, MATCH(1,INDEX(('WINDOW INCENTIVES'!$B$3:$B$26=$AI$12)*('WINDOW INCENTIVES'!$F$3:$F$26=$E$8)*(L67&gt;='WINDOW INCENTIVES'!$D$3:$D$26)*(L67&lt;='WINDOW INCENTIVES'!$E$3:$E$26),0),0)),0),0))</f>
        <v/>
      </c>
      <c r="W67" s="243" t="str" cm="1">
        <f t="array" ref="W67">IF($AI$12="","",IF(OR($AI$12="KEDLI/KEDNY LCI",$AI$12="KEDLI/KEDNY SMB",$AI$12="NIMO GAS LCI",$AI$12="NIMO GAS SMB"),IFERROR(INDEX('WINDOW INCENTIVES'!$H$3:$H$26,MATCH(1,INDEX(('WINDOW INCENTIVES'!$B$3:$B$26=$AI$12)*('WINDOW INCENTIVES'!$F$3:$F$26=$E$8)*(L67&gt;='WINDOW INCENTIVES'!$D$3:$D$26)*(L67&lt;='WINDOW INCENTIVES'!$E$3:$E$26),0),0)),0),0))</f>
        <v/>
      </c>
      <c r="X67" s="243" t="str">
        <f t="shared" si="11"/>
        <v/>
      </c>
      <c r="Y67" s="243" t="str">
        <f t="shared" si="12"/>
        <v/>
      </c>
    </row>
    <row r="68" spans="2:25" x14ac:dyDescent="0.25">
      <c r="B68" s="209">
        <v>44</v>
      </c>
      <c r="C68" s="480"/>
      <c r="D68" s="480"/>
      <c r="E68" s="480"/>
      <c r="F68" s="722"/>
      <c r="G68" s="861"/>
      <c r="H68" s="722"/>
      <c r="I68" s="861"/>
      <c r="J68" s="208">
        <f t="shared" si="3"/>
        <v>0</v>
      </c>
      <c r="K68" s="480"/>
      <c r="L68" s="481"/>
      <c r="M68" s="481"/>
      <c r="N68" s="481"/>
      <c r="O68" s="723"/>
      <c r="P68" s="480"/>
      <c r="Q68" s="210" t="str" cm="1">
        <f t="array" ref="Q68">IF(OR($L68="",$M68="",$N68=""),"",IF(AND($L68&lt;=INDEX('WINDOW CODE'!$C$4:$D$6,MATCH($AG$32,'WINDOW CODE'!$B$4:$B$6,0),IF($K68="Fixed",1,2)),$M68&lt;=INDEX('WINDOW CODE'!$E$4:$E$6,MATCH($AG$32,'WINDOW CODE'!$B$4:$B$6,0)),$N68&gt;=INDEX('WINDOW CODE'!$F$4:$F$6,MATCH($AG$32,'WINDOW CODE'!$B$4:$B$6,0))),"Yes","No"))</f>
        <v/>
      </c>
      <c r="R68" s="256" t="str">
        <f t="shared" si="8"/>
        <v/>
      </c>
      <c r="S68" s="259" t="str">
        <f t="shared" si="9"/>
        <v/>
      </c>
      <c r="T68" s="257" t="str">
        <f t="shared" si="10"/>
        <v/>
      </c>
      <c r="U68" s="256" t="str">
        <f t="shared" si="7"/>
        <v/>
      </c>
      <c r="V68" s="243" t="str" cm="1">
        <f t="array" ref="V68">IF($AI$12="","", IF(OR($AI$12="NIMO Electric LCI", $AI$12="NIMO Electric SMB"), IFERROR(INDEX('WINDOW INCENTIVES'!$H$3:$H$26, MATCH(1,INDEX(('WINDOW INCENTIVES'!$B$3:$B$26=$AI$12)*('WINDOW INCENTIVES'!$F$3:$F$26=$E$8)*(L68&gt;='WINDOW INCENTIVES'!$D$3:$D$26)*(L68&lt;='WINDOW INCENTIVES'!$E$3:$E$26),0),0)),0),0))</f>
        <v/>
      </c>
      <c r="W68" s="243" t="str" cm="1">
        <f t="array" ref="W68">IF($AI$12="","",IF(OR($AI$12="KEDLI/KEDNY LCI",$AI$12="KEDLI/KEDNY SMB",$AI$12="NIMO GAS LCI",$AI$12="NIMO GAS SMB"),IFERROR(INDEX('WINDOW INCENTIVES'!$H$3:$H$26,MATCH(1,INDEX(('WINDOW INCENTIVES'!$B$3:$B$26=$AI$12)*('WINDOW INCENTIVES'!$F$3:$F$26=$E$8)*(L68&gt;='WINDOW INCENTIVES'!$D$3:$D$26)*(L68&lt;='WINDOW INCENTIVES'!$E$3:$E$26),0),0)),0),0))</f>
        <v/>
      </c>
      <c r="X68" s="243" t="str">
        <f t="shared" si="11"/>
        <v/>
      </c>
      <c r="Y68" s="243" t="str">
        <f t="shared" si="12"/>
        <v/>
      </c>
    </row>
    <row r="69" spans="2:25" x14ac:dyDescent="0.25">
      <c r="B69" s="209">
        <v>45</v>
      </c>
      <c r="C69" s="480"/>
      <c r="D69" s="480"/>
      <c r="E69" s="480"/>
      <c r="F69" s="722"/>
      <c r="G69" s="861"/>
      <c r="H69" s="722"/>
      <c r="I69" s="861"/>
      <c r="J69" s="208">
        <f t="shared" si="3"/>
        <v>0</v>
      </c>
      <c r="K69" s="480"/>
      <c r="L69" s="481"/>
      <c r="M69" s="481"/>
      <c r="N69" s="481"/>
      <c r="O69" s="723"/>
      <c r="P69" s="480"/>
      <c r="Q69" s="210" t="str" cm="1">
        <f t="array" ref="Q69">IF(OR($L69="",$M69="",$N69=""),"",IF(AND($L69&lt;=INDEX('WINDOW CODE'!$C$4:$D$6,MATCH($AG$32,'WINDOW CODE'!$B$4:$B$6,0),IF($K69="Fixed",1,2)),$M69&lt;=INDEX('WINDOW CODE'!$E$4:$E$6,MATCH($AG$32,'WINDOW CODE'!$B$4:$B$6,0)),$N69&gt;=INDEX('WINDOW CODE'!$F$4:$F$6,MATCH($AG$32,'WINDOW CODE'!$B$4:$B$6,0))),"Yes","No"))</f>
        <v/>
      </c>
      <c r="R69" s="256" t="str">
        <f t="shared" si="8"/>
        <v/>
      </c>
      <c r="S69" s="259" t="str">
        <f t="shared" si="9"/>
        <v/>
      </c>
      <c r="T69" s="257" t="str">
        <f t="shared" si="10"/>
        <v/>
      </c>
      <c r="U69" s="256" t="str">
        <f t="shared" si="7"/>
        <v/>
      </c>
      <c r="V69" s="243" t="str" cm="1">
        <f t="array" ref="V69">IF($AI$12="","", IF(OR($AI$12="NIMO Electric LCI", $AI$12="NIMO Electric SMB"), IFERROR(INDEX('WINDOW INCENTIVES'!$H$3:$H$26, MATCH(1,INDEX(('WINDOW INCENTIVES'!$B$3:$B$26=$AI$12)*('WINDOW INCENTIVES'!$F$3:$F$26=$E$8)*(L69&gt;='WINDOW INCENTIVES'!$D$3:$D$26)*(L69&lt;='WINDOW INCENTIVES'!$E$3:$E$26),0),0)),0),0))</f>
        <v/>
      </c>
      <c r="W69" s="243" t="str" cm="1">
        <f t="array" ref="W69">IF($AI$12="","",IF(OR($AI$12="KEDLI/KEDNY LCI",$AI$12="KEDLI/KEDNY SMB",$AI$12="NIMO GAS LCI",$AI$12="NIMO GAS SMB"),IFERROR(INDEX('WINDOW INCENTIVES'!$H$3:$H$26,MATCH(1,INDEX(('WINDOW INCENTIVES'!$B$3:$B$26=$AI$12)*('WINDOW INCENTIVES'!$F$3:$F$26=$E$8)*(L69&gt;='WINDOW INCENTIVES'!$D$3:$D$26)*(L69&lt;='WINDOW INCENTIVES'!$E$3:$E$26),0),0)),0),0))</f>
        <v/>
      </c>
      <c r="X69" s="243" t="str">
        <f t="shared" si="11"/>
        <v/>
      </c>
      <c r="Y69" s="243" t="str">
        <f t="shared" si="12"/>
        <v/>
      </c>
    </row>
    <row r="70" spans="2:25" x14ac:dyDescent="0.25">
      <c r="B70" s="209">
        <v>46</v>
      </c>
      <c r="C70" s="480"/>
      <c r="D70" s="480"/>
      <c r="E70" s="480"/>
      <c r="F70" s="722"/>
      <c r="G70" s="861"/>
      <c r="H70" s="722"/>
      <c r="I70" s="861"/>
      <c r="J70" s="208">
        <f t="shared" si="3"/>
        <v>0</v>
      </c>
      <c r="K70" s="480"/>
      <c r="L70" s="481"/>
      <c r="M70" s="481"/>
      <c r="N70" s="481"/>
      <c r="O70" s="723"/>
      <c r="P70" s="480"/>
      <c r="Q70" s="210" t="str" cm="1">
        <f t="array" ref="Q70">IF(OR($L70="",$M70="",$N70=""),"",IF(AND($L70&lt;=INDEX('WINDOW CODE'!$C$4:$D$6,MATCH($AG$32,'WINDOW CODE'!$B$4:$B$6,0),IF($K70="Fixed",1,2)),$M70&lt;=INDEX('WINDOW CODE'!$E$4:$E$6,MATCH($AG$32,'WINDOW CODE'!$B$4:$B$6,0)),$N70&gt;=INDEX('WINDOW CODE'!$F$4:$F$6,MATCH($AG$32,'WINDOW CODE'!$B$4:$B$6,0))),"Yes","No"))</f>
        <v/>
      </c>
      <c r="R70" s="256" t="str">
        <f t="shared" si="8"/>
        <v/>
      </c>
      <c r="S70" s="259" t="str">
        <f t="shared" si="9"/>
        <v/>
      </c>
      <c r="T70" s="257" t="str">
        <f t="shared" si="10"/>
        <v/>
      </c>
      <c r="U70" s="256" t="str">
        <f t="shared" si="7"/>
        <v/>
      </c>
      <c r="V70" s="243" t="str" cm="1">
        <f t="array" ref="V70">IF($AI$12="","", IF(OR($AI$12="NIMO Electric LCI", $AI$12="NIMO Electric SMB"), IFERROR(INDEX('WINDOW INCENTIVES'!$H$3:$H$26, MATCH(1,INDEX(('WINDOW INCENTIVES'!$B$3:$B$26=$AI$12)*('WINDOW INCENTIVES'!$F$3:$F$26=$E$8)*(L70&gt;='WINDOW INCENTIVES'!$D$3:$D$26)*(L70&lt;='WINDOW INCENTIVES'!$E$3:$E$26),0),0)),0),0))</f>
        <v/>
      </c>
      <c r="W70" s="243" t="str" cm="1">
        <f t="array" ref="W70">IF($AI$12="","",IF(OR($AI$12="KEDLI/KEDNY LCI",$AI$12="KEDLI/KEDNY SMB",$AI$12="NIMO GAS LCI",$AI$12="NIMO GAS SMB"),IFERROR(INDEX('WINDOW INCENTIVES'!$H$3:$H$26,MATCH(1,INDEX(('WINDOW INCENTIVES'!$B$3:$B$26=$AI$12)*('WINDOW INCENTIVES'!$F$3:$F$26=$E$8)*(L70&gt;='WINDOW INCENTIVES'!$D$3:$D$26)*(L70&lt;='WINDOW INCENTIVES'!$E$3:$E$26),0),0)),0),0))</f>
        <v/>
      </c>
      <c r="X70" s="243" t="str">
        <f t="shared" si="11"/>
        <v/>
      </c>
      <c r="Y70" s="243" t="str">
        <f t="shared" si="12"/>
        <v/>
      </c>
    </row>
    <row r="71" spans="2:25" x14ac:dyDescent="0.25">
      <c r="B71" s="209">
        <v>47</v>
      </c>
      <c r="C71" s="480"/>
      <c r="D71" s="480"/>
      <c r="E71" s="480"/>
      <c r="F71" s="722"/>
      <c r="G71" s="861"/>
      <c r="H71" s="722"/>
      <c r="I71" s="861"/>
      <c r="J71" s="208">
        <f t="shared" si="3"/>
        <v>0</v>
      </c>
      <c r="K71" s="480"/>
      <c r="L71" s="481"/>
      <c r="M71" s="481"/>
      <c r="N71" s="481"/>
      <c r="O71" s="723"/>
      <c r="P71" s="480"/>
      <c r="Q71" s="210" t="str" cm="1">
        <f t="array" ref="Q71">IF(OR($L71="",$M71="",$N71=""),"",IF(AND($L71&lt;=INDEX('WINDOW CODE'!$C$4:$D$6,MATCH($AG$32,'WINDOW CODE'!$B$4:$B$6,0),IF($K71="Fixed",1,2)),$M71&lt;=INDEX('WINDOW CODE'!$E$4:$E$6,MATCH($AG$32,'WINDOW CODE'!$B$4:$B$6,0)),$N71&gt;=INDEX('WINDOW CODE'!$F$4:$F$6,MATCH($AG$32,'WINDOW CODE'!$B$4:$B$6,0))),"Yes","No"))</f>
        <v/>
      </c>
      <c r="R71" s="256" t="str">
        <f t="shared" si="8"/>
        <v/>
      </c>
      <c r="S71" s="259" t="str">
        <f t="shared" si="9"/>
        <v/>
      </c>
      <c r="T71" s="257" t="str">
        <f t="shared" si="10"/>
        <v/>
      </c>
      <c r="U71" s="256" t="str">
        <f t="shared" si="7"/>
        <v/>
      </c>
      <c r="V71" s="243" t="str" cm="1">
        <f t="array" ref="V71">IF($AI$12="","", IF(OR($AI$12="NIMO Electric LCI", $AI$12="NIMO Electric SMB"), IFERROR(INDEX('WINDOW INCENTIVES'!$H$3:$H$26, MATCH(1,INDEX(('WINDOW INCENTIVES'!$B$3:$B$26=$AI$12)*('WINDOW INCENTIVES'!$F$3:$F$26=$E$8)*(L71&gt;='WINDOW INCENTIVES'!$D$3:$D$26)*(L71&lt;='WINDOW INCENTIVES'!$E$3:$E$26),0),0)),0),0))</f>
        <v/>
      </c>
      <c r="W71" s="243" t="str" cm="1">
        <f t="array" ref="W71">IF($AI$12="","",IF(OR($AI$12="KEDLI/KEDNY LCI",$AI$12="KEDLI/KEDNY SMB",$AI$12="NIMO GAS LCI",$AI$12="NIMO GAS SMB"),IFERROR(INDEX('WINDOW INCENTIVES'!$H$3:$H$26,MATCH(1,INDEX(('WINDOW INCENTIVES'!$B$3:$B$26=$AI$12)*('WINDOW INCENTIVES'!$F$3:$F$26=$E$8)*(L71&gt;='WINDOW INCENTIVES'!$D$3:$D$26)*(L71&lt;='WINDOW INCENTIVES'!$E$3:$E$26),0),0)),0),0))</f>
        <v/>
      </c>
      <c r="X71" s="243" t="str">
        <f t="shared" si="11"/>
        <v/>
      </c>
      <c r="Y71" s="243" t="str">
        <f t="shared" si="12"/>
        <v/>
      </c>
    </row>
    <row r="72" spans="2:25" x14ac:dyDescent="0.25">
      <c r="B72" s="209">
        <v>48</v>
      </c>
      <c r="C72" s="480"/>
      <c r="D72" s="480"/>
      <c r="E72" s="480"/>
      <c r="F72" s="722"/>
      <c r="G72" s="861"/>
      <c r="H72" s="722"/>
      <c r="I72" s="861"/>
      <c r="J72" s="208">
        <f t="shared" si="3"/>
        <v>0</v>
      </c>
      <c r="K72" s="480"/>
      <c r="L72" s="481"/>
      <c r="M72" s="481"/>
      <c r="N72" s="481"/>
      <c r="O72" s="723"/>
      <c r="P72" s="480"/>
      <c r="Q72" s="210" t="str" cm="1">
        <f t="array" ref="Q72">IF(OR($L72="",$M72="",$N72=""),"",IF(AND($L72&lt;=INDEX('WINDOW CODE'!$C$4:$D$6,MATCH($AG$32,'WINDOW CODE'!$B$4:$B$6,0),IF($K72="Fixed",1,2)),$M72&lt;=INDEX('WINDOW CODE'!$E$4:$E$6,MATCH($AG$32,'WINDOW CODE'!$B$4:$B$6,0)),$N72&gt;=INDEX('WINDOW CODE'!$F$4:$F$6,MATCH($AG$32,'WINDOW CODE'!$B$4:$B$6,0))),"Yes","No"))</f>
        <v/>
      </c>
      <c r="R72" s="256" t="str">
        <f t="shared" si="8"/>
        <v/>
      </c>
      <c r="S72" s="259" t="str">
        <f t="shared" si="9"/>
        <v/>
      </c>
      <c r="T72" s="257" t="str">
        <f t="shared" si="10"/>
        <v/>
      </c>
      <c r="U72" s="256" t="str">
        <f t="shared" si="7"/>
        <v/>
      </c>
      <c r="V72" s="243" t="str" cm="1">
        <f t="array" ref="V72">IF($AI$12="","", IF(OR($AI$12="NIMO Electric LCI", $AI$12="NIMO Electric SMB"), IFERROR(INDEX('WINDOW INCENTIVES'!$H$3:$H$26, MATCH(1,INDEX(('WINDOW INCENTIVES'!$B$3:$B$26=$AI$12)*('WINDOW INCENTIVES'!$F$3:$F$26=$E$8)*(L72&gt;='WINDOW INCENTIVES'!$D$3:$D$26)*(L72&lt;='WINDOW INCENTIVES'!$E$3:$E$26),0),0)),0),0))</f>
        <v/>
      </c>
      <c r="W72" s="243" t="str" cm="1">
        <f t="array" ref="W72">IF($AI$12="","",IF(OR($AI$12="KEDLI/KEDNY LCI",$AI$12="KEDLI/KEDNY SMB",$AI$12="NIMO GAS LCI",$AI$12="NIMO GAS SMB"),IFERROR(INDEX('WINDOW INCENTIVES'!$H$3:$H$26,MATCH(1,INDEX(('WINDOW INCENTIVES'!$B$3:$B$26=$AI$12)*('WINDOW INCENTIVES'!$F$3:$F$26=$E$8)*(L72&gt;='WINDOW INCENTIVES'!$D$3:$D$26)*(L72&lt;='WINDOW INCENTIVES'!$E$3:$E$26),0),0)),0),0))</f>
        <v/>
      </c>
      <c r="X72" s="243" t="str">
        <f t="shared" si="11"/>
        <v/>
      </c>
      <c r="Y72" s="243" t="str">
        <f t="shared" si="12"/>
        <v/>
      </c>
    </row>
    <row r="73" spans="2:25" x14ac:dyDescent="0.25">
      <c r="B73" s="209">
        <v>49</v>
      </c>
      <c r="C73" s="480"/>
      <c r="D73" s="480"/>
      <c r="E73" s="480"/>
      <c r="F73" s="722"/>
      <c r="G73" s="861"/>
      <c r="H73" s="722"/>
      <c r="I73" s="861"/>
      <c r="J73" s="208">
        <f t="shared" si="3"/>
        <v>0</v>
      </c>
      <c r="K73" s="480"/>
      <c r="L73" s="481"/>
      <c r="M73" s="481"/>
      <c r="N73" s="481"/>
      <c r="O73" s="723"/>
      <c r="P73" s="480"/>
      <c r="Q73" s="210" t="str" cm="1">
        <f t="array" ref="Q73">IF(OR($L73="",$M73="",$N73=""),"",IF(AND($L73&lt;=INDEX('WINDOW CODE'!$C$4:$D$6,MATCH($AG$32,'WINDOW CODE'!$B$4:$B$6,0),IF($K73="Fixed",1,2)),$M73&lt;=INDEX('WINDOW CODE'!$E$4:$E$6,MATCH($AG$32,'WINDOW CODE'!$B$4:$B$6,0)),$N73&gt;=INDEX('WINDOW CODE'!$F$4:$F$6,MATCH($AG$32,'WINDOW CODE'!$B$4:$B$6,0))),"Yes","No"))</f>
        <v/>
      </c>
      <c r="R73" s="256" t="str">
        <f t="shared" si="8"/>
        <v/>
      </c>
      <c r="S73" s="259" t="str">
        <f t="shared" si="9"/>
        <v/>
      </c>
      <c r="T73" s="257" t="str">
        <f t="shared" si="10"/>
        <v/>
      </c>
      <c r="U73" s="256" t="str">
        <f t="shared" si="7"/>
        <v/>
      </c>
      <c r="V73" s="243" t="str" cm="1">
        <f t="array" ref="V73">IF($AI$12="","", IF(OR($AI$12="NIMO Electric LCI", $AI$12="NIMO Electric SMB"), IFERROR(INDEX('WINDOW INCENTIVES'!$H$3:$H$26, MATCH(1,INDEX(('WINDOW INCENTIVES'!$B$3:$B$26=$AI$12)*('WINDOW INCENTIVES'!$F$3:$F$26=$E$8)*(L73&gt;='WINDOW INCENTIVES'!$D$3:$D$26)*(L73&lt;='WINDOW INCENTIVES'!$E$3:$E$26),0),0)),0),0))</f>
        <v/>
      </c>
      <c r="W73" s="243" t="str" cm="1">
        <f t="array" ref="W73">IF($AI$12="","",IF(OR($AI$12="KEDLI/KEDNY LCI",$AI$12="KEDLI/KEDNY SMB",$AI$12="NIMO GAS LCI",$AI$12="NIMO GAS SMB"),IFERROR(INDEX('WINDOW INCENTIVES'!$H$3:$H$26,MATCH(1,INDEX(('WINDOW INCENTIVES'!$B$3:$B$26=$AI$12)*('WINDOW INCENTIVES'!$F$3:$F$26=$E$8)*(L73&gt;='WINDOW INCENTIVES'!$D$3:$D$26)*(L73&lt;='WINDOW INCENTIVES'!$E$3:$E$26),0),0)),0),0))</f>
        <v/>
      </c>
      <c r="X73" s="243" t="str">
        <f t="shared" si="11"/>
        <v/>
      </c>
      <c r="Y73" s="243" t="str">
        <f t="shared" si="12"/>
        <v/>
      </c>
    </row>
    <row r="74" spans="2:25" x14ac:dyDescent="0.25">
      <c r="B74" s="209">
        <v>50</v>
      </c>
      <c r="C74" s="480"/>
      <c r="D74" s="480"/>
      <c r="E74" s="480"/>
      <c r="F74" s="722"/>
      <c r="G74" s="861"/>
      <c r="H74" s="722"/>
      <c r="I74" s="861"/>
      <c r="J74" s="208">
        <f t="shared" si="3"/>
        <v>0</v>
      </c>
      <c r="K74" s="480"/>
      <c r="L74" s="481"/>
      <c r="M74" s="481"/>
      <c r="N74" s="481"/>
      <c r="O74" s="723"/>
      <c r="P74" s="480"/>
      <c r="Q74" s="210" t="str" cm="1">
        <f t="array" ref="Q74">IF(OR($L74="",$M74="",$N74=""),"",IF(AND($L74&lt;=INDEX('WINDOW CODE'!$C$4:$D$6,MATCH($AG$32,'WINDOW CODE'!$B$4:$B$6,0),IF($K74="Fixed",1,2)),$M74&lt;=INDEX('WINDOW CODE'!$E$4:$E$6,MATCH($AG$32,'WINDOW CODE'!$B$4:$B$6,0)),$N74&gt;=INDEX('WINDOW CODE'!$F$4:$F$6,MATCH($AG$32,'WINDOW CODE'!$B$4:$B$6,0))),"Yes","No"))</f>
        <v/>
      </c>
      <c r="R74" s="256" t="str">
        <f t="shared" si="8"/>
        <v/>
      </c>
      <c r="S74" s="259" t="str">
        <f t="shared" si="9"/>
        <v/>
      </c>
      <c r="T74" s="257" t="str">
        <f t="shared" si="10"/>
        <v/>
      </c>
      <c r="U74" s="256" t="str">
        <f t="shared" si="7"/>
        <v/>
      </c>
      <c r="V74" s="243" t="str" cm="1">
        <f t="array" ref="V74">IF($AI$12="","", IF(OR($AI$12="NIMO Electric LCI", $AI$12="NIMO Electric SMB"), IFERROR(INDEX('WINDOW INCENTIVES'!$H$3:$H$26, MATCH(1,INDEX(('WINDOW INCENTIVES'!$B$3:$B$26=$AI$12)*('WINDOW INCENTIVES'!$F$3:$F$26=$E$8)*(L74&gt;='WINDOW INCENTIVES'!$D$3:$D$26)*(L74&lt;='WINDOW INCENTIVES'!$E$3:$E$26),0),0)),0),0))</f>
        <v/>
      </c>
      <c r="W74" s="243" t="str" cm="1">
        <f t="array" ref="W74">IF($AI$12="","",IF(OR($AI$12="KEDLI/KEDNY LCI",$AI$12="KEDLI/KEDNY SMB",$AI$12="NIMO GAS LCI",$AI$12="NIMO GAS SMB"),IFERROR(INDEX('WINDOW INCENTIVES'!$H$3:$H$26,MATCH(1,INDEX(('WINDOW INCENTIVES'!$B$3:$B$26=$AI$12)*('WINDOW INCENTIVES'!$F$3:$F$26=$E$8)*(L74&gt;='WINDOW INCENTIVES'!$D$3:$D$26)*(L74&lt;='WINDOW INCENTIVES'!$E$3:$E$26),0),0)),0),0))</f>
        <v/>
      </c>
      <c r="X74" s="243" t="str">
        <f t="shared" si="11"/>
        <v/>
      </c>
      <c r="Y74" s="243" t="str">
        <f t="shared" si="12"/>
        <v/>
      </c>
    </row>
    <row r="75" spans="2:25" x14ac:dyDescent="0.25">
      <c r="J75" s="246">
        <f>SUM(J25:J74)</f>
        <v>0</v>
      </c>
      <c r="R75" s="246">
        <f>SUM(R25:R74)</f>
        <v>0</v>
      </c>
      <c r="S75" s="267">
        <f>SUM(S25:S74)</f>
        <v>0</v>
      </c>
      <c r="T75" s="258">
        <f>SUM(T25:T74)</f>
        <v>0</v>
      </c>
      <c r="U75" s="246">
        <f>SUM(U25:U74)</f>
        <v>0</v>
      </c>
      <c r="X75" s="244">
        <f t="shared" ref="X75:Y75" si="13">SUM(X25:X74)</f>
        <v>0</v>
      </c>
      <c r="Y75" s="244">
        <f t="shared" si="13"/>
        <v>0</v>
      </c>
    </row>
    <row r="127" spans="2:2" x14ac:dyDescent="0.25">
      <c r="B127" s="266"/>
    </row>
  </sheetData>
  <sheetProtection algorithmName="SHA-512" hashValue="h6+yfyzrdtGSHohEieRgZzikvKd0/s9HGuOJy700RiJCM5k9H0yt03Y+vg1JNYVunbKLZPH9v4w9nXJt+c+5PQ==" saltValue="mph9b1dHK/onIg0feHPj1A==" spinCount="100000" sheet="1" objects="1" scenarios="1"/>
  <mergeCells count="28">
    <mergeCell ref="R3:S3"/>
    <mergeCell ref="AI2:AM2"/>
    <mergeCell ref="V22:W22"/>
    <mergeCell ref="V23:Y23"/>
    <mergeCell ref="B15:D15"/>
    <mergeCell ref="B17:D17"/>
    <mergeCell ref="B18:D18"/>
    <mergeCell ref="B14:D14"/>
    <mergeCell ref="B2:D2"/>
    <mergeCell ref="B3:D3"/>
    <mergeCell ref="B4:D4"/>
    <mergeCell ref="B5:D5"/>
    <mergeCell ref="B7:D7"/>
    <mergeCell ref="B8:D8"/>
    <mergeCell ref="B9:D9"/>
    <mergeCell ref="B11:D11"/>
    <mergeCell ref="F24:G24"/>
    <mergeCell ref="Q23:U23"/>
    <mergeCell ref="K23:O23"/>
    <mergeCell ref="H24:I24"/>
    <mergeCell ref="B19:D19"/>
    <mergeCell ref="B21:D21"/>
    <mergeCell ref="K3:O3"/>
    <mergeCell ref="B12:D12"/>
    <mergeCell ref="B10:D10"/>
    <mergeCell ref="B13:D13"/>
    <mergeCell ref="B6:D6"/>
    <mergeCell ref="K4:O18"/>
  </mergeCells>
  <phoneticPr fontId="46" type="noConversion"/>
  <conditionalFormatting sqref="B13:F13">
    <cfRule type="expression" dxfId="110" priority="5">
      <formula>$E$10="Electric Heat Only"</formula>
    </cfRule>
    <cfRule type="expression" dxfId="109" priority="6">
      <formula>$E$10="Air Source Heat Pump"</formula>
    </cfRule>
    <cfRule type="expression" dxfId="108" priority="7">
      <formula>$E$10="AC With Electric Heat"</formula>
    </cfRule>
  </conditionalFormatting>
  <conditionalFormatting sqref="B14:G15">
    <cfRule type="expression" dxfId="107" priority="3">
      <formula>$E$10="Electric Heat Only"</formula>
    </cfRule>
  </conditionalFormatting>
  <conditionalFormatting sqref="F9">
    <cfRule type="expression" dxfId="106" priority="13">
      <formula>$F$9="PLEASE CHECK YOUR SYSTEM SELECTION!"</formula>
    </cfRule>
  </conditionalFormatting>
  <conditionalFormatting sqref="F21">
    <cfRule type="expression" dxfId="105" priority="187">
      <formula>$E$9&lt;&gt;""</formula>
    </cfRule>
  </conditionalFormatting>
  <conditionalFormatting sqref="F21:J21">
    <cfRule type="expression" dxfId="104" priority="2">
      <formula>$F$21&lt;&gt;""</formula>
    </cfRule>
  </conditionalFormatting>
  <conditionalFormatting sqref="K20:O21">
    <cfRule type="expression" dxfId="103" priority="1">
      <formula>$K$20&lt;&gt;""</formula>
    </cfRule>
  </conditionalFormatting>
  <conditionalFormatting sqref="P24:P74">
    <cfRule type="expression" dxfId="102" priority="9">
      <formula>COUNTIF($O$25:$O$52,"NFRC#")=0</formula>
    </cfRule>
  </conditionalFormatting>
  <conditionalFormatting sqref="Q25:W74 X25:Y75">
    <cfRule type="expression" dxfId="101" priority="16">
      <formula>$Q25="No"</formula>
    </cfRule>
  </conditionalFormatting>
  <dataValidations count="5">
    <dataValidation type="list" allowBlank="1" showInputMessage="1" showErrorMessage="1" sqref="E10" xr:uid="{28F5BFD0-CAB4-4811-9A5B-BC201F14A894}">
      <formula1>$AG$3:$AG$7</formula1>
    </dataValidation>
    <dataValidation type="list" allowBlank="1" showInputMessage="1" showErrorMessage="1" sqref="E6" xr:uid="{BBDB0894-194D-4E36-A226-8BE3585F6588}">
      <formula1>$AE$3:$AE$4</formula1>
    </dataValidation>
    <dataValidation type="list" allowBlank="1" showInputMessage="1" showErrorMessage="1" sqref="G25:G74 I25:I74" xr:uid="{AC69BF88-CF36-4C32-8132-2AD298625E57}">
      <formula1>$AG$18:$AG$19</formula1>
    </dataValidation>
    <dataValidation type="list" allowBlank="1" showInputMessage="1" showErrorMessage="1" sqref="K25:K74" xr:uid="{8EEC498E-6102-4BD8-9335-121FAC68F327}">
      <formula1>$AG$22:$AG$23</formula1>
    </dataValidation>
    <dataValidation type="list" allowBlank="1" showInputMessage="1" showErrorMessage="1" sqref="O25:O74" xr:uid="{0273A613-741F-4DEE-8ED8-341C3F6FAA6A}">
      <formula1>$AG$35:$AG$36</formula1>
    </dataValidation>
  </dataValidations>
  <pageMargins left="0.7" right="0.7" top="0.75" bottom="0.75" header="0.3" footer="0.3"/>
  <pageSetup scale="38" orientation="landscape" r:id="rId1"/>
  <headerFooter>
    <oddFooter>&amp;RWINDOWS</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7F0A00B-671D-4D38-BFFA-A7740FA9EE54}">
          <x14:formula1>
            <xm:f>'TRM V13 Appendix F'!$O$4:$O$15</xm:f>
          </x14:formula1>
          <xm:sqref>E4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F40AD-0232-4086-BEBA-D1CB52462CA5}">
  <sheetPr>
    <tabColor theme="9" tint="0.39997558519241921"/>
    <pageSetUpPr fitToPage="1"/>
  </sheetPr>
  <dimension ref="B1:X71"/>
  <sheetViews>
    <sheetView zoomScaleNormal="100" workbookViewId="0">
      <selection activeCell="C6" sqref="C6"/>
    </sheetView>
  </sheetViews>
  <sheetFormatPr defaultColWidth="9.140625" defaultRowHeight="15" x14ac:dyDescent="0.25"/>
  <cols>
    <col min="1" max="1" width="4.7109375" style="1" customWidth="1"/>
    <col min="2" max="2" width="44.5703125" style="1" customWidth="1"/>
    <col min="3" max="3" width="65.140625" style="1" bestFit="1" customWidth="1"/>
    <col min="4" max="4" width="6" style="1" customWidth="1"/>
    <col min="5" max="7" width="9.140625" style="1"/>
    <col min="8" max="8" width="15.28515625" style="1" customWidth="1"/>
    <col min="9" max="9" width="12.5703125" style="1" customWidth="1"/>
    <col min="10" max="10" width="13" style="1" customWidth="1"/>
    <col min="11" max="11" width="9.140625" style="1" customWidth="1"/>
    <col min="12" max="12" width="22.42578125" style="1" hidden="1" customWidth="1"/>
    <col min="13" max="13" width="16.42578125" style="1" hidden="1" customWidth="1"/>
    <col min="14" max="14" width="17.42578125" style="1" hidden="1" customWidth="1"/>
    <col min="15" max="15" width="12.28515625" style="1" hidden="1" customWidth="1"/>
    <col min="16" max="16" width="61.42578125" style="1" hidden="1" customWidth="1"/>
    <col min="17" max="17" width="12" style="1" hidden="1" customWidth="1"/>
    <col min="18" max="18" width="10.85546875" style="1" hidden="1" customWidth="1"/>
    <col min="19" max="19" width="9.140625" style="1" hidden="1" customWidth="1"/>
    <col min="20" max="20" width="11.7109375" style="204" hidden="1" customWidth="1"/>
    <col min="21" max="21" width="21.5703125" style="204" hidden="1" customWidth="1"/>
    <col min="22" max="22" width="12.140625" style="204" hidden="1" customWidth="1"/>
    <col min="23" max="23" width="21.140625" style="204" hidden="1" customWidth="1"/>
    <col min="24" max="24" width="39.140625" style="204" hidden="1" customWidth="1"/>
    <col min="25" max="25" width="0" style="1" hidden="1" customWidth="1"/>
    <col min="26" max="16384" width="9.140625" style="1"/>
  </cols>
  <sheetData>
    <row r="1" spans="2:24" ht="15.75" thickBot="1" x14ac:dyDescent="0.3"/>
    <row r="2" spans="2:24" ht="15.75" thickBot="1" x14ac:dyDescent="0.3">
      <c r="B2" s="113" t="s">
        <v>93</v>
      </c>
      <c r="C2" s="121" t="str">
        <f>IF('App Cust Info'!$K$18="","","DUCT SEALING AND INSULATION")</f>
        <v/>
      </c>
      <c r="H2" s="980" t="s">
        <v>329</v>
      </c>
      <c r="I2" s="981"/>
      <c r="J2" s="201" t="s">
        <v>330</v>
      </c>
      <c r="T2" s="299" t="s">
        <v>493</v>
      </c>
    </row>
    <row r="3" spans="2:24" ht="15" customHeight="1" x14ac:dyDescent="0.25">
      <c r="B3" s="112" t="s">
        <v>334</v>
      </c>
      <c r="C3" s="111" t="str">
        <f>IFERROR(IF('App Cust Info'!$K$18="", "", 'App Cust Info'!$K$18), "ZIP Code Not Entered Correctly")</f>
        <v/>
      </c>
      <c r="H3" s="119" t="s">
        <v>433</v>
      </c>
      <c r="I3" s="215" t="str">
        <f>IFERROR(IF($C$8="AC With Electric Heat",$M$42+$N$42+$M$44,IF($C$8="Air Source Heat Pump",$M$33+$N$33, IF($C$8="AC With Fuel Heat",$M$51+$N$51, IF($C$8="Electric Heat Only",$M$37,"")))),"")</f>
        <v/>
      </c>
      <c r="J3" s="316" t="str">
        <f>IF($C$3="","",IFERROR($I$3/'App Cust Info'!$F$24,""))</f>
        <v/>
      </c>
      <c r="L3" s="74" t="s">
        <v>364</v>
      </c>
      <c r="N3" s="71" t="s">
        <v>374</v>
      </c>
      <c r="P3" s="309" t="s">
        <v>494</v>
      </c>
      <c r="Q3" s="310" t="s">
        <v>495</v>
      </c>
      <c r="R3" s="310" t="s">
        <v>496</v>
      </c>
      <c r="T3" s="260" t="s">
        <v>209</v>
      </c>
      <c r="U3" s="260" t="s">
        <v>250</v>
      </c>
      <c r="V3" s="260" t="s">
        <v>245</v>
      </c>
      <c r="W3" s="260" t="s">
        <v>497</v>
      </c>
      <c r="X3" s="260" t="s">
        <v>498</v>
      </c>
    </row>
    <row r="4" spans="2:24" x14ac:dyDescent="0.25">
      <c r="B4" s="112" t="s">
        <v>414</v>
      </c>
      <c r="C4" s="111" t="str">
        <f>IFERROR($L$8,"")</f>
        <v/>
      </c>
      <c r="H4" s="119" t="s">
        <v>345</v>
      </c>
      <c r="I4" s="216" t="str">
        <f>IFERROR(IF($C$8="AC With Electric Heat",$M$43+$N$43,IF($C$8="Air Source Heat Pump",$M$34+$N$34, IF($C$8="AC With Fuel Heat",$M$52+$N$52, IF($C$8="Electric Heat Only",$M$38,"")))),"")</f>
        <v/>
      </c>
      <c r="J4" s="220"/>
      <c r="L4" s="318" t="s">
        <v>366</v>
      </c>
      <c r="N4" s="75" t="s">
        <v>378</v>
      </c>
      <c r="P4" s="285" t="s">
        <v>499</v>
      </c>
      <c r="Q4" s="307">
        <v>0.1</v>
      </c>
      <c r="R4" s="307">
        <v>0.1</v>
      </c>
      <c r="T4" s="300" t="s">
        <v>211</v>
      </c>
      <c r="U4" s="300" t="s">
        <v>257</v>
      </c>
      <c r="V4" s="300" t="s">
        <v>500</v>
      </c>
      <c r="W4" s="312">
        <v>0.08</v>
      </c>
      <c r="X4" s="300" t="s">
        <v>501</v>
      </c>
    </row>
    <row r="5" spans="2:24" ht="18" x14ac:dyDescent="0.25">
      <c r="B5" s="112" t="s">
        <v>350</v>
      </c>
      <c r="C5" s="111" t="str">
        <f>IFERROR(IF('App Cust Info'!$H$21="", "", 'App Cust Info'!$H$21),"")</f>
        <v/>
      </c>
      <c r="H5" s="119" t="s">
        <v>349</v>
      </c>
      <c r="I5" s="217" t="str">
        <f>IFERROR(IF(OR($C$8="AC With Fuel Heat", $C$8="Fuel Heat Only"),$M$47,""),"")</f>
        <v/>
      </c>
      <c r="J5" s="221"/>
      <c r="L5" s="75" t="s">
        <v>367</v>
      </c>
      <c r="N5" s="75" t="s">
        <v>380</v>
      </c>
      <c r="P5" s="285" t="s">
        <v>502</v>
      </c>
      <c r="Q5" s="307">
        <v>0.1</v>
      </c>
      <c r="R5" s="307">
        <v>0.1</v>
      </c>
      <c r="T5" s="300" t="s">
        <v>212</v>
      </c>
      <c r="U5" s="300" t="s">
        <v>503</v>
      </c>
      <c r="V5" s="300" t="s">
        <v>504</v>
      </c>
      <c r="W5" s="312">
        <v>0.15</v>
      </c>
      <c r="X5" s="300" t="s">
        <v>505</v>
      </c>
    </row>
    <row r="6" spans="2:24" ht="15.75" thickBot="1" x14ac:dyDescent="0.3">
      <c r="B6" s="112" t="s">
        <v>99</v>
      </c>
      <c r="C6" s="707"/>
      <c r="H6" s="120" t="s">
        <v>351</v>
      </c>
      <c r="I6" s="218" t="str">
        <f>IFERROR(IF($I$5="", "", $I$5*10),"")</f>
        <v/>
      </c>
      <c r="J6" s="222" t="str">
        <f>IF($C$3="","",IFERROR($I$6/'App Cust Info'!$F$26,""))</f>
        <v/>
      </c>
      <c r="P6" s="285" t="s">
        <v>506</v>
      </c>
      <c r="Q6" s="307">
        <v>0.6</v>
      </c>
      <c r="R6" s="307">
        <v>0.6</v>
      </c>
      <c r="T6" s="300" t="s">
        <v>213</v>
      </c>
      <c r="U6" s="300" t="s">
        <v>507</v>
      </c>
      <c r="V6" s="300"/>
      <c r="W6" s="312">
        <v>0.2</v>
      </c>
      <c r="X6" s="300"/>
    </row>
    <row r="7" spans="2:24" x14ac:dyDescent="0.25">
      <c r="B7" s="268" t="s">
        <v>442</v>
      </c>
      <c r="C7" s="707"/>
      <c r="L7" s="71" t="s">
        <v>209</v>
      </c>
      <c r="N7" s="71" t="s">
        <v>397</v>
      </c>
      <c r="P7" s="285" t="s">
        <v>508</v>
      </c>
      <c r="Q7" s="307">
        <v>0.6</v>
      </c>
      <c r="R7" s="307">
        <v>0.3</v>
      </c>
      <c r="T7" s="300" t="s">
        <v>214</v>
      </c>
      <c r="U7" s="300" t="s">
        <v>509</v>
      </c>
      <c r="V7" s="300"/>
      <c r="W7" s="312">
        <v>0.25</v>
      </c>
      <c r="X7" s="300"/>
    </row>
    <row r="8" spans="2:24" x14ac:dyDescent="0.25">
      <c r="B8" s="268" t="s">
        <v>442</v>
      </c>
      <c r="C8" s="553"/>
      <c r="D8" s="1" t="str">
        <f>IF(AND($C$4="NYC", OR($C$8="Electric Heat Only", $C$8="AC With Electric Heat", $C$8="Air Source Heat Pump")),"National Grid does not serve the electricity market in NYC/LI.","")</f>
        <v/>
      </c>
      <c r="L8" s="300" t="str">
        <f>IFERROR(VLOOKUP($C$3,'Zip Lookup'!$B$6:$G$2214, 2,FALSE),"")</f>
        <v/>
      </c>
      <c r="N8" s="300" t="str">
        <f>IFERROR(VLOOKUP($C$3,'Zip Lookup'!$B$6:$G$2214,6,FALSE),"")</f>
        <v/>
      </c>
      <c r="P8" s="285" t="s">
        <v>510</v>
      </c>
      <c r="Q8" s="307">
        <v>0.3</v>
      </c>
      <c r="R8" s="307">
        <v>0.3</v>
      </c>
      <c r="T8" s="300" t="s">
        <v>216</v>
      </c>
      <c r="U8" s="300" t="s">
        <v>298</v>
      </c>
      <c r="V8" s="300"/>
      <c r="W8" s="312">
        <v>0.3</v>
      </c>
      <c r="X8" s="300"/>
    </row>
    <row r="9" spans="2:24" x14ac:dyDescent="0.25">
      <c r="B9" s="268" t="s">
        <v>511</v>
      </c>
      <c r="C9" s="707"/>
      <c r="P9" s="285" t="s">
        <v>512</v>
      </c>
      <c r="Q9" s="307">
        <v>0.6</v>
      </c>
      <c r="R9" s="307">
        <v>0.55000000000000004</v>
      </c>
      <c r="T9" s="300" t="s">
        <v>219</v>
      </c>
      <c r="U9" s="300"/>
      <c r="V9" s="300"/>
      <c r="W9" s="312"/>
      <c r="X9" s="300"/>
    </row>
    <row r="10" spans="2:24" ht="15" customHeight="1" x14ac:dyDescent="0.35">
      <c r="B10" s="268" t="s">
        <v>513</v>
      </c>
      <c r="C10" s="724"/>
      <c r="L10" s="260" t="s">
        <v>514</v>
      </c>
      <c r="N10" s="71" t="s">
        <v>515</v>
      </c>
      <c r="P10" s="308" t="s">
        <v>516</v>
      </c>
      <c r="Q10" s="307">
        <v>0.63</v>
      </c>
      <c r="R10" s="307">
        <v>0.6</v>
      </c>
    </row>
    <row r="11" spans="2:24" x14ac:dyDescent="0.25">
      <c r="B11" s="268" t="s">
        <v>517</v>
      </c>
      <c r="C11" s="707"/>
      <c r="L11" s="314" t="str">
        <f>IFERROR(IF(ISBLANK($C$18),(INDEX('TRM V13 Appendix G'!$E$4:$K$17, MATCH($C$7,'TRM V13 Appendix G'!$D$4:$D$17,0),MATCH($C$4,'TRM V13 Appendix G'!$E$3:$K$3,0))), $C$18),"")</f>
        <v/>
      </c>
      <c r="N11" s="75" t="str">
        <f>IF($C$2="", "", IFERROR(IF($C$4="NYC", "KEDLI/KEDNY "&amp;$C$6, IF(OR($C$8="Fuel Heat Only", $C$8="AC With Fuel Heat"), "NIMO GAS "&amp;$C$6, "NIMO ELECTRIC "&amp;$C$6)),""))</f>
        <v/>
      </c>
      <c r="P11" s="285" t="s">
        <v>518</v>
      </c>
      <c r="Q11" s="307">
        <v>0.3</v>
      </c>
      <c r="R11" s="307">
        <v>0.3</v>
      </c>
    </row>
    <row r="12" spans="2:24" x14ac:dyDescent="0.25">
      <c r="B12" s="268" t="s">
        <v>519</v>
      </c>
      <c r="C12" s="724"/>
      <c r="D12" s="1" t="str">
        <f>IF($C$12&gt;$C$10, "Please Check Your Inputs. Your post-leakage is more than pre-leakage.", "")</f>
        <v/>
      </c>
      <c r="P12" s="285" t="s">
        <v>520</v>
      </c>
      <c r="Q12" s="307">
        <v>0.5</v>
      </c>
      <c r="R12" s="307">
        <v>0.5</v>
      </c>
    </row>
    <row r="13" spans="2:24" ht="15" customHeight="1" x14ac:dyDescent="0.35">
      <c r="B13" s="268" t="s">
        <v>521</v>
      </c>
      <c r="C13" s="707"/>
      <c r="D13" s="1" t="str">
        <f>IF(AND($C$11="R-6", $C$13="Uninsulated"), "Please Check Your Inputs. Your post R-value is less than pre R-value.", "")</f>
        <v/>
      </c>
      <c r="L13" s="260" t="s">
        <v>522</v>
      </c>
      <c r="N13" s="260" t="s">
        <v>523</v>
      </c>
      <c r="P13" s="285" t="s">
        <v>524</v>
      </c>
      <c r="Q13" s="307">
        <v>0.6</v>
      </c>
      <c r="R13" s="307">
        <v>0.6</v>
      </c>
    </row>
    <row r="14" spans="2:24" x14ac:dyDescent="0.25">
      <c r="B14" s="268" t="s">
        <v>525</v>
      </c>
      <c r="C14" s="725"/>
      <c r="L14" s="314" t="str">
        <f>IFERROR(IF(ISBLANK($C$19),(INDEX('TRM V13 Appendix G'!$E$20:$K$33, MATCH($C$7,'TRM V13 Appendix G'!$D$20:$D$33,0), MATCH($C$4,'TRM V13 Appendix G'!$E$19:$K$19,0))), $C$19),"")</f>
        <v/>
      </c>
      <c r="N14" s="311" t="str">
        <f>IFERROR(VLOOKUP($C$9,$P$4:$R$14,3,FALSE),"")</f>
        <v/>
      </c>
      <c r="P14" s="285" t="s">
        <v>526</v>
      </c>
      <c r="Q14" s="307">
        <v>0.2</v>
      </c>
      <c r="R14" s="307">
        <v>0.2</v>
      </c>
    </row>
    <row r="15" spans="2:24" x14ac:dyDescent="0.25">
      <c r="B15" s="268" t="s">
        <v>527</v>
      </c>
      <c r="C15" s="726"/>
    </row>
    <row r="16" spans="2:24" ht="15" customHeight="1" x14ac:dyDescent="0.35">
      <c r="B16" s="268" t="s">
        <v>528</v>
      </c>
      <c r="C16" s="727"/>
      <c r="L16" s="260" t="s">
        <v>153</v>
      </c>
      <c r="N16" s="260" t="s">
        <v>529</v>
      </c>
      <c r="P16" s="71" t="s">
        <v>245</v>
      </c>
    </row>
    <row r="17" spans="2:16" x14ac:dyDescent="0.25">
      <c r="B17" s="268" t="s">
        <v>530</v>
      </c>
      <c r="C17" s="726"/>
      <c r="L17" s="311" t="str">
        <f>IF($C$2="", "", 0.8)</f>
        <v/>
      </c>
      <c r="N17" s="311" t="str">
        <f>IFERROR(VLOOKUP($C$9,$P$4:$R$14,2,FALSE),"")</f>
        <v/>
      </c>
      <c r="P17" s="75" t="s">
        <v>531</v>
      </c>
    </row>
    <row r="18" spans="2:16" x14ac:dyDescent="0.25">
      <c r="B18" s="268" t="s">
        <v>532</v>
      </c>
      <c r="C18" s="728"/>
      <c r="D18" s="305" t="str">
        <f>IF($C$18="", "If unknown, leave blank.","")</f>
        <v>If unknown, leave blank.</v>
      </c>
      <c r="P18" s="75" t="s">
        <v>435</v>
      </c>
    </row>
    <row r="19" spans="2:16" ht="15" customHeight="1" x14ac:dyDescent="0.35">
      <c r="B19" s="268" t="s">
        <v>533</v>
      </c>
      <c r="C19" s="728"/>
      <c r="D19" s="305" t="str">
        <f>IF($C$19="", "If unknown, leave blank.","")</f>
        <v>If unknown, leave blank.</v>
      </c>
      <c r="L19" s="260" t="s">
        <v>534</v>
      </c>
      <c r="N19" s="260" t="s">
        <v>535</v>
      </c>
      <c r="P19" s="75" t="s">
        <v>536</v>
      </c>
    </row>
    <row r="20" spans="2:16" x14ac:dyDescent="0.25">
      <c r="B20" s="268" t="s">
        <v>537</v>
      </c>
      <c r="C20" s="729"/>
      <c r="L20" s="300" t="str" cm="1">
        <f t="array" ref="L20">IFERROR(INDEX('TRM V13 Appendix H'!$F:$K, MATCH(1,('TRM V13 Appendix H'!$B:$B=$C$7)*('TRM V13 Appendix H'!$C:$C="Cooling")*('TRM V13 Appendix H'!$D:$D=$C$10)*('TRM V13 Appendix H'!$E:$E=$C$11),0),MATCH($C$4,'TRM V13 Appendix H'!$F$3:$K$3,0)),"")</f>
        <v/>
      </c>
      <c r="N20" s="319" t="str" cm="1">
        <f t="array" ref="N20">IFERROR(INDEX('TRM V13 Appendix H'!$F:$K, MATCH(1,('TRM V13 Appendix H'!$B:$B=$C$7)*('TRM V13 Appendix H'!$C:$C="Cooling")*('TRM V13 Appendix H'!$D:$D=$C$12)*('TRM V13 Appendix H'!$E:$E=$C$13),0), MATCH($C$4,'TRM V13 Appendix H'!$F$3:$K$3,0)),"")</f>
        <v/>
      </c>
      <c r="P20" s="75" t="s">
        <v>436</v>
      </c>
    </row>
    <row r="21" spans="2:16" x14ac:dyDescent="0.25">
      <c r="B21" s="268" t="s">
        <v>538</v>
      </c>
      <c r="C21" s="729"/>
      <c r="P21" s="75" t="s">
        <v>437</v>
      </c>
    </row>
    <row r="22" spans="2:16" ht="15" customHeight="1" x14ac:dyDescent="0.35">
      <c r="B22" s="268" t="s">
        <v>539</v>
      </c>
      <c r="C22" s="729"/>
      <c r="L22" s="260" t="s">
        <v>540</v>
      </c>
      <c r="N22" s="260" t="s">
        <v>541</v>
      </c>
    </row>
    <row r="23" spans="2:16" x14ac:dyDescent="0.25">
      <c r="B23" s="268" t="s">
        <v>542</v>
      </c>
      <c r="C23" s="729"/>
      <c r="L23" s="300" t="str" cm="1">
        <f t="array" ref="L23">IFERROR(INDEX('TRM V13 Appendix H'!$F:$K, MATCH(1, ('TRM V13 Appendix H'!$B:$B=$C$7)*('TRM V13 Appendix H'!$C:$C="Heating")*('TRM V13 Appendix H'!$D:$D=$C$10)*('TRM V13 Appendix H'!$E:$E=C11),0),MATCH($C$4,'TRM V13 Appendix H'!$F$3:$K$3,0)),"")</f>
        <v/>
      </c>
      <c r="N23" s="319" t="str" cm="1">
        <f t="array" ref="N23">IFERROR(INDEX('TRM V13 Appendix H'!$F:$K, MATCH(1,('TRM V13 Appendix H'!$B:$B=$C$7)*('TRM V13 Appendix H'!$C:$C="Heating")*('TRM V13 Appendix H'!$D:$D=$C$12)*('TRM V13 Appendix H'!$E:$E=C13),0),MATCH($C$4,'TRM V13 Appendix H'!$F$3:$K$3,0)),"")</f>
        <v/>
      </c>
    </row>
    <row r="24" spans="2:16" x14ac:dyDescent="0.25">
      <c r="B24" s="268" t="s">
        <v>543</v>
      </c>
      <c r="C24" s="722"/>
    </row>
    <row r="25" spans="2:16" ht="18" x14ac:dyDescent="0.35">
      <c r="L25" s="260" t="s">
        <v>544</v>
      </c>
      <c r="N25" s="260" t="s">
        <v>545</v>
      </c>
    </row>
    <row r="26" spans="2:16" x14ac:dyDescent="0.25">
      <c r="B26" s="112" t="s">
        <v>122</v>
      </c>
      <c r="C26" s="720"/>
      <c r="L26" s="320" t="str">
        <f>IF($C$14="", "", IFERROR($C$14,""))</f>
        <v/>
      </c>
      <c r="N26" s="321" t="str">
        <f>IF($C$15="","",IFERROR($C$15,""))</f>
        <v/>
      </c>
    </row>
    <row r="27" spans="2:16" x14ac:dyDescent="0.25">
      <c r="B27" s="112" t="s">
        <v>449</v>
      </c>
      <c r="C27" s="720"/>
      <c r="N27" s="204"/>
    </row>
    <row r="28" spans="2:16" ht="18" x14ac:dyDescent="0.35">
      <c r="B28" s="112" t="s">
        <v>126</v>
      </c>
      <c r="C28" s="110" t="str">
        <f>IFERROR(IF($C$2="", "", $C$26+$C$27),"")</f>
        <v/>
      </c>
      <c r="L28" s="260" t="s">
        <v>546</v>
      </c>
      <c r="N28" s="260" t="s">
        <v>547</v>
      </c>
    </row>
    <row r="29" spans="2:16" x14ac:dyDescent="0.25">
      <c r="L29" s="313" t="str">
        <f>IF($C$16="", "", IFERROR($C$16,""))</f>
        <v/>
      </c>
      <c r="N29" s="321" t="str">
        <f>IF($C$17="", "", IFERROR($C$17,""))</f>
        <v/>
      </c>
    </row>
    <row r="30" spans="2:16" x14ac:dyDescent="0.25">
      <c r="B30" s="202" t="s">
        <v>548</v>
      </c>
      <c r="C30" s="203" t="str" cm="1">
        <f t="array" ref="C30">IF($N$11="", "", IFERROR(INDEX('DUCT INCENTIVES'!$I:$I,MATCH(1,('DUCT INCENTIVES'!$B:$B=$N$11)*('DUCT INCENTIVES'!$D:$D=$C$5),0)),"N/A"))</f>
        <v/>
      </c>
    </row>
    <row r="31" spans="2:16" x14ac:dyDescent="0.25">
      <c r="B31" s="146" t="str">
        <f>'App Cust Info'!K66</f>
        <v>V1.0 4/2/26</v>
      </c>
      <c r="C31" s="81"/>
      <c r="L31" s="73" t="s">
        <v>435</v>
      </c>
      <c r="M31" s="73" t="s">
        <v>549</v>
      </c>
      <c r="N31" s="73" t="s">
        <v>550</v>
      </c>
    </row>
    <row r="32" spans="2:16" x14ac:dyDescent="0.25">
      <c r="B32" s="403" t="s">
        <v>94</v>
      </c>
      <c r="C32" s="404"/>
      <c r="L32" s="317" t="str">
        <f>IF($L$26="", "", IFERROR($L$26*12000,""))</f>
        <v/>
      </c>
      <c r="M32" s="76" t="str">
        <f>IF($L$32="", "", IFERROR(IF($L$32&lt;65000, "Yes", "No"),""))</f>
        <v/>
      </c>
      <c r="N32" s="76" t="str">
        <f>IF($L$32="", "", IFERROR(IF($L$32&gt;=65000, "Yes", "No"),""))</f>
        <v/>
      </c>
    </row>
    <row r="33" spans="2:14" x14ac:dyDescent="0.25">
      <c r="B33" s="986"/>
      <c r="C33" s="988"/>
      <c r="L33" s="72" t="s">
        <v>551</v>
      </c>
      <c r="M33" s="86" t="str">
        <f>IF($C$2="", "", IFERROR(IF($M$32="Yes", (($L$26*(12/$C$20)*$L$14*(1-($L$20/$N$20))*(1-$N$17))+($N$26*(1/$C$23)*$L$11*(1-($L$23/$N$23))*(1-$N$14))), 0),""))</f>
        <v/>
      </c>
      <c r="N33" s="86" t="str">
        <f>IF($C$2="", "", IFERROR(IF($N$32="Yes", (($L$26*(12/$C$21)*$L$14*(1-($L$20/$N$20))*(1-$N$17))+(($N$26/3.412)*(1/$C$24)*$L$11*(1-($L$23/$N$23))*(1-$N$14))), 0),""))</f>
        <v/>
      </c>
    </row>
    <row r="34" spans="2:14" x14ac:dyDescent="0.25">
      <c r="B34" s="989"/>
      <c r="C34" s="991"/>
      <c r="L34" s="72" t="s">
        <v>552</v>
      </c>
      <c r="M34" s="69" t="str">
        <f>IF($C$2="", "", IFERROR(IF($M$32="Yes", ($L$26*(12/$C$22)*(1-($L$20/$N$20))*(1-$N$17)*$L$17), 0),""))</f>
        <v/>
      </c>
      <c r="N34" s="69" t="str">
        <f>IF($C$2="", "", IFERROR(IF($N$32="Yes", ($L$26*(12/$C$22)*(1-($L$20/$N$20))*(1-$N$17)*$L$17), 0),""))</f>
        <v/>
      </c>
    </row>
    <row r="35" spans="2:14" x14ac:dyDescent="0.25">
      <c r="B35" s="989"/>
      <c r="C35" s="991"/>
    </row>
    <row r="36" spans="2:14" x14ac:dyDescent="0.25">
      <c r="B36" s="989"/>
      <c r="C36" s="991"/>
      <c r="L36" s="72" t="s">
        <v>436</v>
      </c>
    </row>
    <row r="37" spans="2:14" x14ac:dyDescent="0.25">
      <c r="B37" s="989"/>
      <c r="C37" s="991"/>
      <c r="L37" s="72" t="s">
        <v>551</v>
      </c>
      <c r="M37" s="86" t="str">
        <f>IF($L$29="", "", IFERROR($L$29*$L$11*(1-($L$23/$N$23))*(1-$N$14),""))</f>
        <v/>
      </c>
    </row>
    <row r="38" spans="2:14" x14ac:dyDescent="0.25">
      <c r="B38" s="989"/>
      <c r="C38" s="991"/>
      <c r="L38" s="72" t="s">
        <v>552</v>
      </c>
      <c r="M38" s="69" t="str">
        <f>IF($C$2="", "", 0)</f>
        <v/>
      </c>
    </row>
    <row r="39" spans="2:14" x14ac:dyDescent="0.25">
      <c r="B39" s="989"/>
      <c r="C39" s="991"/>
    </row>
    <row r="40" spans="2:14" x14ac:dyDescent="0.25">
      <c r="B40" s="989"/>
      <c r="C40" s="991"/>
      <c r="L40" s="73" t="s">
        <v>531</v>
      </c>
      <c r="M40" s="73" t="s">
        <v>549</v>
      </c>
      <c r="N40" s="73" t="s">
        <v>550</v>
      </c>
    </row>
    <row r="41" spans="2:14" x14ac:dyDescent="0.25">
      <c r="B41" s="989"/>
      <c r="C41" s="991"/>
      <c r="L41" s="317" t="str">
        <f>IF($L$26="", "", IFERROR($L$26*12000,""))</f>
        <v/>
      </c>
      <c r="M41" s="76" t="str">
        <f>IF($L$41="", "", IFERROR(IF($L$41&lt;65000, "Yes", "No"),""))</f>
        <v/>
      </c>
      <c r="N41" s="76" t="str">
        <f>IF($L$41="", "", IFERROR(IF($L$41&gt;=65000, "Yes", "No"),""))</f>
        <v/>
      </c>
    </row>
    <row r="42" spans="2:14" x14ac:dyDescent="0.25">
      <c r="B42" s="989"/>
      <c r="C42" s="991"/>
      <c r="L42" s="72" t="s">
        <v>553</v>
      </c>
      <c r="M42" s="86" t="str">
        <f>IF($C$2="", "", IFERROR(IF($M$41="Yes", ($L$26*(12/$C$20)*$L$14*(1-($L$20/$N$20))*(1-$N$17)), 0),""))</f>
        <v/>
      </c>
      <c r="N42" s="86" t="str">
        <f>IF($C$2="", "", IFERROR(IF($N$41="Yes", ($L$26*(12/$C$21)*$L$14*(1-($L$20/$N$20))*(1-$N$17)), 0),""))</f>
        <v/>
      </c>
    </row>
    <row r="43" spans="2:14" x14ac:dyDescent="0.25">
      <c r="B43" s="989"/>
      <c r="C43" s="991"/>
      <c r="L43" s="72" t="s">
        <v>552</v>
      </c>
      <c r="M43" s="69" t="str">
        <f>IF($C$2="", "", IFERROR(IF($M$41="Yes", ($L$26*(12/$C$22)*(1-($L$20/$N$20))*(1-$N$17)*$L$17), 0),""))</f>
        <v/>
      </c>
      <c r="N43" s="69" t="str">
        <f>IF($C$2="","",IFERROR(IF($N$41="Yes", ($L$26*(12/$C$22)*(1-($L$20/$N$20))*(1-$N$17)*$L$17), 0),""))</f>
        <v/>
      </c>
    </row>
    <row r="44" spans="2:14" x14ac:dyDescent="0.25">
      <c r="B44" s="989"/>
      <c r="C44" s="991"/>
      <c r="L44" s="72" t="s">
        <v>554</v>
      </c>
      <c r="M44" s="86" t="str">
        <f>IF($L$29="", "", IFERROR($L$29*$L$11*(1-($L$23/$N$23))*(1-$N$14),""))</f>
        <v/>
      </c>
    </row>
    <row r="45" spans="2:14" x14ac:dyDescent="0.25">
      <c r="B45" s="989"/>
      <c r="C45" s="991"/>
    </row>
    <row r="46" spans="2:14" x14ac:dyDescent="0.25">
      <c r="B46" s="989"/>
      <c r="C46" s="991"/>
      <c r="L46" s="72" t="s">
        <v>437</v>
      </c>
      <c r="M46" s="63"/>
    </row>
    <row r="47" spans="2:14" x14ac:dyDescent="0.25">
      <c r="B47" s="992"/>
      <c r="C47" s="994"/>
      <c r="L47" s="72" t="s">
        <v>555</v>
      </c>
      <c r="M47" s="68" t="str">
        <f>IF($N$29="","",IFERROR(($C$17/1000)*$L$11*(1-($L$23/$N$23))*(1-$N$14),""))</f>
        <v/>
      </c>
    </row>
    <row r="49" spans="12:14" x14ac:dyDescent="0.25">
      <c r="L49" s="73" t="s">
        <v>536</v>
      </c>
      <c r="M49" s="73" t="s">
        <v>549</v>
      </c>
      <c r="N49" s="73" t="s">
        <v>550</v>
      </c>
    </row>
    <row r="50" spans="12:14" x14ac:dyDescent="0.25">
      <c r="L50" s="317" t="str">
        <f>IF($L$26="", "", IFERROR($L$26*12000,""))</f>
        <v/>
      </c>
      <c r="M50" s="76" t="str">
        <f>IF($L$50="", "", IFERROR(IF($L$50&lt;65000, "Yes", "No"),""))</f>
        <v/>
      </c>
      <c r="N50" s="76" t="str">
        <f>IF($L$50="", "", IFERROR(IF($L$50&gt;=65000, "Yes", "No"),""))</f>
        <v/>
      </c>
    </row>
    <row r="51" spans="12:14" x14ac:dyDescent="0.25">
      <c r="L51" s="72" t="s">
        <v>551</v>
      </c>
      <c r="M51" s="86" t="str">
        <f>IF($C$2="", "", IFERROR(IF($M$50="Yes", ($L$26*(12/$C$20)*$L$14*(1-($L$20/$N$20))*(1-$N$17)), 0),""))</f>
        <v/>
      </c>
      <c r="N51" s="86" t="str">
        <f>IF($C$2="","", IFERROR(IF($N$50="Yes", ($L$26*(12/$C$21)*$L$14*(1-($L$20/$N$20))*(1-$N$17)), 0),""))</f>
        <v/>
      </c>
    </row>
    <row r="52" spans="12:14" x14ac:dyDescent="0.25">
      <c r="L52" s="72" t="s">
        <v>552</v>
      </c>
      <c r="M52" s="69" t="str">
        <f>IF($C$2="","", IFERROR(IF($M$50="Yes", ($L$26*(12/$C$22)*(1-($L$20/$N$20))*(1-$N$17)*$L$17), 0),""))</f>
        <v/>
      </c>
      <c r="N52" s="69" t="str">
        <f>IF($C$2="", "", IFERROR(IF($N$50="Yes", ($L$26*(12/$C$22)*(1-($L$20/$N$20))*(1-$N$17)*$L$17), 0),""))</f>
        <v/>
      </c>
    </row>
    <row r="53" spans="12:14" x14ac:dyDescent="0.25">
      <c r="L53" s="72" t="s">
        <v>555</v>
      </c>
      <c r="M53" s="68" t="str">
        <f>IF($N$29="","",IFERROR(($C$17/1000)*$L$11*(1-($L$23/$N$23))*(1-$N$14),""))</f>
        <v/>
      </c>
    </row>
    <row r="70" spans="2:3" x14ac:dyDescent="0.25">
      <c r="B70" s="266" t="s">
        <v>556</v>
      </c>
    </row>
    <row r="71" spans="2:3" hidden="1" x14ac:dyDescent="0.25">
      <c r="B71" s="112" t="s">
        <v>344</v>
      </c>
      <c r="C71" s="111" t="s">
        <v>367</v>
      </c>
    </row>
  </sheetData>
  <sheetProtection algorithmName="SHA-512" hashValue="/R7PVXYrYP7DxQR1gYhnPpst0gnHSepA+62dfiRxlvRh571Gj5VUyuM8DSz1X+llI/eRgS/TFLt/IHdosDICrw==" saltValue="Nn98rq+cvpJJ6jtvQyxDQw==" spinCount="100000" sheet="1" objects="1" scenarios="1"/>
  <mergeCells count="2">
    <mergeCell ref="H2:I2"/>
    <mergeCell ref="B33:C47"/>
  </mergeCells>
  <conditionalFormatting sqref="B14:C14 B20:C22">
    <cfRule type="expression" dxfId="100" priority="142">
      <formula>$C$8="Fuel Heat Only"</formula>
    </cfRule>
    <cfRule type="expression" dxfId="99" priority="143">
      <formula>$C$8="Electric Heat Only"</formula>
    </cfRule>
  </conditionalFormatting>
  <conditionalFormatting sqref="B15:C15">
    <cfRule type="expression" dxfId="98" priority="144">
      <formula>$C$8&lt;&gt;"Air Source Heat Pump"</formula>
    </cfRule>
  </conditionalFormatting>
  <conditionalFormatting sqref="B16:C16">
    <cfRule type="expression" dxfId="97" priority="145">
      <formula>$C$8="Fuel Heat Only"</formula>
    </cfRule>
    <cfRule type="expression" dxfId="96" priority="146">
      <formula>$C$8="AC With Fuel Heat"</formula>
    </cfRule>
    <cfRule type="expression" dxfId="95" priority="147">
      <formula>$C$8="Air Source Heat Pump"</formula>
    </cfRule>
  </conditionalFormatting>
  <conditionalFormatting sqref="B17:C17">
    <cfRule type="expression" dxfId="94" priority="148">
      <formula>$C$8="Electric Heat Only"</formula>
    </cfRule>
    <cfRule type="expression" dxfId="93" priority="149">
      <formula>$C$8="AC With Electric Heat"</formula>
    </cfRule>
    <cfRule type="expression" dxfId="92" priority="150">
      <formula>$C$8="Air Source Heat Pump"</formula>
    </cfRule>
  </conditionalFormatting>
  <conditionalFormatting sqref="B19:C19">
    <cfRule type="expression" dxfId="91" priority="154">
      <formula>$C$8="Fuel Heat Only"</formula>
    </cfRule>
    <cfRule type="expression" dxfId="90" priority="155">
      <formula>$C$8="Electric Heat Only"</formula>
    </cfRule>
  </conditionalFormatting>
  <conditionalFormatting sqref="B20:C20">
    <cfRule type="expression" dxfId="89" priority="9">
      <formula>$C$14&gt;=(65000/12000)</formula>
    </cfRule>
  </conditionalFormatting>
  <conditionalFormatting sqref="B21:C21">
    <cfRule type="expression" dxfId="88" priority="8">
      <formula>$C$14&lt;(65000/12000)</formula>
    </cfRule>
  </conditionalFormatting>
  <conditionalFormatting sqref="B23:C24">
    <cfRule type="expression" dxfId="87" priority="153">
      <formula>$C$8&lt;&gt;"Air Source Heat Pump"</formula>
    </cfRule>
  </conditionalFormatting>
  <conditionalFormatting sqref="C13">
    <cfRule type="expression" dxfId="86" priority="10">
      <formula>$C$8="Fuel Heat Only"</formula>
    </cfRule>
    <cfRule type="expression" dxfId="85" priority="11">
      <formula>$C$8="Electric Heat Only"</formula>
    </cfRule>
  </conditionalFormatting>
  <conditionalFormatting sqref="C8:D8">
    <cfRule type="expression" dxfId="84" priority="3">
      <formula>$D$8&lt;&gt;""</formula>
    </cfRule>
  </conditionalFormatting>
  <conditionalFormatting sqref="D12">
    <cfRule type="expression" dxfId="83" priority="33">
      <formula>$D$12&lt;&gt;""</formula>
    </cfRule>
  </conditionalFormatting>
  <conditionalFormatting sqref="D13">
    <cfRule type="expression" dxfId="82" priority="32">
      <formula>$D$13&lt;&gt;""</formula>
    </cfRule>
  </conditionalFormatting>
  <conditionalFormatting sqref="D8:I8">
    <cfRule type="expression" dxfId="81" priority="2">
      <formula>$D$8&lt;&gt;""</formula>
    </cfRule>
  </conditionalFormatting>
  <conditionalFormatting sqref="I4">
    <cfRule type="expression" dxfId="80" priority="1">
      <formula>$D$8&lt;&gt;""</formula>
    </cfRule>
  </conditionalFormatting>
  <dataValidations count="7">
    <dataValidation type="list" allowBlank="1" showInputMessage="1" showErrorMessage="1" sqref="C71" xr:uid="{39C38EB1-5B2C-42DD-AD6B-10F491477726}">
      <formula1>$L$5</formula1>
    </dataValidation>
    <dataValidation type="list" allowBlank="1" showInputMessage="1" showErrorMessage="1" sqref="C9" xr:uid="{EEDB1A2C-0DA1-46E8-A96A-BB7981A6AC3C}">
      <formula1>$P$4:$P$14</formula1>
    </dataValidation>
    <dataValidation type="list" allowBlank="1" showInputMessage="1" showErrorMessage="1" sqref="C7" xr:uid="{C752C72D-13F0-4B7C-AB9E-1439997ADB32}">
      <formula1>$U$4:$U$8</formula1>
    </dataValidation>
    <dataValidation type="list" allowBlank="1" showInputMessage="1" showErrorMessage="1" sqref="C6" xr:uid="{B3A94370-E490-441B-9D02-A5ED162EE2A4}">
      <formula1>$N$4:$N$5</formula1>
    </dataValidation>
    <dataValidation type="list" allowBlank="1" showInputMessage="1" showErrorMessage="1" sqref="C8" xr:uid="{2E5E6DBF-8270-4815-94EB-6522366B898F}">
      <formula1>$P$17:$P$21</formula1>
    </dataValidation>
    <dataValidation type="list" allowBlank="1" showInputMessage="1" showErrorMessage="1" sqref="C12 C10" xr:uid="{6FFBBE60-E538-43A0-BC31-07BED065F693}">
      <formula1>$W$4:$W$8</formula1>
    </dataValidation>
    <dataValidation type="list" allowBlank="1" showInputMessage="1" showErrorMessage="1" sqref="C13 C11" xr:uid="{E8F9E1E2-C966-4A29-AA6F-7F5A3D65A86C}">
      <formula1>$X$4:$X$5</formula1>
    </dataValidation>
  </dataValidations>
  <pageMargins left="0.7" right="0.7" top="0.75" bottom="0.75" header="0.3" footer="0.3"/>
  <pageSetup scale="64" orientation="landscape" r:id="rId1"/>
  <headerFooter>
    <oddFooter>&amp;RDUCT SEALING AND INSULATION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e1fe8aa-ea65-43ec-8b37-e1e5b2f7a2a4">
      <Terms xmlns="http://schemas.microsoft.com/office/infopath/2007/PartnerControls"/>
    </lcf76f155ced4ddcb4097134ff3c332f>
    <TaxCatchAll xmlns="cadce026-d35b-4a62-a2ee-1436bb44fb55" xsi:nil="true"/>
    <_Flow_SignoffStatus xmlns="ae1fe8aa-ea65-43ec-8b37-e1e5b2f7a2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1FB34E516D34941A2421C339C323D71" ma:contentTypeVersion="18" ma:contentTypeDescription="Create a new document." ma:contentTypeScope="" ma:versionID="3708c6a9d7c819c6a06ebd11d5aa3437">
  <xsd:schema xmlns:xsd="http://www.w3.org/2001/XMLSchema" xmlns:xs="http://www.w3.org/2001/XMLSchema" xmlns:p="http://schemas.microsoft.com/office/2006/metadata/properties" xmlns:ns2="ae1fe8aa-ea65-43ec-8b37-e1e5b2f7a2a4" xmlns:ns3="42096765-956e-4141-909b-c1b78d2b84d2" xmlns:ns4="cadce026-d35b-4a62-a2ee-1436bb44fb55" targetNamespace="http://schemas.microsoft.com/office/2006/metadata/properties" ma:root="true" ma:fieldsID="3d7b188e040ef9a335dd300f48b3fb3f" ns2:_="" ns3:_="" ns4:_="">
    <xsd:import namespace="ae1fe8aa-ea65-43ec-8b37-e1e5b2f7a2a4"/>
    <xsd:import namespace="42096765-956e-4141-909b-c1b78d2b84d2"/>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Flow_SignoffStatu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1fe8aa-ea65-43ec-8b37-e1e5b2f7a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2" nillable="true" ma:displayName="Sign-off status" ma:internalName="Sign_x002d_off_x0020_status">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96765-956e-4141-909b-c1b78d2b84d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ab6f720-bf86-4cc5-b952-4faf7d96ed29}" ma:internalName="TaxCatchAll" ma:showField="CatchAllData" ma:web="42096765-956e-4141-909b-c1b78d2b84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40C53C-A763-4384-BD81-3B6F01C99B4E}">
  <ds:schemaRefs>
    <ds:schemaRef ds:uri="http://schemas.microsoft.com/sharepoint/v3/contenttype/forms"/>
  </ds:schemaRefs>
</ds:datastoreItem>
</file>

<file path=customXml/itemProps2.xml><?xml version="1.0" encoding="utf-8"?>
<ds:datastoreItem xmlns:ds="http://schemas.openxmlformats.org/officeDocument/2006/customXml" ds:itemID="{D405565E-F296-4D4C-BC2D-998E9B0D25AB}">
  <ds:schemaRefs>
    <ds:schemaRef ds:uri="http://schemas.openxmlformats.org/package/2006/metadata/core-properties"/>
    <ds:schemaRef ds:uri="http://www.w3.org/XML/1998/namespace"/>
    <ds:schemaRef ds:uri="http://schemas.microsoft.com/office/infopath/2007/PartnerControls"/>
    <ds:schemaRef ds:uri="ae1fe8aa-ea65-43ec-8b37-e1e5b2f7a2a4"/>
    <ds:schemaRef ds:uri="http://purl.org/dc/elements/1.1/"/>
    <ds:schemaRef ds:uri="http://purl.org/dc/terms/"/>
    <ds:schemaRef ds:uri="http://schemas.microsoft.com/office/2006/documentManagement/types"/>
    <ds:schemaRef ds:uri="http://schemas.microsoft.com/office/2006/metadata/properties"/>
    <ds:schemaRef ds:uri="cadce026-d35b-4a62-a2ee-1436bb44fb55"/>
    <ds:schemaRef ds:uri="42096765-956e-4141-909b-c1b78d2b84d2"/>
    <ds:schemaRef ds:uri="http://purl.org/dc/dcmitype/"/>
  </ds:schemaRefs>
</ds:datastoreItem>
</file>

<file path=customXml/itemProps3.xml><?xml version="1.0" encoding="utf-8"?>
<ds:datastoreItem xmlns:ds="http://schemas.openxmlformats.org/officeDocument/2006/customXml" ds:itemID="{1338B558-65A9-4EA2-A5D7-48D5C80CD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1fe8aa-ea65-43ec-8b37-e1e5b2f7a2a4"/>
    <ds:schemaRef ds:uri="42096765-956e-4141-909b-c1b78d2b84d2"/>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33</vt:i4>
      </vt:variant>
    </vt:vector>
  </HeadingPairs>
  <TitlesOfParts>
    <vt:vector size="79" baseType="lpstr">
      <vt:lpstr>App Cust Info</vt:lpstr>
      <vt:lpstr>Pre-Installation Inspection</vt:lpstr>
      <vt:lpstr>Terms &amp; Conditions</vt:lpstr>
      <vt:lpstr>Extra Sheet For User Notes</vt:lpstr>
      <vt:lpstr>Pipe Insulation</vt:lpstr>
      <vt:lpstr>Roof Insulation</vt:lpstr>
      <vt:lpstr>Wall Insulation</vt:lpstr>
      <vt:lpstr>Window</vt:lpstr>
      <vt:lpstr>Duct Sealing &amp; Insulation</vt:lpstr>
      <vt:lpstr>Air Leakage Sealing</vt:lpstr>
      <vt:lpstr>Doors</vt:lpstr>
      <vt:lpstr>Air Curtains</vt:lpstr>
      <vt:lpstr>Pipe Insulation - MRD</vt:lpstr>
      <vt:lpstr>Pipe Insulation - MRD APPENDIX</vt:lpstr>
      <vt:lpstr>Roof Insulation - MRD</vt:lpstr>
      <vt:lpstr>Roof Insulation - MRD APPENDIX</vt:lpstr>
      <vt:lpstr>Wall Insulation - MRD</vt:lpstr>
      <vt:lpstr>Wall Insulation - MRD APPENDIX</vt:lpstr>
      <vt:lpstr>Window - MRD</vt:lpstr>
      <vt:lpstr>Window - MRD APPENDIX</vt:lpstr>
      <vt:lpstr>Duct Sealing &amp; Insulation - MRD</vt:lpstr>
      <vt:lpstr>Air Leakage Sealing - MRD</vt:lpstr>
      <vt:lpstr>Air Leakage Seal - MRD APPENDIX</vt:lpstr>
      <vt:lpstr>Doors - MRD</vt:lpstr>
      <vt:lpstr>Doors - MRD APPENDIX</vt:lpstr>
      <vt:lpstr>Air Curtains - MRD</vt:lpstr>
      <vt:lpstr>PIPE CODE</vt:lpstr>
      <vt:lpstr>ROOF CODE</vt:lpstr>
      <vt:lpstr>WALL CODE</vt:lpstr>
      <vt:lpstr>WINDOW CODE</vt:lpstr>
      <vt:lpstr>DOOR CODE</vt:lpstr>
      <vt:lpstr>PIPE INCENTIVE</vt:lpstr>
      <vt:lpstr>ROOF INCENTIVE</vt:lpstr>
      <vt:lpstr>WALL INCENTIVE</vt:lpstr>
      <vt:lpstr>WINDOW INCENTIVES</vt:lpstr>
      <vt:lpstr>DOOR INCENTIVES</vt:lpstr>
      <vt:lpstr>DUCT INCENTIVES</vt:lpstr>
      <vt:lpstr>AIR SEALING INCENTIVES</vt:lpstr>
      <vt:lpstr>AIR CURTAIN INCENTIVES</vt:lpstr>
      <vt:lpstr>TRM V13 Appendix A</vt:lpstr>
      <vt:lpstr>TRM V13 Appendix F</vt:lpstr>
      <vt:lpstr>TRM V13 Appendix G</vt:lpstr>
      <vt:lpstr>TRM V13 Appendix H</vt:lpstr>
      <vt:lpstr>PIPE - EFLH HEATING</vt:lpstr>
      <vt:lpstr>PIPE - EFLH COOLING</vt:lpstr>
      <vt:lpstr>Zip Lookup</vt:lpstr>
      <vt:lpstr>Bare_Copper</vt:lpstr>
      <vt:lpstr>Bare_CPVC_PEX</vt:lpstr>
      <vt:lpstr>Bare_Steel</vt:lpstr>
      <vt:lpstr>Large_Commercial</vt:lpstr>
      <vt:lpstr>Multifamily_High_Rise</vt:lpstr>
      <vt:lpstr>Multifamily_Low_Rise</vt:lpstr>
      <vt:lpstr>'Air Curtains'!Print_Area</vt:lpstr>
      <vt:lpstr>'Air Curtains - MRD'!Print_Area</vt:lpstr>
      <vt:lpstr>'Air Leakage Seal - MRD APPENDIX'!Print_Area</vt:lpstr>
      <vt:lpstr>'Air Leakage Sealing'!Print_Area</vt:lpstr>
      <vt:lpstr>'Air Leakage Sealing - MRD'!Print_Area</vt:lpstr>
      <vt:lpstr>'App Cust Info'!Print_Area</vt:lpstr>
      <vt:lpstr>Doors!Print_Area</vt:lpstr>
      <vt:lpstr>'Doors - MRD'!Print_Area</vt:lpstr>
      <vt:lpstr>'Doors - MRD APPENDIX'!Print_Area</vt:lpstr>
      <vt:lpstr>'Duct Sealing &amp; Insulation'!Print_Area</vt:lpstr>
      <vt:lpstr>'Duct Sealing &amp; Insulation - MRD'!Print_Area</vt:lpstr>
      <vt:lpstr>'Pipe Insulation'!Print_Area</vt:lpstr>
      <vt:lpstr>'Pipe Insulation - MRD'!Print_Area</vt:lpstr>
      <vt:lpstr>'Pipe Insulation - MRD APPENDIX'!Print_Area</vt:lpstr>
      <vt:lpstr>'Pre-Installation Inspection'!Print_Area</vt:lpstr>
      <vt:lpstr>'Roof Insulation'!Print_Area</vt:lpstr>
      <vt:lpstr>'Roof Insulation - MRD'!Print_Area</vt:lpstr>
      <vt:lpstr>'Roof Insulation - MRD APPENDIX'!Print_Area</vt:lpstr>
      <vt:lpstr>'Terms &amp; Conditions'!Print_Area</vt:lpstr>
      <vt:lpstr>'Wall Insulation'!Print_Area</vt:lpstr>
      <vt:lpstr>'Wall Insulation - MRD'!Print_Area</vt:lpstr>
      <vt:lpstr>'Wall Insulation - MRD APPENDIX'!Print_Area</vt:lpstr>
      <vt:lpstr>Window!Print_Area</vt:lpstr>
      <vt:lpstr>'Window - MRD'!Print_Area</vt:lpstr>
      <vt:lpstr>'Window - MRD APPENDIX'!Print_Area</vt:lpstr>
      <vt:lpstr>'Pre-Installation Inspection'!Print_Titles</vt:lpstr>
      <vt:lpstr>Small_Commercial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Yigit Guctas</dc:creator>
  <cp:keywords/>
  <dc:description/>
  <cp:lastModifiedBy>Dominic Klos</cp:lastModifiedBy>
  <cp:revision/>
  <dcterms:created xsi:type="dcterms:W3CDTF">2015-06-05T18:17:20Z</dcterms:created>
  <dcterms:modified xsi:type="dcterms:W3CDTF">2026-07-09T16:49:27Z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0x01010011FB34E516D34941A2421C339C323D71</vt:lpwstr>
  </property>
  <property fmtid="{D5CDD505-2E9C-101B-9397-08002B2CF9AE}" pid="3" name="MediaServiceImageTags">
    <vt:lpwstr/>
  </property>
  <property fmtid="{D5CDD505-2E9C-101B-9397-08002B2CF9AE}" pid="4" name="MSIP_Label_8bd75a54-f2be-4ffa-b165-74c609d83991_Enabled">
    <vt:lpwstr>true</vt:lpwstr>
  </property>
  <property fmtid="{D5CDD505-2E9C-101B-9397-08002B2CF9AE}" pid="5" name="MSIP_Label_8bd75a54-f2be-4ffa-b165-74c609d83991_SetDate">
    <vt:lpwstr>2026-04-08T19:25:07Z</vt:lpwstr>
  </property>
  <property fmtid="{D5CDD505-2E9C-101B-9397-08002B2CF9AE}" pid="6" name="MSIP_Label_8bd75a54-f2be-4ffa-b165-74c609d83991_Method">
    <vt:lpwstr>Standard</vt:lpwstr>
  </property>
  <property fmtid="{D5CDD505-2E9C-101B-9397-08002B2CF9AE}" pid="7" name="MSIP_Label_8bd75a54-f2be-4ffa-b165-74c609d83991_Name">
    <vt:lpwstr>Internal use only</vt:lpwstr>
  </property>
  <property fmtid="{D5CDD505-2E9C-101B-9397-08002B2CF9AE}" pid="8" name="MSIP_Label_8bd75a54-f2be-4ffa-b165-74c609d83991_SiteId">
    <vt:lpwstr>f98a6a53-25f3-4212-901c-c7787fcd3495</vt:lpwstr>
  </property>
  <property fmtid="{D5CDD505-2E9C-101B-9397-08002B2CF9AE}" pid="9" name="MSIP_Label_8bd75a54-f2be-4ffa-b165-74c609d83991_ActionId">
    <vt:lpwstr>f2eeed79-623b-4f2d-b665-abee51e9b773</vt:lpwstr>
  </property>
  <property fmtid="{D5CDD505-2E9C-101B-9397-08002B2CF9AE}" pid="10" name="MSIP_Label_8bd75a54-f2be-4ffa-b165-74c609d83991_ContentBits">
    <vt:lpwstr>0</vt:lpwstr>
  </property>
  <property fmtid="{D5CDD505-2E9C-101B-9397-08002B2CF9AE}" pid="11" name="MSIP_Label_8bd75a54-f2be-4ffa-b165-74c609d83991_Tag">
    <vt:lpwstr>10, 3, 0, 2</vt:lpwstr>
  </property>
</Properties>
</file>